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4-1-0672北京市朝阳区十里堡1号\"/>
    </mc:Choice>
  </mc:AlternateContent>
  <bookViews>
    <workbookView xWindow="72" yWindow="36" windowWidth="13848" windowHeight="12408"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9" sheetId="80" r:id="rId18"/>
    <sheet name="剩余法-待开发" sheetId="12" state="hidden" r:id="rId19"/>
    <sheet name="剩余法-现房" sheetId="43" state="hidden" r:id="rId20"/>
    <sheet name="比较法-住宅、综合" sheetId="39"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state="hidden" r:id="rId30"/>
    <sheet name="收益还原法" sheetId="44" state="hidden" r:id="rId31"/>
    <sheet name="不动产收益法" sheetId="15" state="hidden" r:id="rId32"/>
    <sheet name="不动产收益法-酒店模型" sheetId="68" state="hidden" r:id="rId33"/>
    <sheet name="比较法-工业" sheetId="78" r:id="rId34"/>
    <sheet name="案例（企业）" sheetId="79" r:id="rId35"/>
    <sheet name="成本逼近法" sheetId="11" r:id="rId36"/>
    <sheet name="比较法（成本套用）" sheetId="73" state="hidden" r:id="rId37"/>
    <sheet name="一级开发案例" sheetId="74" state="hidden" r:id="rId38"/>
    <sheet name="比较法-成本" sheetId="75" r:id="rId39"/>
    <sheet name="案例（海淀）" sheetId="76" r:id="rId40"/>
    <sheet name="Sheet1" sheetId="72"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36" hidden="1">'比较法（成本套用）'!$A$1:$L$45</definedName>
    <definedName name="_xlnm._FilterDatabase" localSheetId="38" hidden="1">'比较法-成本'!$A$1:$L$45</definedName>
    <definedName name="_xlnm._FilterDatabase" localSheetId="33"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6">'比较法（成本套用）'!$A$1:$K$62,'比较法（成本套用）'!$A$65:$N$122</definedName>
    <definedName name="_xlnm.Print_Area" localSheetId="38">'比较法-成本'!$A$1:$K$62,'比较法-成本'!$A$65:$N$122</definedName>
    <definedName name="_xlnm.Print_Area" localSheetId="33">'比较法-工业'!$A$1:$K$62,'比较法-工业'!$A$65:$N$122</definedName>
    <definedName name="_xlnm.Print_Area" localSheetId="20">'比较法-住宅、综合'!$A$1:$K$66,'比较法-住宅、综合'!$A$70:$N$133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1">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7">'[3]不动产比较法-办公'!$B$119:$M$119</definedName>
    <definedName name="办公层高">'不动产比较法-办公'!$B$119:$M$119</definedName>
    <definedName name="办公朝向" localSheetId="37">'[3]不动产比较法-办公'!$B$91:$M$91</definedName>
    <definedName name="办公朝向">'不动产比较法-办公'!$B$91:$M$91</definedName>
    <definedName name="办公道路级别" localSheetId="37">'[3]不动产比较法-办公'!$B$87:$M$87</definedName>
    <definedName name="办公道路级别">'不动产比较法-办公'!$B$87:$M$87</definedName>
    <definedName name="办公公共部分装修" localSheetId="37">'[3]不动产比较法-办公'!$B$108:$M$108</definedName>
    <definedName name="办公公共部分装修">'不动产比较法-办公'!$B$108:$M$108</definedName>
    <definedName name="办公基础设施水平" localSheetId="37">'[3]不动产比较法-办公'!$B$117:$M$117</definedName>
    <definedName name="办公基础设施水平">'不动产比较法-办公'!$B$117:$M$117</definedName>
    <definedName name="办公集聚程度" localSheetId="37">[3]定义!$M$1:$M$6</definedName>
    <definedName name="办公集聚程度">定义!$M$1:$M$6</definedName>
    <definedName name="办公建筑结构" localSheetId="37">'[3]不动产比较法-办公'!$B$106:$M$106</definedName>
    <definedName name="办公建筑结构">'不动产比较法-办公'!$B$106:$M$106</definedName>
    <definedName name="办公建筑类型" localSheetId="37">'[3]不动产比较法-办公'!$B$101:$M$101</definedName>
    <definedName name="办公建筑类型">'不动产比较法-办公'!$B$101:$M$101</definedName>
    <definedName name="办公交易情况" localSheetId="37">'[3]不动产比较法-办公'!$A$62:$M$62</definedName>
    <definedName name="办公交易情况">'不动产比较法-办公'!$A$62:$M$62</definedName>
    <definedName name="办公楼层" localSheetId="37">'[3]不动产比较法-办公'!$B$89:$M$89</definedName>
    <definedName name="办公楼层">'不动产比较法-办公'!$B$89:$M$89</definedName>
    <definedName name="办公内部装修" localSheetId="37">'[3]不动产比较法-办公'!$B$123:$M$123</definedName>
    <definedName name="办公内部装修">'不动产比较法-办公'!$B$123:$M$123</definedName>
    <definedName name="办公物业管理" localSheetId="37">'[3]不动产比较法-办公'!$B$115:$M$115</definedName>
    <definedName name="办公物业管理">'不动产比较法-办公'!$B$115:$M$115</definedName>
    <definedName name="办公用途" localSheetId="37">'[3]不动产比较法-办公'!$B$64:$M$64</definedName>
    <definedName name="办公用途">'不动产比较法-办公'!$B$64:$M$64</definedName>
    <definedName name="仓储公共部分装修" localSheetId="37">'[3]不动产比较法-仓储'!$B$77:$M$77</definedName>
    <definedName name="仓储公共部分装修">'不动产比较法-仓储'!$B$77:$M$77</definedName>
    <definedName name="仓储交易情况" localSheetId="37">'[3]不动产比较法-仓储'!$A$49:$M$49</definedName>
    <definedName name="仓储交易情况">'不动产比较法-仓储'!$A$49:$M$49</definedName>
    <definedName name="仓储楼层" localSheetId="37">'[3]不动产比较法-仓储'!$B$69:$M$69</definedName>
    <definedName name="仓储楼层">'不动产比较法-仓储'!$B$69:$M$69</definedName>
    <definedName name="仓储物业等级" localSheetId="37">'[3]不动产比较法-仓储'!$B$82:$M$82</definedName>
    <definedName name="仓储物业等级">'不动产比较法-仓储'!$B$82:$M$82</definedName>
    <definedName name="仓储用途" localSheetId="37">'[3]不动产比较法-仓储'!$B$51:$M$51</definedName>
    <definedName name="仓储用途">'不动产比较法-仓储'!$B$51:$M$51</definedName>
    <definedName name="产业集聚程度" localSheetId="37">[3]定义!$N$1:$N$6</definedName>
    <definedName name="产业集聚程度">定义!$N$1:$N$6</definedName>
    <definedName name="车位公共部分装修" localSheetId="37">'[3]不动产比较法-车位'!$B$83:$M$83</definedName>
    <definedName name="车位公共部分装修">'不动产比较法-车位'!$B$83:$M$83</definedName>
    <definedName name="车位交易情况" localSheetId="37">'[3]不动产比较法-车位'!$A$51:$M$51</definedName>
    <definedName name="车位交易情况">'不动产比较法-车位'!$A$51:$M$51</definedName>
    <definedName name="车位类型" localSheetId="37">'[3]不动产比较法-车位'!$B$93:$M$93</definedName>
    <definedName name="车位类型">'不动产比较法-车位'!$B$93:$M$93</definedName>
    <definedName name="车位楼层" localSheetId="37">'[3]不动产比较法-车位'!$B$71:$M$71</definedName>
    <definedName name="车位楼层">'不动产比较法-车位'!$B$71:$M$71</definedName>
    <definedName name="车位配套类型" localSheetId="37">'[3]不动产比较法-车位'!$B$79:$M$79</definedName>
    <definedName name="车位配套类型">'不动产比较法-车位'!$B$79:$M$79</definedName>
    <definedName name="车位物业等级" localSheetId="37">'[3]不动产比较法-车位'!$B$88:$M$88</definedName>
    <definedName name="车位物业等级">'不动产比较法-车位'!$B$88:$M$88</definedName>
    <definedName name="车位用途" localSheetId="37">'[3]不动产比较法-车位'!$B$53:$M$53</definedName>
    <definedName name="车位用途">'不动产比较法-车位'!$B$53:$M$53</definedName>
    <definedName name="城镇土地纳税等级分级范围" localSheetId="37">'[3]数据-取费表'!$A$53:$A$63</definedName>
    <definedName name="城镇土地纳税等级分级范围">'数据-取费表'!$A$53:$A$63</definedName>
    <definedName name="单价内涵" localSheetId="37">[3]定义!$V$1:$V$3</definedName>
    <definedName name="单价内涵">定义!$V$1:$V$3</definedName>
    <definedName name="地类判定" localSheetId="37">[3]定义!$H$1:$H$9</definedName>
    <definedName name="地类判定">定义!$H$1:$H$9</definedName>
    <definedName name="二级">区片价!$K$1:$K$21</definedName>
    <definedName name="二级分类" localSheetId="37">[3]修正!$C$19:$C$51</definedName>
    <definedName name="二级分类">修正!$C$19:$C$51</definedName>
    <definedName name="法定最高年限" localSheetId="37">[3]定义!$G$2:$G$5</definedName>
    <definedName name="法定最高年限">定义!$G$2:$G$5</definedName>
    <definedName name="工业公共部分装修" localSheetId="37">'[3]不动产比较法-工业'!$B$95:$M$95</definedName>
    <definedName name="工业公共部分装修">'不动产比较法-工业'!$B$95:$M$95</definedName>
    <definedName name="工业基础设施水平" localSheetId="37">'[3]不动产比较法-工业'!$B$102:$M$102</definedName>
    <definedName name="工业基础设施水平">'不动产比较法-工业'!$B$102:$M$102</definedName>
    <definedName name="工业建筑结构" localSheetId="37">'[3]不动产比较法-工业'!$B$93:$M$93</definedName>
    <definedName name="工业建筑结构">'不动产比较法-工业'!$B$93:$M$93</definedName>
    <definedName name="工业建筑类型" localSheetId="37">'[3]不动产比较法-工业'!$B$88:$M$88</definedName>
    <definedName name="工业建筑类型">'不动产比较法-工业'!$B$88:$M$88</definedName>
    <definedName name="工业交易情况" localSheetId="37">'[3]不动产比较法-工业'!$A$55:$M$55</definedName>
    <definedName name="工业交易情况">'不动产比较法-工业'!$A$55:$M$55</definedName>
    <definedName name="工业内部装修" localSheetId="37">'[3]不动产比较法-工业'!$B$104:$M$104</definedName>
    <definedName name="工业内部装修">'不动产比较法-工业'!$B$104:$M$104</definedName>
    <definedName name="工业物业管理" localSheetId="37">'[3]不动产比较法-工业'!$B$100:$M$100</definedName>
    <definedName name="工业物业管理">'不动产比较法-工业'!$B$100:$M$100</definedName>
    <definedName name="工业用途" localSheetId="37">'[3]不动产比较法-工业'!$B$57:$M$57</definedName>
    <definedName name="工业用途">'不动产比较法-工业'!$B$57:$M$57</definedName>
    <definedName name="公共配套设施" localSheetId="37">[3]定义!$Q$1:$Q$6</definedName>
    <definedName name="公共配套设施">定义!$Q$1:$Q$6</definedName>
    <definedName name="估价范围判定" localSheetId="37">[3]定义!$D$1:$D$4</definedName>
    <definedName name="估价范围判定">定义!$D$1:$D$4</definedName>
    <definedName name="估价方法" localSheetId="37">[3]定义!$B$1:$B$50</definedName>
    <definedName name="估价方法">定义!$B$1:$B$50</definedName>
    <definedName name="环境" localSheetId="37">[3]定义!$S$1:$S$6</definedName>
    <definedName name="环境">定义!$S$1:$S$6</definedName>
    <definedName name="基础设施水平" localSheetId="37">[3]定义!$R$1:$R$6</definedName>
    <definedName name="基础设施水平">定义!$R$1:$R$6</definedName>
    <definedName name="季度">基准地价!$N$19:$AB$19</definedName>
    <definedName name="季度2014">地价!$A$2:$A$41</definedName>
    <definedName name="价值类型2" localSheetId="37">[3]定义!$B$54:$B$56</definedName>
    <definedName name="价值类型2">定义!$B$54:$B$56</definedName>
    <definedName name="交通便捷度" localSheetId="37">[3]定义!$O$1:$O$6</definedName>
    <definedName name="交通便捷度">定义!$O$1:$O$6</definedName>
    <definedName name="九级">区片价!$R$1:$R$51</definedName>
    <definedName name="居住社区成熟度" localSheetId="37">[3]定义!$K$1:$K$6</definedName>
    <definedName name="居住社区成熟度">定义!$K$1:$K$6</definedName>
    <definedName name="类别" localSheetId="37">[3]定义!$J$1:$J$3</definedName>
    <definedName name="类别">定义!$J$1:$J$3</definedName>
    <definedName name="临街状况" localSheetId="37">[3]定义!$T$1:$T$5</definedName>
    <definedName name="临街状况">定义!$T$1:$T$5</definedName>
    <definedName name="六级">区片价!$O$1:$O$64</definedName>
    <definedName name="内部装修维护情况" localSheetId="37">[3]定义!$U$1:$U$6</definedName>
    <definedName name="内部装修维护情况">定义!$U$1:$U$6</definedName>
    <definedName name="七级">区片价!$P$1:$P$45</definedName>
    <definedName name="七通一平" localSheetId="37">[3]修正!$A$8:$A$16</definedName>
    <definedName name="七通一平">修正!$A$8:$A$16</definedName>
    <definedName name="区域土地利用方向" localSheetId="37">[3]定义!$P$1:$P$6</definedName>
    <definedName name="区域土地利用方向">定义!$P$1:$P$6</definedName>
    <definedName name="三级">区片价!$L$1:$L$26</definedName>
    <definedName name="商业层高" localSheetId="37">'[3]不动产比较法-商业'!$B$116:$M$116</definedName>
    <definedName name="商业层高">'不动产比较法-商业'!$B$116:$M$116</definedName>
    <definedName name="商业成新度">'不动产比较法-商业'!$B$109:$M$109</definedName>
    <definedName name="商业繁华度" localSheetId="37">[3]定义!$L$1:$L$6</definedName>
    <definedName name="商业繁华度">定义!$L$1:$L$6</definedName>
    <definedName name="商业公共部分装修" localSheetId="37">'[3]不动产比较法-商业'!$B$107:$M$107</definedName>
    <definedName name="商业公共部分装修">'不动产比较法-商业'!$B$107:$M$107</definedName>
    <definedName name="商业基础设施水平" localSheetId="37">'[3]不动产比较法-商业'!$B$112:$M$112</definedName>
    <definedName name="商业基础设施水平">'不动产比较法-商业'!$B$112:$M$112</definedName>
    <definedName name="商业建筑结构" localSheetId="37">'[3]不动产比较法-商业'!$B$105:$M$105</definedName>
    <definedName name="商业建筑结构">'不动产比较法-商业'!$B$105:$M$105</definedName>
    <definedName name="商业交易情况" localSheetId="37">'[3]不动产比较法-商业'!$A$61:$M$61</definedName>
    <definedName name="商业交易情况">'不动产比较法-商业'!$A$61:$M$61</definedName>
    <definedName name="商业街名称" localSheetId="37">[3]修正!$C$71:$C$139</definedName>
    <definedName name="商业街名称">修正!$C$71:$C$139</definedName>
    <definedName name="商业进深比" localSheetId="37">'[3]不动产比较法-商业'!$B$120:$M$120</definedName>
    <definedName name="商业进深比">'不动产比较法-商业'!$B$120:$M$120</definedName>
    <definedName name="商业类型" localSheetId="37">'[3]不动产比较法-商业'!$B$100:$M$100</definedName>
    <definedName name="商业类型">'不动产比较法-商业'!$B$100:$M$100</definedName>
    <definedName name="商业临街状况" localSheetId="37">'[3]不动产比较法-商业'!$B$86:$M$86</definedName>
    <definedName name="商业临街状况">'不动产比较法-商业'!$B$86:$M$86</definedName>
    <definedName name="商业楼层" localSheetId="37">'[3]不动产比较法-商业'!$B$92:$M$92</definedName>
    <definedName name="商业楼层">'不动产比较法-商业'!$B$92:$M$92</definedName>
    <definedName name="商业内部装修" localSheetId="37">'[3]不动产比较法-商业'!$B$122:$M$122</definedName>
    <definedName name="商业内部装修">'不动产比较法-商业'!$B$122:$M$122</definedName>
    <definedName name="商业人流量" localSheetId="37">'[3]不动产比较法-商业'!$B$90:$M$90</definedName>
    <definedName name="商业人流量">'不动产比较法-商业'!$B$90:$M$90</definedName>
    <definedName name="商业业态" localSheetId="37">'[3]不动产比较法-商业'!$B$114:$M$114</definedName>
    <definedName name="商业业态">'不动产比较法-商业'!$B$114:$M$114</definedName>
    <definedName name="商业用途" localSheetId="37">'[3]不动产比较法-商业'!$B$63:$M$63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7">'[3]不动产比较法-仓储'!$B$89:$M$89</definedName>
    <definedName name="是否封闭">'不动产比较法-仓储'!$B$89:$M$89</definedName>
    <definedName name="是否直接入户" localSheetId="37">'[3]不动产比较法-车位'!$B$95:$M$95</definedName>
    <definedName name="是否直接入户">'不动产比较法-车位'!$B$95:$M$95</definedName>
    <definedName name="四级">区片价!$M$1:$M$33</definedName>
    <definedName name="套工工程地质条件" localSheetId="36">'比较法（成本套用）'!$B$115:$M$115</definedName>
    <definedName name="套工工程地质条件" localSheetId="38">'比较法-成本'!$B$115:$M$115</definedName>
    <definedName name="套工工程地质条件" localSheetId="37">'[3]比较法-工业'!$B$115:$M$115</definedName>
    <definedName name="套工工程地质条件">#REF!</definedName>
    <definedName name="套工交易情况" localSheetId="37">'[3]比较法-海淀案例'!$A$74:$M$74</definedName>
    <definedName name="套工交易情况">'比较法-住宅、综合'!$A$74:$M$74</definedName>
    <definedName name="套工开发程度" localSheetId="36">'比较法（成本套用）'!$B$113:$M$113</definedName>
    <definedName name="套工开发程度" localSheetId="38">'比较法-成本'!$B$113:$M$113</definedName>
    <definedName name="套工开发程度" localSheetId="37">'[3]比较法-工业'!$B$113:$M$113</definedName>
    <definedName name="套工开发程度">#REF!</definedName>
    <definedName name="套工临街等级" localSheetId="36">'比较法（成本套用）'!$B$98:$M$98</definedName>
    <definedName name="套工临街等级" localSheetId="38">'比较法-成本'!$B$98:$M$98</definedName>
    <definedName name="套工临街等级" localSheetId="37">'[3]比较法-工业'!$B$98:$M$98</definedName>
    <definedName name="套工临街等级">#REF!</definedName>
    <definedName name="套工土地级别" localSheetId="36">'比较法（成本套用）'!$B$100:$M$100</definedName>
    <definedName name="套工土地级别" localSheetId="38">'比较法-成本'!$B$100:$M$100</definedName>
    <definedName name="套工土地级别" localSheetId="37">'[3]比较法-工业'!$B$100:$M$100</definedName>
    <definedName name="套工土地级别">#REF!</definedName>
    <definedName name="套工用途" localSheetId="36">'比较法（成本套用）'!$B$71:$M$71</definedName>
    <definedName name="套工用途" localSheetId="38">'比较法-成本'!$B$71:$M$71</definedName>
    <definedName name="套工用途" localSheetId="37">'[3]比较法-工业'!$B$71:$M$71</definedName>
    <definedName name="套工用途">#REF!</definedName>
    <definedName name="套工宗地形状" localSheetId="36">'比较法（成本套用）'!$B$111:$M$111</definedName>
    <definedName name="套工宗地形状" localSheetId="38">'比较法-成本'!$B$111:$M$111</definedName>
    <definedName name="套工宗地形状" localSheetId="37">'[3]比较法-工业'!$B$111:$M$111</definedName>
    <definedName name="套工宗地形状">#REF!</definedName>
    <definedName name="套综道路等级" localSheetId="37">'[3]比较法-海淀案例'!$B$107:$M$107</definedName>
    <definedName name="套综道路等级">'比较法-住宅、综合'!$B$107:$M$107</definedName>
    <definedName name="套综工程地质条件" localSheetId="37">'[3]比较法-海淀案例'!$B$126:$M$126</definedName>
    <definedName name="套综工程地质条件">'比较法-住宅、综合'!$B$126:$M$126</definedName>
    <definedName name="套综交易情况" localSheetId="37">'[3]比较法-海淀案例'!$A$74:$M$74</definedName>
    <definedName name="套综交易情况">'比较法-住宅、综合'!$A$74:$M$74</definedName>
    <definedName name="套综临街宽度及深度" localSheetId="37">'[3]比较法-海淀案例'!$B$122:$M$122</definedName>
    <definedName name="套综临街宽度及深度">'比较法-住宅、综合'!$B$122:$M$122</definedName>
    <definedName name="套综土地级别" localSheetId="37">'[3]比较法-海淀案例'!$B$109:$M$109</definedName>
    <definedName name="套综土地级别">'比较法-住宅、综合'!$B$109:$M$109</definedName>
    <definedName name="套综用途" localSheetId="37">'[3]比较法-海淀案例'!$B$76:$M$76</definedName>
    <definedName name="套综用途">'比较法-住宅、综合'!$B$76:$M$76</definedName>
    <definedName name="套综宗地内开发程度" localSheetId="37">'[3]比较法-海淀案例'!$B$124:$M$124</definedName>
    <definedName name="套综宗地内开发程度">'比较法-住宅、综合'!$B$124:$M$124</definedName>
    <definedName name="套综宗地形状" localSheetId="37">'[3]比较法-海淀案例'!$B$120:$M$120</definedName>
    <definedName name="套综宗地形状">'比较法-住宅、综合'!$B$120:$M$120</definedName>
    <definedName name="土地估价师" localSheetId="37">[3]估价师及机构信息!$D$3:$D$17</definedName>
    <definedName name="土地估价师">估价师及机构信息!$D$3:$D$17</definedName>
    <definedName name="土地级别" localSheetId="37">[3]定义!$C$1:$C$14</definedName>
    <definedName name="土地级别">定义!$C$1:$C$14</definedName>
    <definedName name="土地利用方向">定义!$P$1:$P$6</definedName>
    <definedName name="土地年限区间">定义!$I$1:$I$16</definedName>
    <definedName name="位置" localSheetId="37">[3]定义!$E$2:$E$4</definedName>
    <definedName name="位置">定义!$E$2:$E$4</definedName>
    <definedName name="五等判定" localSheetId="37">[3]定义!$W$1:$W$6</definedName>
    <definedName name="五等判定">定义!$W$1:$W$6</definedName>
    <definedName name="五级">区片价!$N$1:$N$41</definedName>
    <definedName name="项目类型" localSheetId="32">'[1]数据-汇总表'!$C$17:$C$26</definedName>
    <definedName name="项目类型" localSheetId="37">'[3]数据-汇总表'!$C$17:$C$26</definedName>
    <definedName name="项目类型">'数据-汇总表'!$C$17:$C$26</definedName>
    <definedName name="写字楼等级" localSheetId="37">'[3]不动产比较法-办公'!$B$113:$M$113</definedName>
    <definedName name="写字楼等级">'不动产比较法-办公'!$B$113:$M$113</definedName>
    <definedName name="一级">区片价!$J$1:$J$6</definedName>
    <definedName name="一修多修正项2" localSheetId="37">[3]典型户型修正!$5:$5</definedName>
    <definedName name="一修多修正项2">典型户型修正!$5:$5</definedName>
    <definedName name="一修多修正项3" localSheetId="37">[3]典型户型修正!$7:$7</definedName>
    <definedName name="一修多修正项3">典型户型修正!$7:$7</definedName>
    <definedName name="一修多修正项4" localSheetId="37">[3]典型户型修正!$9:$9</definedName>
    <definedName name="一修多修正项4">典型户型修正!$9:$9</definedName>
    <definedName name="一修多修正项5" localSheetId="37">[3]典型户型修正!$11:$11</definedName>
    <definedName name="一修多修正项5">典型户型修正!$11:$11</definedName>
    <definedName name="一修多修正项6" localSheetId="37">[3]典型户型修正!$13:$13</definedName>
    <definedName name="一修多修正项6">典型户型修正!$13:$13</definedName>
    <definedName name="一修多修正项7" localSheetId="37">[3]典型户型修正!$15:$15</definedName>
    <definedName name="一修多修正项7">典型户型修正!$15:$15</definedName>
    <definedName name="一修多修正项8" localSheetId="37">[3]典型户型修正!$17:$17</definedName>
    <definedName name="一修多修正项8">典型户型修正!$17:$17</definedName>
    <definedName name="用途类型" localSheetId="37">[3]定义!$A$1:$A$50</definedName>
    <definedName name="用途类型">定义!$A$1:$A$50</definedName>
    <definedName name="有无电梯" localSheetId="37">'[3]不动产比较法-仓储'!$B$84:$M$84</definedName>
    <definedName name="有无电梯">'不动产比较法-仓储'!$B$84:$M$84</definedName>
    <definedName name="主用途" localSheetId="37">[3]定义!$F$1:$F$12</definedName>
    <definedName name="主用途">定义!$F$1:$F$12</definedName>
    <definedName name="住宅朝向" localSheetId="37">'[3]不动产比较法-住宅'!$B$88:$M$88</definedName>
    <definedName name="住宅朝向">'不动产比较法-住宅'!$B$88:$M$88</definedName>
    <definedName name="住宅房型" localSheetId="37">'[3]不动产比较法-住宅'!$B$118:$M$118</definedName>
    <definedName name="住宅房型">'不动产比较法-住宅'!$B$118:$M$118</definedName>
    <definedName name="住宅公共部分装修" localSheetId="37">'[3]不动产比较法-住宅'!$B$109:$M$109</definedName>
    <definedName name="住宅公共部分装修">'不动产比较法-住宅'!$B$109:$M$109</definedName>
    <definedName name="住宅基础设施水平" localSheetId="37">'[3]不动产比较法-住宅'!$B$116:$M$116</definedName>
    <definedName name="住宅基础设施水平">'不动产比较法-住宅'!$B$116:$M$116</definedName>
    <definedName name="住宅建筑结构" localSheetId="37">'[3]不动产比较法-住宅'!$B$105:$M$105</definedName>
    <definedName name="住宅建筑结构">'不动产比较法-住宅'!$B$105:$M$105</definedName>
    <definedName name="住宅建筑类型" localSheetId="37">'[3]不动产比较法-住宅'!$B$100:$M$100</definedName>
    <definedName name="住宅建筑类型">'不动产比较法-住宅'!$B$100:$M$100</definedName>
    <definedName name="住宅建筑品质" localSheetId="37">'[3]不动产比较法-住宅'!$B$107:$M$107</definedName>
    <definedName name="住宅建筑品质">'不动产比较法-住宅'!$B$107:$M$107</definedName>
    <definedName name="住宅交易情况" localSheetId="37">'[3]不动产比较法-住宅'!$A$61:$M$61</definedName>
    <definedName name="住宅交易情况">'不动产比较法-住宅'!$A$61:$M$61</definedName>
    <definedName name="住宅楼层" localSheetId="37">'[3]不动产比较法-住宅'!$B$86:$M$86</definedName>
    <definedName name="住宅楼层">'不动产比较法-住宅'!$B$86:$M$86</definedName>
    <definedName name="住宅内部装修" localSheetId="37">'[3]不动产比较法-住宅'!$B$122:$M$122</definedName>
    <definedName name="住宅内部装修">'不动产比较法-住宅'!$B$122:$M$122</definedName>
    <definedName name="住宅物业管理" localSheetId="37">'[3]不动产比较法-住宅'!$B$114:$M$114</definedName>
    <definedName name="住宅物业管理">'不动产比较法-住宅'!$B$114:$M$114</definedName>
    <definedName name="住宅用途" localSheetId="37">'[3]不动产比较法-住宅'!$B$63:$M$63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D5" i="80" l="1"/>
  <c r="D5" i="9"/>
  <c r="C9" i="78"/>
  <c r="K5" i="79"/>
  <c r="K4" i="79"/>
  <c r="K3" i="79"/>
  <c r="K2" i="79"/>
  <c r="B121" i="78"/>
  <c r="B119" i="78"/>
  <c r="B117" i="78"/>
  <c r="E116" i="78"/>
  <c r="F116" i="78" s="1"/>
  <c r="G116" i="78" s="1"/>
  <c r="H116" i="78" s="1"/>
  <c r="I116" i="78" s="1"/>
  <c r="J116" i="78" s="1"/>
  <c r="K116" i="78" s="1"/>
  <c r="L116" i="78" s="1"/>
  <c r="M116" i="78" s="1"/>
  <c r="D116" i="78"/>
  <c r="E114" i="78"/>
  <c r="F114" i="78" s="1"/>
  <c r="G114" i="78" s="1"/>
  <c r="H114" i="78" s="1"/>
  <c r="I114" i="78" s="1"/>
  <c r="J114" i="78" s="1"/>
  <c r="K114" i="78" s="1"/>
  <c r="L114" i="78" s="1"/>
  <c r="M114" i="78" s="1"/>
  <c r="D114" i="78"/>
  <c r="E112" i="78"/>
  <c r="F112" i="78" s="1"/>
  <c r="G112" i="78" s="1"/>
  <c r="H112" i="78" s="1"/>
  <c r="I112" i="78" s="1"/>
  <c r="J112" i="78" s="1"/>
  <c r="K112" i="78" s="1"/>
  <c r="L112" i="78" s="1"/>
  <c r="M112" i="78" s="1"/>
  <c r="D112" i="78"/>
  <c r="M108" i="78"/>
  <c r="L108" i="78"/>
  <c r="K108" i="78"/>
  <c r="J108" i="78"/>
  <c r="I108" i="78"/>
  <c r="H108" i="78"/>
  <c r="G108" i="78"/>
  <c r="F108" i="78"/>
  <c r="E108" i="78"/>
  <c r="D108" i="78"/>
  <c r="C108" i="78"/>
  <c r="B106" i="78"/>
  <c r="B104" i="78"/>
  <c r="B102" i="78"/>
  <c r="E101" i="78"/>
  <c r="F101" i="78" s="1"/>
  <c r="D101" i="78"/>
  <c r="E99" i="78"/>
  <c r="F99" i="78" s="1"/>
  <c r="G99" i="78" s="1"/>
  <c r="H99" i="78" s="1"/>
  <c r="I99" i="78" s="1"/>
  <c r="J99" i="78" s="1"/>
  <c r="K99" i="78" s="1"/>
  <c r="L99" i="78" s="1"/>
  <c r="M99" i="78" s="1"/>
  <c r="D99" i="78"/>
  <c r="E97" i="78"/>
  <c r="F97" i="78" s="1"/>
  <c r="G97" i="78" s="1"/>
  <c r="H97" i="78" s="1"/>
  <c r="I97" i="78" s="1"/>
  <c r="J97" i="78" s="1"/>
  <c r="K97" i="78" s="1"/>
  <c r="L97" i="78" s="1"/>
  <c r="M97" i="78" s="1"/>
  <c r="D97" i="78"/>
  <c r="B96" i="78"/>
  <c r="F95" i="78"/>
  <c r="G95" i="78" s="1"/>
  <c r="E95" i="78"/>
  <c r="D95" i="78"/>
  <c r="F93" i="78"/>
  <c r="G93" i="78" s="1"/>
  <c r="E93" i="78"/>
  <c r="D93" i="78"/>
  <c r="F91" i="78"/>
  <c r="G91" i="78" s="1"/>
  <c r="E91" i="78"/>
  <c r="D91" i="78"/>
  <c r="F89" i="78"/>
  <c r="G89" i="78" s="1"/>
  <c r="E89" i="78"/>
  <c r="D89" i="78"/>
  <c r="F87" i="78"/>
  <c r="G87" i="78" s="1"/>
  <c r="E87" i="78"/>
  <c r="D87" i="78"/>
  <c r="F85" i="78"/>
  <c r="G85" i="78" s="1"/>
  <c r="E85" i="78"/>
  <c r="D85" i="78"/>
  <c r="B82" i="78"/>
  <c r="B80" i="78"/>
  <c r="B78" i="78"/>
  <c r="H77" i="78"/>
  <c r="I77" i="78" s="1"/>
  <c r="J77" i="78" s="1"/>
  <c r="K77" i="78" s="1"/>
  <c r="L77" i="78" s="1"/>
  <c r="M77" i="78" s="1"/>
  <c r="G77" i="78"/>
  <c r="F77" i="78"/>
  <c r="E77" i="78"/>
  <c r="D77" i="78"/>
  <c r="M75" i="78"/>
  <c r="L75" i="78"/>
  <c r="K75" i="78"/>
  <c r="J75" i="78"/>
  <c r="I75" i="78"/>
  <c r="H75" i="78"/>
  <c r="G75" i="78"/>
  <c r="F75" i="78"/>
  <c r="E75" i="78"/>
  <c r="D75" i="78"/>
  <c r="C75" i="78"/>
  <c r="D67" i="78"/>
  <c r="E67" i="78" s="1"/>
  <c r="F67" i="78" s="1"/>
  <c r="G67" i="78" s="1"/>
  <c r="H67" i="78" s="1"/>
  <c r="I67" i="78" s="1"/>
  <c r="J67" i="78" s="1"/>
  <c r="K67" i="78" s="1"/>
  <c r="L67" i="78" s="1"/>
  <c r="M67" i="78" s="1"/>
  <c r="N67" i="78" s="1"/>
  <c r="O67" i="78" s="1"/>
  <c r="P67" i="78" s="1"/>
  <c r="Q67" i="78" s="1"/>
  <c r="R67" i="78" s="1"/>
  <c r="S67" i="78" s="1"/>
  <c r="T67" i="78" s="1"/>
  <c r="U67" i="78" s="1"/>
  <c r="V67" i="78" s="1"/>
  <c r="W67" i="78" s="1"/>
  <c r="X67" i="78" s="1"/>
  <c r="B67" i="78"/>
  <c r="E62" i="78"/>
  <c r="I61" i="78"/>
  <c r="H61" i="78"/>
  <c r="E61" i="78"/>
  <c r="C61" i="78"/>
  <c r="I60" i="78"/>
  <c r="C60" i="78" s="1"/>
  <c r="H60" i="78"/>
  <c r="E60" i="78"/>
  <c r="I59" i="78"/>
  <c r="C59" i="78" s="1"/>
  <c r="H59" i="78"/>
  <c r="E59" i="78"/>
  <c r="I58" i="78"/>
  <c r="C58" i="78" s="1"/>
  <c r="H58" i="78"/>
  <c r="E58" i="78"/>
  <c r="I57" i="78"/>
  <c r="C57" i="78" s="1"/>
  <c r="H57" i="78"/>
  <c r="E57" i="78"/>
  <c r="I56" i="78"/>
  <c r="C56" i="78" s="1"/>
  <c r="H56" i="78"/>
  <c r="I55" i="78"/>
  <c r="H55" i="78"/>
  <c r="C55" i="78"/>
  <c r="I54" i="78"/>
  <c r="C54" i="78" s="1"/>
  <c r="H54" i="78"/>
  <c r="E53" i="78"/>
  <c r="J52" i="78"/>
  <c r="I50" i="78"/>
  <c r="J50" i="78" s="1"/>
  <c r="G50" i="78"/>
  <c r="H50" i="78" s="1"/>
  <c r="E50" i="78"/>
  <c r="F50" i="78" s="1"/>
  <c r="P45" i="78"/>
  <c r="P44" i="78"/>
  <c r="K44" i="78"/>
  <c r="V43" i="78"/>
  <c r="T43" i="78"/>
  <c r="R43" i="78"/>
  <c r="P43" i="78"/>
  <c r="I43" i="78"/>
  <c r="G43" i="78"/>
  <c r="E43" i="78"/>
  <c r="AB42" i="78"/>
  <c r="AA42" i="78"/>
  <c r="Z42" i="78"/>
  <c r="U42" i="78"/>
  <c r="S42" i="78"/>
  <c r="Q42" i="78"/>
  <c r="J42" i="78"/>
  <c r="AC42" i="78" s="1"/>
  <c r="H42" i="78"/>
  <c r="F42" i="78"/>
  <c r="AC41" i="78"/>
  <c r="AA41" i="78"/>
  <c r="Z41" i="78"/>
  <c r="W41" i="78"/>
  <c r="S41" i="78"/>
  <c r="Q41" i="78"/>
  <c r="J41" i="78"/>
  <c r="H41" i="78"/>
  <c r="AB41" i="78" s="1"/>
  <c r="F41" i="78"/>
  <c r="AC40" i="78"/>
  <c r="AB40" i="78"/>
  <c r="Z40" i="78"/>
  <c r="W40" i="78"/>
  <c r="U40" i="78"/>
  <c r="Q40" i="78"/>
  <c r="J40" i="78"/>
  <c r="H40" i="78"/>
  <c r="F40" i="78"/>
  <c r="AA40" i="78" s="1"/>
  <c r="AC39" i="78"/>
  <c r="AB39" i="78"/>
  <c r="AA39" i="78"/>
  <c r="W39" i="78"/>
  <c r="U39" i="78"/>
  <c r="S39" i="78"/>
  <c r="Q39" i="78"/>
  <c r="Z39" i="78" s="1"/>
  <c r="J39" i="78"/>
  <c r="H39" i="78"/>
  <c r="F39" i="78"/>
  <c r="AB38" i="78"/>
  <c r="AA38" i="78"/>
  <c r="Z38" i="78"/>
  <c r="U38" i="78"/>
  <c r="S38" i="78"/>
  <c r="Q38" i="78"/>
  <c r="J38" i="78"/>
  <c r="W38" i="78" s="1"/>
  <c r="H38" i="78"/>
  <c r="F38" i="78"/>
  <c r="AC37" i="78"/>
  <c r="AA37" i="78"/>
  <c r="Z37" i="78"/>
  <c r="W37" i="78"/>
  <c r="S37" i="78"/>
  <c r="Q37" i="78"/>
  <c r="J37" i="78"/>
  <c r="H37" i="78"/>
  <c r="AB37" i="78" s="1"/>
  <c r="F37" i="78"/>
  <c r="Z36" i="78"/>
  <c r="Q36" i="78"/>
  <c r="I36" i="78"/>
  <c r="G36" i="78"/>
  <c r="E36" i="78"/>
  <c r="C36" i="78"/>
  <c r="AC35" i="78"/>
  <c r="AB35" i="78"/>
  <c r="AA35" i="78"/>
  <c r="W35" i="78"/>
  <c r="U35" i="78"/>
  <c r="S35" i="78"/>
  <c r="Q35" i="78"/>
  <c r="Z35" i="78" s="1"/>
  <c r="J35" i="78"/>
  <c r="H35" i="78"/>
  <c r="F35" i="78"/>
  <c r="AB34" i="78"/>
  <c r="AA34" i="78"/>
  <c r="Z34" i="78"/>
  <c r="U34" i="78"/>
  <c r="S34" i="78"/>
  <c r="Q34" i="78"/>
  <c r="J34" i="78"/>
  <c r="W34" i="78" s="1"/>
  <c r="H34" i="78"/>
  <c r="F34" i="78"/>
  <c r="AC33" i="78"/>
  <c r="AA33" i="78"/>
  <c r="Z33" i="78"/>
  <c r="W33" i="78"/>
  <c r="S33" i="78"/>
  <c r="Q33" i="78"/>
  <c r="J33" i="78"/>
  <c r="H33" i="78"/>
  <c r="AB33" i="78" s="1"/>
  <c r="F33" i="78"/>
  <c r="Z32" i="78"/>
  <c r="Q32" i="78"/>
  <c r="H32" i="78"/>
  <c r="U32" i="78" s="1"/>
  <c r="F32" i="78"/>
  <c r="S32" i="78" s="1"/>
  <c r="C32" i="78"/>
  <c r="AC30" i="78"/>
  <c r="AB30" i="78"/>
  <c r="Z30" i="78"/>
  <c r="W30" i="78"/>
  <c r="U30" i="78"/>
  <c r="Q30" i="78"/>
  <c r="J30" i="78"/>
  <c r="H30" i="78"/>
  <c r="F30" i="78"/>
  <c r="AA30" i="78" s="1"/>
  <c r="C30" i="78"/>
  <c r="AC29" i="78"/>
  <c r="AB29" i="78"/>
  <c r="Z29" i="78"/>
  <c r="W29" i="78"/>
  <c r="U29" i="78"/>
  <c r="Q29" i="78"/>
  <c r="J29" i="78"/>
  <c r="H29" i="78"/>
  <c r="F29" i="78"/>
  <c r="AA29" i="78" s="1"/>
  <c r="AC27" i="78"/>
  <c r="AB27" i="78"/>
  <c r="AA27" i="78"/>
  <c r="W27" i="78"/>
  <c r="U27" i="78"/>
  <c r="S27" i="78"/>
  <c r="Q27" i="78"/>
  <c r="Z27" i="78" s="1"/>
  <c r="J27" i="78"/>
  <c r="H27" i="78"/>
  <c r="F27" i="78"/>
  <c r="C27" i="78"/>
  <c r="AA25" i="78"/>
  <c r="S25" i="78"/>
  <c r="Q25" i="78"/>
  <c r="Z25" i="78" s="1"/>
  <c r="J25" i="78"/>
  <c r="AC25" i="78" s="1"/>
  <c r="H25" i="78"/>
  <c r="AB25" i="78" s="1"/>
  <c r="F25" i="78"/>
  <c r="C25" i="78"/>
  <c r="AB23" i="78"/>
  <c r="AA23" i="78"/>
  <c r="Z23" i="78"/>
  <c r="U23" i="78"/>
  <c r="S23" i="78"/>
  <c r="Q23" i="78"/>
  <c r="J23" i="78"/>
  <c r="AC23" i="78" s="1"/>
  <c r="H23" i="78"/>
  <c r="F23" i="78"/>
  <c r="C23" i="78"/>
  <c r="AA21" i="78"/>
  <c r="Z21" i="78"/>
  <c r="Q21" i="78"/>
  <c r="J21" i="78"/>
  <c r="AC21" i="78" s="1"/>
  <c r="H21" i="78"/>
  <c r="AB21" i="78" s="1"/>
  <c r="F21" i="78"/>
  <c r="S21" i="78" s="1"/>
  <c r="C21" i="78"/>
  <c r="AC19" i="78"/>
  <c r="AA19" i="78"/>
  <c r="W19" i="78"/>
  <c r="Q19" i="78"/>
  <c r="Z19" i="78" s="1"/>
  <c r="J19" i="78"/>
  <c r="H19" i="78"/>
  <c r="AB19" i="78" s="1"/>
  <c r="F19" i="78"/>
  <c r="S19" i="78" s="1"/>
  <c r="C19" i="78"/>
  <c r="Q17" i="78"/>
  <c r="Z17" i="78" s="1"/>
  <c r="J17" i="78"/>
  <c r="AC17" i="78" s="1"/>
  <c r="H17" i="78"/>
  <c r="AB17" i="78" s="1"/>
  <c r="F17" i="78"/>
  <c r="AA17" i="78" s="1"/>
  <c r="C17" i="78"/>
  <c r="Q16" i="78"/>
  <c r="Z16" i="78" s="1"/>
  <c r="J16" i="78"/>
  <c r="AC16" i="78" s="1"/>
  <c r="H16" i="78"/>
  <c r="AB16" i="78" s="1"/>
  <c r="F16" i="78"/>
  <c r="S16" i="78" s="1"/>
  <c r="Q15" i="78"/>
  <c r="Z15" i="78" s="1"/>
  <c r="J15" i="78"/>
  <c r="W15" i="78" s="1"/>
  <c r="W14" i="78"/>
  <c r="U14" i="78"/>
  <c r="Q14" i="78"/>
  <c r="Z14" i="78" s="1"/>
  <c r="J14" i="78"/>
  <c r="AC14" i="78" s="1"/>
  <c r="H14" i="78"/>
  <c r="AB14" i="78" s="1"/>
  <c r="F14" i="78"/>
  <c r="AA14" i="78" s="1"/>
  <c r="Q13" i="78"/>
  <c r="Z13" i="78" s="1"/>
  <c r="J13" i="78"/>
  <c r="AC13" i="78" s="1"/>
  <c r="H13" i="78"/>
  <c r="U13" i="78" s="1"/>
  <c r="F13" i="78"/>
  <c r="AA13" i="78" s="1"/>
  <c r="Q12" i="78"/>
  <c r="Z12" i="78" s="1"/>
  <c r="J12" i="78"/>
  <c r="AC12" i="78" s="1"/>
  <c r="H12" i="78"/>
  <c r="AB12" i="78" s="1"/>
  <c r="F12" i="78"/>
  <c r="S12" i="78" s="1"/>
  <c r="Q11" i="78"/>
  <c r="Z11" i="78" s="1"/>
  <c r="J11" i="78"/>
  <c r="W11" i="78" s="1"/>
  <c r="H11" i="78"/>
  <c r="AB11" i="78" s="1"/>
  <c r="F11" i="78"/>
  <c r="AA11" i="78" s="1"/>
  <c r="AC10" i="78"/>
  <c r="AB10" i="78"/>
  <c r="W10" i="78"/>
  <c r="U10" i="78"/>
  <c r="S10" i="78"/>
  <c r="J10" i="78"/>
  <c r="H10" i="78"/>
  <c r="F10" i="78"/>
  <c r="AA10" i="78" s="1"/>
  <c r="I9" i="78"/>
  <c r="G9" i="78"/>
  <c r="E9" i="78"/>
  <c r="C64" i="78"/>
  <c r="I7" i="78"/>
  <c r="G7" i="78"/>
  <c r="E7" i="78"/>
  <c r="D13" i="11"/>
  <c r="D8" i="11"/>
  <c r="E8" i="11"/>
  <c r="C36" i="75"/>
  <c r="C7" i="75"/>
  <c r="O67" i="75"/>
  <c r="C9" i="75"/>
  <c r="J31" i="76"/>
  <c r="J30" i="76"/>
  <c r="J29" i="76"/>
  <c r="J28" i="76"/>
  <c r="J27" i="76"/>
  <c r="J26" i="76"/>
  <c r="J25" i="76"/>
  <c r="J24" i="76"/>
  <c r="K6" i="76"/>
  <c r="J6" i="76"/>
  <c r="K5" i="76"/>
  <c r="J5" i="76"/>
  <c r="K4" i="76"/>
  <c r="J4" i="76"/>
  <c r="K3" i="76"/>
  <c r="J3" i="76"/>
  <c r="B121" i="75"/>
  <c r="B119" i="75"/>
  <c r="B117" i="75"/>
  <c r="G116" i="75"/>
  <c r="H116" i="75" s="1"/>
  <c r="I116" i="75" s="1"/>
  <c r="J116" i="75" s="1"/>
  <c r="K116" i="75" s="1"/>
  <c r="L116" i="75" s="1"/>
  <c r="M116" i="75" s="1"/>
  <c r="F116" i="75"/>
  <c r="E116" i="75"/>
  <c r="D116" i="75"/>
  <c r="E114" i="75"/>
  <c r="F114" i="75" s="1"/>
  <c r="G114" i="75" s="1"/>
  <c r="H114" i="75" s="1"/>
  <c r="I114" i="75" s="1"/>
  <c r="J114" i="75" s="1"/>
  <c r="K114" i="75" s="1"/>
  <c r="L114" i="75" s="1"/>
  <c r="M114" i="75" s="1"/>
  <c r="D114" i="75"/>
  <c r="E112" i="75"/>
  <c r="J37" i="75" s="1"/>
  <c r="W37" i="75" s="1"/>
  <c r="D112" i="75"/>
  <c r="G110" i="75"/>
  <c r="F110" i="75"/>
  <c r="E110" i="75"/>
  <c r="D110" i="75"/>
  <c r="M108" i="75"/>
  <c r="L108" i="75"/>
  <c r="K108" i="75"/>
  <c r="J108" i="75"/>
  <c r="I108" i="75"/>
  <c r="H108" i="75"/>
  <c r="G108" i="75"/>
  <c r="F108" i="75"/>
  <c r="E108" i="75"/>
  <c r="D108" i="75"/>
  <c r="C108" i="75"/>
  <c r="B106" i="75"/>
  <c r="B104" i="75"/>
  <c r="B102" i="75"/>
  <c r="E101" i="75"/>
  <c r="F101" i="75" s="1"/>
  <c r="G101" i="75" s="1"/>
  <c r="H101" i="75" s="1"/>
  <c r="I101" i="75" s="1"/>
  <c r="J101" i="75" s="1"/>
  <c r="K101" i="75" s="1"/>
  <c r="L101" i="75" s="1"/>
  <c r="M101" i="75" s="1"/>
  <c r="D101" i="75"/>
  <c r="E99" i="75"/>
  <c r="F99" i="75" s="1"/>
  <c r="G99" i="75" s="1"/>
  <c r="H99" i="75" s="1"/>
  <c r="I99" i="75" s="1"/>
  <c r="J99" i="75" s="1"/>
  <c r="K99" i="75" s="1"/>
  <c r="L99" i="75" s="1"/>
  <c r="M99" i="75" s="1"/>
  <c r="D99" i="75"/>
  <c r="E97" i="75"/>
  <c r="F97" i="75" s="1"/>
  <c r="G97" i="75" s="1"/>
  <c r="H97" i="75" s="1"/>
  <c r="I97" i="75" s="1"/>
  <c r="J97" i="75" s="1"/>
  <c r="K97" i="75" s="1"/>
  <c r="L97" i="75" s="1"/>
  <c r="M97" i="75" s="1"/>
  <c r="D97" i="75"/>
  <c r="B96" i="75"/>
  <c r="F95" i="75"/>
  <c r="G95" i="75" s="1"/>
  <c r="E95" i="75"/>
  <c r="D95" i="75"/>
  <c r="F93" i="75"/>
  <c r="G93" i="75" s="1"/>
  <c r="E93" i="75"/>
  <c r="D93" i="75"/>
  <c r="F91" i="75"/>
  <c r="G91" i="75" s="1"/>
  <c r="E91" i="75"/>
  <c r="D91" i="75"/>
  <c r="D89" i="75"/>
  <c r="E89" i="75" s="1"/>
  <c r="F89" i="75" s="1"/>
  <c r="H21" i="75" s="1"/>
  <c r="U21" i="75" s="1"/>
  <c r="F87" i="75"/>
  <c r="G87" i="75" s="1"/>
  <c r="E87" i="75"/>
  <c r="D87" i="75"/>
  <c r="D85" i="75"/>
  <c r="E85" i="75" s="1"/>
  <c r="B82" i="75"/>
  <c r="B80" i="75"/>
  <c r="B78" i="75"/>
  <c r="E77" i="75"/>
  <c r="F77" i="75" s="1"/>
  <c r="G77" i="75" s="1"/>
  <c r="H77" i="75" s="1"/>
  <c r="I77" i="75" s="1"/>
  <c r="J77" i="75" s="1"/>
  <c r="K77" i="75" s="1"/>
  <c r="L77" i="75" s="1"/>
  <c r="M77" i="75" s="1"/>
  <c r="D77" i="75"/>
  <c r="M75" i="75"/>
  <c r="L75" i="75"/>
  <c r="K75" i="75"/>
  <c r="J75" i="75"/>
  <c r="I75" i="75"/>
  <c r="H75" i="75"/>
  <c r="G75" i="75"/>
  <c r="F75" i="75"/>
  <c r="E75" i="75"/>
  <c r="D75" i="75"/>
  <c r="C75" i="75"/>
  <c r="D67" i="75"/>
  <c r="E67" i="75" s="1"/>
  <c r="F67" i="75" s="1"/>
  <c r="G67" i="75" s="1"/>
  <c r="H67" i="75" s="1"/>
  <c r="I67" i="75" s="1"/>
  <c r="B67" i="75"/>
  <c r="E62" i="75"/>
  <c r="I61" i="75"/>
  <c r="C61" i="75" s="1"/>
  <c r="H61" i="75"/>
  <c r="E61" i="75"/>
  <c r="I60" i="75"/>
  <c r="H60" i="75"/>
  <c r="E60" i="75"/>
  <c r="C60" i="75"/>
  <c r="I59" i="75"/>
  <c r="H59" i="75"/>
  <c r="E59" i="75"/>
  <c r="C59" i="75"/>
  <c r="I58" i="75"/>
  <c r="C58" i="75" s="1"/>
  <c r="H58" i="75"/>
  <c r="E58" i="75"/>
  <c r="I57" i="75"/>
  <c r="C57" i="75" s="1"/>
  <c r="H57" i="75"/>
  <c r="E57" i="75"/>
  <c r="I56" i="75"/>
  <c r="C56" i="75" s="1"/>
  <c r="H56" i="75"/>
  <c r="I55" i="75"/>
  <c r="H55" i="75"/>
  <c r="C55" i="75"/>
  <c r="I54" i="75"/>
  <c r="C54" i="75" s="1"/>
  <c r="H54" i="75"/>
  <c r="E53" i="75"/>
  <c r="J52" i="75"/>
  <c r="I50" i="75"/>
  <c r="J50" i="75" s="1"/>
  <c r="G50" i="75"/>
  <c r="H50" i="75" s="1"/>
  <c r="E50" i="75"/>
  <c r="F50" i="75" s="1"/>
  <c r="P45" i="75"/>
  <c r="P44" i="75"/>
  <c r="K44" i="75"/>
  <c r="V43" i="75"/>
  <c r="T43" i="75"/>
  <c r="R43" i="75"/>
  <c r="P43" i="75"/>
  <c r="I43" i="75"/>
  <c r="G43" i="75"/>
  <c r="E43" i="75"/>
  <c r="AC42" i="75"/>
  <c r="AB42" i="75"/>
  <c r="AA42" i="75"/>
  <c r="Z42" i="75"/>
  <c r="W42" i="75"/>
  <c r="U42" i="75"/>
  <c r="S42" i="75"/>
  <c r="Q42" i="75"/>
  <c r="J42" i="75"/>
  <c r="H42" i="75"/>
  <c r="F42" i="75"/>
  <c r="AC41" i="75"/>
  <c r="AB41" i="75"/>
  <c r="AA41" i="75"/>
  <c r="Z41" i="75"/>
  <c r="W41" i="75"/>
  <c r="U41" i="75"/>
  <c r="S41" i="75"/>
  <c r="Q41" i="75"/>
  <c r="J41" i="75"/>
  <c r="H41" i="75"/>
  <c r="F41" i="75"/>
  <c r="AC40" i="75"/>
  <c r="AB40" i="75"/>
  <c r="AA40" i="75"/>
  <c r="Z40" i="75"/>
  <c r="W40" i="75"/>
  <c r="U40" i="75"/>
  <c r="S40" i="75"/>
  <c r="Q40" i="75"/>
  <c r="J40" i="75"/>
  <c r="H40" i="75"/>
  <c r="F40" i="75"/>
  <c r="AC39" i="75"/>
  <c r="AB39" i="75"/>
  <c r="AA39" i="75"/>
  <c r="Z39" i="75"/>
  <c r="W39" i="75"/>
  <c r="U39" i="75"/>
  <c r="S39" i="75"/>
  <c r="Q39" i="75"/>
  <c r="J39" i="75"/>
  <c r="H39" i="75"/>
  <c r="F39" i="75"/>
  <c r="AC38" i="75"/>
  <c r="AB38" i="75"/>
  <c r="AA38" i="75"/>
  <c r="Z38" i="75"/>
  <c r="W38" i="75"/>
  <c r="U38" i="75"/>
  <c r="S38" i="75"/>
  <c r="Q38" i="75"/>
  <c r="J38" i="75"/>
  <c r="H38" i="75"/>
  <c r="F38" i="75"/>
  <c r="Z37" i="75"/>
  <c r="Q37" i="75"/>
  <c r="Z36" i="75"/>
  <c r="Q36" i="75"/>
  <c r="J36" i="75"/>
  <c r="AC36" i="75" s="1"/>
  <c r="I36" i="75"/>
  <c r="H36" i="75"/>
  <c r="AB36" i="75" s="1"/>
  <c r="G36" i="75"/>
  <c r="F36" i="75"/>
  <c r="AA36" i="75" s="1"/>
  <c r="E36" i="75"/>
  <c r="AC35" i="75"/>
  <c r="AB35" i="75"/>
  <c r="AA35" i="75"/>
  <c r="Z35" i="75"/>
  <c r="W35" i="75"/>
  <c r="U35" i="75"/>
  <c r="S35" i="75"/>
  <c r="Q35" i="75"/>
  <c r="J35" i="75"/>
  <c r="H35" i="75"/>
  <c r="F35" i="75"/>
  <c r="AC34" i="75"/>
  <c r="AB34" i="75"/>
  <c r="AA34" i="75"/>
  <c r="Z34" i="75"/>
  <c r="W34" i="75"/>
  <c r="U34" i="75"/>
  <c r="S34" i="75"/>
  <c r="Q34" i="75"/>
  <c r="J34" i="75"/>
  <c r="H34" i="75"/>
  <c r="F34" i="75"/>
  <c r="AC33" i="75"/>
  <c r="AB33" i="75"/>
  <c r="AA33" i="75"/>
  <c r="Z33" i="75"/>
  <c r="W33" i="75"/>
  <c r="U33" i="75"/>
  <c r="S33" i="75"/>
  <c r="Q33" i="75"/>
  <c r="J33" i="75"/>
  <c r="H33" i="75"/>
  <c r="F33" i="75"/>
  <c r="Z32" i="75"/>
  <c r="Q32" i="75"/>
  <c r="J32" i="75"/>
  <c r="AC32" i="75" s="1"/>
  <c r="H32" i="75"/>
  <c r="AB32" i="75" s="1"/>
  <c r="F32" i="75"/>
  <c r="AA32" i="75" s="1"/>
  <c r="C32" i="75"/>
  <c r="AC30" i="75"/>
  <c r="AB30" i="75"/>
  <c r="AA30" i="75"/>
  <c r="Z30" i="75"/>
  <c r="W30" i="75"/>
  <c r="U30" i="75"/>
  <c r="S30" i="75"/>
  <c r="Q30" i="75"/>
  <c r="J30" i="75"/>
  <c r="H30" i="75"/>
  <c r="F30" i="75"/>
  <c r="C30" i="75"/>
  <c r="Q29" i="75"/>
  <c r="Z29" i="75" s="1"/>
  <c r="AB27" i="75"/>
  <c r="Z27" i="75"/>
  <c r="U27" i="75"/>
  <c r="Q27" i="75"/>
  <c r="J27" i="75"/>
  <c r="AC27" i="75" s="1"/>
  <c r="H27" i="75"/>
  <c r="F27" i="75"/>
  <c r="AA27" i="75" s="1"/>
  <c r="C27" i="75"/>
  <c r="AB25" i="75"/>
  <c r="AA25" i="75"/>
  <c r="Z25" i="75"/>
  <c r="U25" i="75"/>
  <c r="Q25" i="75"/>
  <c r="J25" i="75"/>
  <c r="AC25" i="75" s="1"/>
  <c r="H25" i="75"/>
  <c r="F25" i="75"/>
  <c r="S25" i="75" s="1"/>
  <c r="C25" i="75"/>
  <c r="AB23" i="75"/>
  <c r="Z23" i="75"/>
  <c r="Q23" i="75"/>
  <c r="J23" i="75"/>
  <c r="AC23" i="75" s="1"/>
  <c r="H23" i="75"/>
  <c r="U23" i="75" s="1"/>
  <c r="F23" i="75"/>
  <c r="AA23" i="75" s="1"/>
  <c r="C23" i="75"/>
  <c r="Z21" i="75"/>
  <c r="Q21" i="75"/>
  <c r="C21" i="75"/>
  <c r="AB19" i="75"/>
  <c r="AA19" i="75"/>
  <c r="Z19" i="75"/>
  <c r="Q19" i="75"/>
  <c r="J19" i="75"/>
  <c r="AC19" i="75" s="1"/>
  <c r="H19" i="75"/>
  <c r="U19" i="75" s="1"/>
  <c r="F19" i="75"/>
  <c r="S19" i="75" s="1"/>
  <c r="C19" i="75"/>
  <c r="Z17" i="75"/>
  <c r="Q17" i="75"/>
  <c r="C17" i="75"/>
  <c r="AB16" i="75"/>
  <c r="AA16" i="75"/>
  <c r="Z16" i="75"/>
  <c r="Q16" i="75"/>
  <c r="J16" i="75"/>
  <c r="AC16" i="75" s="1"/>
  <c r="H16" i="75"/>
  <c r="U16" i="75" s="1"/>
  <c r="F16" i="75"/>
  <c r="S16" i="75" s="1"/>
  <c r="AC15" i="75"/>
  <c r="Z15" i="75"/>
  <c r="W15" i="75"/>
  <c r="Q15" i="75"/>
  <c r="J15" i="75"/>
  <c r="H15" i="75"/>
  <c r="AB15" i="75" s="1"/>
  <c r="F15" i="75"/>
  <c r="AA15" i="75" s="1"/>
  <c r="Z14" i="75"/>
  <c r="W14" i="75"/>
  <c r="Q14" i="75"/>
  <c r="J14" i="75"/>
  <c r="AC14" i="75" s="1"/>
  <c r="H14" i="75"/>
  <c r="U14" i="75" s="1"/>
  <c r="F14" i="75"/>
  <c r="AA14" i="75" s="1"/>
  <c r="AC13" i="75"/>
  <c r="AB13" i="75"/>
  <c r="AA13" i="75"/>
  <c r="Q13" i="75"/>
  <c r="Z13" i="75" s="1"/>
  <c r="J13" i="75"/>
  <c r="W13" i="75" s="1"/>
  <c r="H13" i="75"/>
  <c r="U13" i="75" s="1"/>
  <c r="F13" i="75"/>
  <c r="S13" i="75" s="1"/>
  <c r="AB12" i="75"/>
  <c r="Z12" i="75"/>
  <c r="Q12" i="75"/>
  <c r="J12" i="75"/>
  <c r="AC12" i="75" s="1"/>
  <c r="H12" i="75"/>
  <c r="U12" i="75" s="1"/>
  <c r="F12" i="75"/>
  <c r="AA12" i="75" s="1"/>
  <c r="AA11" i="75"/>
  <c r="Z11" i="75"/>
  <c r="W11" i="75"/>
  <c r="Q11" i="75"/>
  <c r="J11" i="75"/>
  <c r="AC11" i="75" s="1"/>
  <c r="H11" i="75"/>
  <c r="AB11" i="75" s="1"/>
  <c r="F11" i="75"/>
  <c r="S11" i="75" s="1"/>
  <c r="AC10" i="75"/>
  <c r="W10" i="75"/>
  <c r="S10" i="75"/>
  <c r="J10" i="75"/>
  <c r="H10" i="75"/>
  <c r="U10" i="75" s="1"/>
  <c r="F10" i="75"/>
  <c r="AA10" i="75" s="1"/>
  <c r="I9" i="75"/>
  <c r="G9" i="75"/>
  <c r="E9" i="75"/>
  <c r="C64" i="75"/>
  <c r="I7" i="75"/>
  <c r="G7" i="75"/>
  <c r="E7" i="75"/>
  <c r="D64" i="78" l="1"/>
  <c r="C66" i="78"/>
  <c r="J32" i="78"/>
  <c r="G101" i="78"/>
  <c r="H101" i="78" s="1"/>
  <c r="I101" i="78" s="1"/>
  <c r="J101" i="78" s="1"/>
  <c r="K101" i="78" s="1"/>
  <c r="L101" i="78" s="1"/>
  <c r="M101" i="78" s="1"/>
  <c r="AC11" i="78"/>
  <c r="S13" i="78"/>
  <c r="AC15" i="78"/>
  <c r="S17" i="78"/>
  <c r="AC34" i="78"/>
  <c r="J36" i="78"/>
  <c r="F36" i="78"/>
  <c r="U37" i="78"/>
  <c r="AC38" i="78"/>
  <c r="S40" i="78"/>
  <c r="W42" i="78"/>
  <c r="AA32" i="78"/>
  <c r="AA12" i="78"/>
  <c r="AB13" i="78"/>
  <c r="AA16" i="78"/>
  <c r="AB32" i="78"/>
  <c r="S29" i="78"/>
  <c r="S30" i="78"/>
  <c r="H36" i="78"/>
  <c r="H15" i="78"/>
  <c r="F15" i="78"/>
  <c r="U33" i="78"/>
  <c r="U41" i="78"/>
  <c r="S11" i="78"/>
  <c r="U12" i="78"/>
  <c r="W13" i="78"/>
  <c r="U16" i="78"/>
  <c r="U21" i="78"/>
  <c r="U17" i="78"/>
  <c r="U19" i="78"/>
  <c r="U25" i="78"/>
  <c r="U11" i="78"/>
  <c r="W12" i="78"/>
  <c r="S14" i="78"/>
  <c r="W16" i="78"/>
  <c r="W17" i="78"/>
  <c r="W21" i="78"/>
  <c r="W23" i="78"/>
  <c r="W25" i="78"/>
  <c r="F37" i="75"/>
  <c r="AA37" i="75" s="1"/>
  <c r="F112" i="75"/>
  <c r="G112" i="75" s="1"/>
  <c r="H112" i="75" s="1"/>
  <c r="I112" i="75" s="1"/>
  <c r="J112" i="75" s="1"/>
  <c r="K112" i="75" s="1"/>
  <c r="L112" i="75" s="1"/>
  <c r="M112" i="75" s="1"/>
  <c r="H37" i="75"/>
  <c r="AB37" i="75" s="1"/>
  <c r="AC37" i="75"/>
  <c r="S36" i="75"/>
  <c r="F85" i="75"/>
  <c r="G85" i="75" s="1"/>
  <c r="J17" i="75"/>
  <c r="AC17" i="75" s="1"/>
  <c r="H17" i="75"/>
  <c r="AB17" i="75" s="1"/>
  <c r="F17" i="75"/>
  <c r="J67" i="75"/>
  <c r="K67" i="75" s="1"/>
  <c r="L67" i="75" s="1"/>
  <c r="M67" i="75" s="1"/>
  <c r="N67" i="75" s="1"/>
  <c r="C66" i="75"/>
  <c r="D64" i="75"/>
  <c r="U17" i="75"/>
  <c r="S23" i="75"/>
  <c r="S27" i="75"/>
  <c r="S32" i="75"/>
  <c r="F29" i="75"/>
  <c r="U32" i="75"/>
  <c r="U36" i="75"/>
  <c r="AB21" i="75"/>
  <c r="S12" i="75"/>
  <c r="S15" i="75"/>
  <c r="J21" i="75"/>
  <c r="G89" i="75"/>
  <c r="AB10" i="75"/>
  <c r="AB14" i="75"/>
  <c r="H29" i="75"/>
  <c r="W32" i="75"/>
  <c r="W36" i="75"/>
  <c r="F21" i="75"/>
  <c r="J29" i="75"/>
  <c r="U11" i="75"/>
  <c r="W12" i="75"/>
  <c r="S14" i="75"/>
  <c r="U15" i="75"/>
  <c r="W16" i="75"/>
  <c r="W17" i="75"/>
  <c r="W19" i="75"/>
  <c r="W23" i="75"/>
  <c r="W25" i="75"/>
  <c r="W27" i="75"/>
  <c r="AB15" i="78" l="1"/>
  <c r="U15" i="78"/>
  <c r="S36" i="78"/>
  <c r="AA36" i="78"/>
  <c r="AC32" i="78"/>
  <c r="W32" i="78"/>
  <c r="U36" i="78"/>
  <c r="AB36" i="78"/>
  <c r="AA15" i="78"/>
  <c r="S15" i="78"/>
  <c r="AC36" i="78"/>
  <c r="W36" i="78"/>
  <c r="E64" i="78"/>
  <c r="D66" i="78"/>
  <c r="U37" i="75"/>
  <c r="S37" i="75"/>
  <c r="S17" i="75"/>
  <c r="AA17" i="75"/>
  <c r="U29" i="75"/>
  <c r="AB29" i="75"/>
  <c r="AC21" i="75"/>
  <c r="W21" i="75"/>
  <c r="E64" i="75"/>
  <c r="D66" i="75"/>
  <c r="S29" i="75"/>
  <c r="AA29" i="75"/>
  <c r="S21" i="75"/>
  <c r="AA21" i="75"/>
  <c r="W29" i="75"/>
  <c r="AC29" i="75"/>
  <c r="E66" i="78" l="1"/>
  <c r="F64" i="78"/>
  <c r="F64" i="75"/>
  <c r="E66" i="75"/>
  <c r="F66" i="78" l="1"/>
  <c r="G64" i="78"/>
  <c r="F66" i="75"/>
  <c r="G64" i="75"/>
  <c r="H64" i="78" l="1"/>
  <c r="G66" i="78"/>
  <c r="G66" i="75"/>
  <c r="H64" i="75"/>
  <c r="I64" i="78" l="1"/>
  <c r="H66" i="78"/>
  <c r="I64" i="75"/>
  <c r="H66" i="75"/>
  <c r="I66" i="78" l="1"/>
  <c r="J64" i="78"/>
  <c r="J64" i="75"/>
  <c r="I66" i="75"/>
  <c r="J66" i="78" l="1"/>
  <c r="K64" i="78"/>
  <c r="J66" i="75"/>
  <c r="K64" i="75"/>
  <c r="L64" i="78" l="1"/>
  <c r="K66" i="78"/>
  <c r="L64" i="75"/>
  <c r="K66" i="75"/>
  <c r="M64" i="78" l="1"/>
  <c r="L66" i="78"/>
  <c r="M64" i="75"/>
  <c r="L66" i="75"/>
  <c r="M66" i="78" l="1"/>
  <c r="N64" i="78"/>
  <c r="N66" i="78" s="1"/>
  <c r="N64" i="75"/>
  <c r="N66" i="75" s="1"/>
  <c r="M66" i="75"/>
  <c r="H9" i="78" l="1"/>
  <c r="J9" i="78"/>
  <c r="F9" i="78"/>
  <c r="J9" i="75"/>
  <c r="H9" i="75"/>
  <c r="F9" i="75"/>
  <c r="S9" i="78" l="1"/>
  <c r="AA9" i="78"/>
  <c r="R44" i="78" s="1"/>
  <c r="AC9" i="78"/>
  <c r="V44" i="78" s="1"/>
  <c r="I44" i="78" s="1"/>
  <c r="W9" i="78"/>
  <c r="AB9" i="78"/>
  <c r="T44" i="78" s="1"/>
  <c r="G44" i="78" s="1"/>
  <c r="U9" i="78"/>
  <c r="AB9" i="75"/>
  <c r="T44" i="75" s="1"/>
  <c r="G44" i="75" s="1"/>
  <c r="U9" i="75"/>
  <c r="S9" i="75"/>
  <c r="AA9" i="75"/>
  <c r="R44" i="75" s="1"/>
  <c r="AC9" i="75"/>
  <c r="V44" i="75" s="1"/>
  <c r="I44" i="75" s="1"/>
  <c r="W9" i="75"/>
  <c r="I48" i="78" l="1"/>
  <c r="J48" i="78" s="1"/>
  <c r="R45" i="78"/>
  <c r="E44" i="78"/>
  <c r="G48" i="78"/>
  <c r="H48" i="78" s="1"/>
  <c r="G49" i="78"/>
  <c r="H49" i="78" s="1"/>
  <c r="R45" i="75"/>
  <c r="E44" i="75"/>
  <c r="I49" i="75"/>
  <c r="J49" i="75" s="1"/>
  <c r="I48" i="75"/>
  <c r="J48" i="75" s="1"/>
  <c r="G49" i="75"/>
  <c r="H49" i="75" s="1"/>
  <c r="G48" i="75"/>
  <c r="H48" i="75" s="1"/>
  <c r="C44" i="78" l="1"/>
  <c r="C45" i="78"/>
  <c r="E49" i="78"/>
  <c r="F49" i="78" s="1"/>
  <c r="E48" i="78"/>
  <c r="F48" i="78" s="1"/>
  <c r="I49" i="78"/>
  <c r="J49" i="78" s="1"/>
  <c r="E49" i="75"/>
  <c r="F49" i="75" s="1"/>
  <c r="E48" i="75"/>
  <c r="F48" i="75" s="1"/>
  <c r="C45" i="75"/>
  <c r="C44" i="75"/>
  <c r="B60" i="78" l="1"/>
  <c r="F60" i="78" s="1"/>
  <c r="B58" i="78"/>
  <c r="F58" i="78" s="1"/>
  <c r="B55" i="78"/>
  <c r="F55" i="78" s="1"/>
  <c r="B53" i="78"/>
  <c r="F53" i="78" s="1"/>
  <c r="B54" i="78"/>
  <c r="F54" i="78" s="1"/>
  <c r="F62" i="78"/>
  <c r="B2" i="78" s="1"/>
  <c r="B61" i="78"/>
  <c r="F61" i="78" s="1"/>
  <c r="B59" i="78"/>
  <c r="F59" i="78" s="1"/>
  <c r="B57" i="78"/>
  <c r="F57" i="78" s="1"/>
  <c r="B56" i="78"/>
  <c r="F56" i="78" s="1"/>
  <c r="F62" i="75"/>
  <c r="B2" i="75" s="1"/>
  <c r="B60" i="75"/>
  <c r="F60" i="75" s="1"/>
  <c r="B58" i="75"/>
  <c r="F58" i="75" s="1"/>
  <c r="B55" i="75"/>
  <c r="F55" i="75" s="1"/>
  <c r="B53" i="75"/>
  <c r="F53" i="75" s="1"/>
  <c r="B57" i="75"/>
  <c r="F57" i="75" s="1"/>
  <c r="B56" i="75"/>
  <c r="F56" i="75" s="1"/>
  <c r="B54" i="75"/>
  <c r="F54" i="75" s="1"/>
  <c r="B59" i="75"/>
  <c r="F59" i="75" s="1"/>
  <c r="B61" i="75"/>
  <c r="F61" i="75" s="1"/>
  <c r="B4" i="78" l="1"/>
  <c r="B3" i="78"/>
  <c r="B5" i="78"/>
  <c r="B4" i="75"/>
  <c r="B3" i="75"/>
  <c r="B5" i="75"/>
  <c r="E67" i="73" l="1"/>
  <c r="F67" i="73" s="1"/>
  <c r="G67" i="73" s="1"/>
  <c r="H67" i="73" s="1"/>
  <c r="I67" i="73" s="1"/>
  <c r="J67" i="73" s="1"/>
  <c r="K67" i="73" s="1"/>
  <c r="L67" i="73" s="1"/>
  <c r="M67" i="73" s="1"/>
  <c r="N67" i="73" s="1"/>
  <c r="O67" i="73" s="1"/>
  <c r="P67" i="73" s="1"/>
  <c r="Q67" i="73" s="1"/>
  <c r="D67" i="73"/>
  <c r="I7" i="73"/>
  <c r="G7" i="73"/>
  <c r="E7" i="73"/>
  <c r="U31" i="74"/>
  <c r="U30" i="74"/>
  <c r="U29" i="74"/>
  <c r="U28" i="74"/>
  <c r="U27" i="74"/>
  <c r="U26" i="74"/>
  <c r="U25" i="74"/>
  <c r="U24" i="74"/>
  <c r="U23" i="74"/>
  <c r="U22" i="74"/>
  <c r="U21" i="74"/>
  <c r="U20" i="74"/>
  <c r="U19" i="74"/>
  <c r="U18" i="74"/>
  <c r="U17" i="74"/>
  <c r="N17" i="74"/>
  <c r="U16" i="74"/>
  <c r="U15" i="74"/>
  <c r="U14" i="74"/>
  <c r="U13" i="74"/>
  <c r="U12" i="74"/>
  <c r="U11" i="74"/>
  <c r="U10" i="74"/>
  <c r="U9" i="74"/>
  <c r="U8" i="74"/>
  <c r="U7" i="74"/>
  <c r="U6" i="74"/>
  <c r="U5" i="74"/>
  <c r="U4" i="74"/>
  <c r="U3" i="74"/>
  <c r="C7" i="73"/>
  <c r="B121" i="73"/>
  <c r="B119" i="73"/>
  <c r="B117" i="73"/>
  <c r="E116" i="73"/>
  <c r="F116" i="73" s="1"/>
  <c r="G116" i="73" s="1"/>
  <c r="H116" i="73" s="1"/>
  <c r="I116" i="73" s="1"/>
  <c r="J116" i="73" s="1"/>
  <c r="K116" i="73" s="1"/>
  <c r="L116" i="73" s="1"/>
  <c r="M116" i="73" s="1"/>
  <c r="D116" i="73"/>
  <c r="D114" i="73"/>
  <c r="E114" i="73" s="1"/>
  <c r="F114" i="73" s="1"/>
  <c r="G114" i="73" s="1"/>
  <c r="H114" i="73" s="1"/>
  <c r="I114" i="73" s="1"/>
  <c r="J114" i="73" s="1"/>
  <c r="K114" i="73" s="1"/>
  <c r="L114" i="73" s="1"/>
  <c r="M114" i="73" s="1"/>
  <c r="I112" i="73"/>
  <c r="J112" i="73" s="1"/>
  <c r="K112" i="73" s="1"/>
  <c r="L112" i="73" s="1"/>
  <c r="M112" i="73" s="1"/>
  <c r="E112" i="73"/>
  <c r="F112" i="73" s="1"/>
  <c r="G112" i="73" s="1"/>
  <c r="H112" i="73" s="1"/>
  <c r="D112" i="73"/>
  <c r="M108" i="73"/>
  <c r="L108" i="73"/>
  <c r="K108" i="73"/>
  <c r="J108" i="73"/>
  <c r="I108" i="73"/>
  <c r="H108" i="73"/>
  <c r="G108" i="73"/>
  <c r="F108" i="73"/>
  <c r="E108" i="73"/>
  <c r="D108" i="73"/>
  <c r="C108" i="73"/>
  <c r="B106" i="73"/>
  <c r="B104" i="73"/>
  <c r="B102" i="73"/>
  <c r="E101" i="73"/>
  <c r="F101" i="73" s="1"/>
  <c r="G101" i="73" s="1"/>
  <c r="H101" i="73" s="1"/>
  <c r="I101" i="73" s="1"/>
  <c r="J101" i="73" s="1"/>
  <c r="K101" i="73" s="1"/>
  <c r="L101" i="73" s="1"/>
  <c r="M101" i="73" s="1"/>
  <c r="D101" i="73"/>
  <c r="D99" i="73"/>
  <c r="E99" i="73" s="1"/>
  <c r="F99" i="73" s="1"/>
  <c r="G99" i="73" s="1"/>
  <c r="H99" i="73" s="1"/>
  <c r="I99" i="73" s="1"/>
  <c r="J99" i="73" s="1"/>
  <c r="K99" i="73" s="1"/>
  <c r="L99" i="73" s="1"/>
  <c r="M99" i="73" s="1"/>
  <c r="M97" i="73"/>
  <c r="I97" i="73"/>
  <c r="J97" i="73" s="1"/>
  <c r="K97" i="73" s="1"/>
  <c r="L97" i="73" s="1"/>
  <c r="E97" i="73"/>
  <c r="F97" i="73" s="1"/>
  <c r="G97" i="73" s="1"/>
  <c r="H97" i="73" s="1"/>
  <c r="D97" i="73"/>
  <c r="B96" i="73"/>
  <c r="F95" i="73"/>
  <c r="G95" i="73" s="1"/>
  <c r="D95" i="73"/>
  <c r="E95" i="73" s="1"/>
  <c r="D93" i="73"/>
  <c r="E93" i="73" s="1"/>
  <c r="F93" i="73" s="1"/>
  <c r="G93" i="73" s="1"/>
  <c r="F91" i="73"/>
  <c r="G91" i="73" s="1"/>
  <c r="D91" i="73"/>
  <c r="E91" i="73" s="1"/>
  <c r="D89" i="73"/>
  <c r="E89" i="73" s="1"/>
  <c r="F89" i="73" s="1"/>
  <c r="G89" i="73" s="1"/>
  <c r="F87" i="73"/>
  <c r="G87" i="73" s="1"/>
  <c r="D87" i="73"/>
  <c r="E87" i="73" s="1"/>
  <c r="D85" i="73"/>
  <c r="E85" i="73" s="1"/>
  <c r="F85" i="73" s="1"/>
  <c r="G85" i="73" s="1"/>
  <c r="B82" i="73"/>
  <c r="B80" i="73"/>
  <c r="J15" i="73" s="1"/>
  <c r="B78" i="73"/>
  <c r="D77" i="73"/>
  <c r="E77" i="73" s="1"/>
  <c r="F77" i="73" s="1"/>
  <c r="G77" i="73" s="1"/>
  <c r="H77" i="73" s="1"/>
  <c r="I77" i="73" s="1"/>
  <c r="J77" i="73" s="1"/>
  <c r="K77" i="73" s="1"/>
  <c r="L77" i="73" s="1"/>
  <c r="M77" i="73" s="1"/>
  <c r="M75" i="73"/>
  <c r="L75" i="73"/>
  <c r="K75" i="73"/>
  <c r="J75" i="73"/>
  <c r="I75" i="73"/>
  <c r="H75" i="73"/>
  <c r="G75" i="73"/>
  <c r="F75" i="73"/>
  <c r="E75" i="73"/>
  <c r="D75" i="73"/>
  <c r="C75" i="73"/>
  <c r="B67" i="73"/>
  <c r="E62" i="73"/>
  <c r="H61" i="73"/>
  <c r="I61" i="73" s="1"/>
  <c r="C61" i="73" s="1"/>
  <c r="E61" i="73"/>
  <c r="I60" i="73"/>
  <c r="C60" i="73" s="1"/>
  <c r="H60" i="73"/>
  <c r="E60" i="73"/>
  <c r="H59" i="73"/>
  <c r="I59" i="73" s="1"/>
  <c r="C59" i="73" s="1"/>
  <c r="E59" i="73"/>
  <c r="I58" i="73"/>
  <c r="H58" i="73"/>
  <c r="E58" i="73"/>
  <c r="C58" i="73"/>
  <c r="H57" i="73"/>
  <c r="I57" i="73" s="1"/>
  <c r="C57" i="73" s="1"/>
  <c r="E57" i="73"/>
  <c r="I56" i="73"/>
  <c r="C56" i="73" s="1"/>
  <c r="H56" i="73"/>
  <c r="I55" i="73"/>
  <c r="H55" i="73"/>
  <c r="C55" i="73"/>
  <c r="H54" i="73"/>
  <c r="I54" i="73" s="1"/>
  <c r="C54" i="73" s="1"/>
  <c r="E53" i="73"/>
  <c r="J52" i="73"/>
  <c r="I50" i="73"/>
  <c r="J50" i="73" s="1"/>
  <c r="H50" i="73"/>
  <c r="G50" i="73"/>
  <c r="E50" i="73"/>
  <c r="F50" i="73" s="1"/>
  <c r="P45" i="73"/>
  <c r="P44" i="73"/>
  <c r="K44" i="73"/>
  <c r="V43" i="73"/>
  <c r="T43" i="73"/>
  <c r="R43" i="73"/>
  <c r="P43" i="73"/>
  <c r="Z42" i="73"/>
  <c r="Q42" i="73"/>
  <c r="J42" i="73"/>
  <c r="AC42" i="73" s="1"/>
  <c r="H42" i="73"/>
  <c r="AB42" i="73" s="1"/>
  <c r="F42" i="73"/>
  <c r="AA42" i="73" s="1"/>
  <c r="W41" i="73"/>
  <c r="Q41" i="73"/>
  <c r="Z41" i="73" s="1"/>
  <c r="J41" i="73"/>
  <c r="AC41" i="73" s="1"/>
  <c r="H41" i="73"/>
  <c r="AB41" i="73" s="1"/>
  <c r="F41" i="73"/>
  <c r="AA41" i="73" s="1"/>
  <c r="U40" i="73"/>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AC37" i="73"/>
  <c r="Q37" i="73"/>
  <c r="Z37" i="73" s="1"/>
  <c r="J37" i="73"/>
  <c r="W37" i="73" s="1"/>
  <c r="H37" i="73"/>
  <c r="AB37" i="73" s="1"/>
  <c r="F37" i="73"/>
  <c r="AA37" i="73" s="1"/>
  <c r="Q36" i="73"/>
  <c r="Z36" i="73" s="1"/>
  <c r="J36" i="73"/>
  <c r="AC36" i="73" s="1"/>
  <c r="H36" i="73"/>
  <c r="U36" i="73" s="1"/>
  <c r="F36" i="73"/>
  <c r="AA36" i="73" s="1"/>
  <c r="AA35" i="73"/>
  <c r="Q35" i="73"/>
  <c r="Z35" i="73" s="1"/>
  <c r="J35" i="73"/>
  <c r="AC35" i="73" s="1"/>
  <c r="H35" i="73"/>
  <c r="AB35" i="73" s="1"/>
  <c r="F35" i="73"/>
  <c r="S35" i="73" s="1"/>
  <c r="Z34" i="73"/>
  <c r="Q34" i="73"/>
  <c r="J34" i="73"/>
  <c r="AC34" i="73" s="1"/>
  <c r="H34" i="73"/>
  <c r="AB34" i="73" s="1"/>
  <c r="F34" i="73"/>
  <c r="AA34" i="73" s="1"/>
  <c r="Q33" i="73"/>
  <c r="Z33" i="73" s="1"/>
  <c r="J33" i="73"/>
  <c r="AC33" i="73" s="1"/>
  <c r="H33" i="73"/>
  <c r="AB33" i="73" s="1"/>
  <c r="F33" i="73"/>
  <c r="AA33" i="73" s="1"/>
  <c r="U32" i="73"/>
  <c r="Q32" i="73"/>
  <c r="Z32" i="73" s="1"/>
  <c r="H32" i="73"/>
  <c r="AB32" i="73" s="1"/>
  <c r="F32" i="73"/>
  <c r="AA32" i="73" s="1"/>
  <c r="C32" i="73"/>
  <c r="J32" i="73" s="1"/>
  <c r="U30" i="73"/>
  <c r="Q30" i="73"/>
  <c r="Z30" i="73" s="1"/>
  <c r="J30" i="73"/>
  <c r="AC30" i="73" s="1"/>
  <c r="H30" i="73"/>
  <c r="AB30" i="73" s="1"/>
  <c r="F30" i="73"/>
  <c r="AA30" i="73" s="1"/>
  <c r="C30" i="73"/>
  <c r="Q29" i="73"/>
  <c r="Z29" i="73" s="1"/>
  <c r="J29" i="73"/>
  <c r="AC29" i="73" s="1"/>
  <c r="H29" i="73"/>
  <c r="U29" i="73" s="1"/>
  <c r="F29" i="73"/>
  <c r="AA29" i="73" s="1"/>
  <c r="AA27" i="73"/>
  <c r="Q27" i="73"/>
  <c r="Z27" i="73" s="1"/>
  <c r="J27" i="73"/>
  <c r="AC27" i="73" s="1"/>
  <c r="H27" i="73"/>
  <c r="AB27" i="73" s="1"/>
  <c r="F27" i="73"/>
  <c r="S27" i="73" s="1"/>
  <c r="C27" i="73"/>
  <c r="Q25" i="73"/>
  <c r="Z25" i="73" s="1"/>
  <c r="J25" i="73"/>
  <c r="AC25" i="73" s="1"/>
  <c r="H25" i="73"/>
  <c r="AB25" i="73" s="1"/>
  <c r="F25" i="73"/>
  <c r="AA25" i="73" s="1"/>
  <c r="C25" i="73"/>
  <c r="AA23" i="73"/>
  <c r="Q23" i="73"/>
  <c r="Z23" i="73" s="1"/>
  <c r="J23" i="73"/>
  <c r="AC23" i="73" s="1"/>
  <c r="H23" i="73"/>
  <c r="AB23" i="73" s="1"/>
  <c r="F23" i="73"/>
  <c r="S23" i="73" s="1"/>
  <c r="C23" i="73"/>
  <c r="AA21" i="73"/>
  <c r="Q21" i="73"/>
  <c r="Z21" i="73" s="1"/>
  <c r="J21" i="73"/>
  <c r="AC21" i="73" s="1"/>
  <c r="H21" i="73"/>
  <c r="U21" i="73" s="1"/>
  <c r="F21" i="73"/>
  <c r="S21" i="73" s="1"/>
  <c r="C21" i="73"/>
  <c r="AB19" i="73"/>
  <c r="Q19" i="73"/>
  <c r="Z19" i="73" s="1"/>
  <c r="J19" i="73"/>
  <c r="AC19" i="73" s="1"/>
  <c r="H19" i="73"/>
  <c r="U19" i="73" s="1"/>
  <c r="F19" i="73"/>
  <c r="AA19" i="73" s="1"/>
  <c r="C19" i="73"/>
  <c r="AC17" i="73"/>
  <c r="AA17" i="73"/>
  <c r="Q17" i="73"/>
  <c r="Z17" i="73" s="1"/>
  <c r="J17" i="73"/>
  <c r="W17" i="73" s="1"/>
  <c r="H17" i="73"/>
  <c r="U17" i="73" s="1"/>
  <c r="F17" i="73"/>
  <c r="S17" i="73" s="1"/>
  <c r="C17" i="73"/>
  <c r="AB16" i="73"/>
  <c r="Q16" i="73"/>
  <c r="Z16" i="73" s="1"/>
  <c r="J16" i="73"/>
  <c r="AC16" i="73" s="1"/>
  <c r="H16" i="73"/>
  <c r="U16" i="73" s="1"/>
  <c r="F16" i="73"/>
  <c r="S16" i="73" s="1"/>
  <c r="AA15" i="73"/>
  <c r="U15" i="73"/>
  <c r="Q15" i="73"/>
  <c r="Z15" i="73" s="1"/>
  <c r="H15" i="73"/>
  <c r="AB15" i="73" s="1"/>
  <c r="F15" i="73"/>
  <c r="S15" i="73" s="1"/>
  <c r="AA14" i="73"/>
  <c r="W14" i="73"/>
  <c r="Q14" i="73"/>
  <c r="Z14" i="73" s="1"/>
  <c r="J14" i="73"/>
  <c r="AC14" i="73" s="1"/>
  <c r="H14" i="73"/>
  <c r="AB14" i="73" s="1"/>
  <c r="F14" i="73"/>
  <c r="S14" i="73" s="1"/>
  <c r="AC13" i="73"/>
  <c r="AB13" i="73"/>
  <c r="Z13" i="73"/>
  <c r="U13" i="73"/>
  <c r="Q13" i="73"/>
  <c r="J13" i="73"/>
  <c r="W13" i="73" s="1"/>
  <c r="H13" i="73"/>
  <c r="F13" i="73"/>
  <c r="AA13" i="73" s="1"/>
  <c r="Q12" i="73"/>
  <c r="Z12" i="73" s="1"/>
  <c r="AA11" i="73"/>
  <c r="Q11" i="73"/>
  <c r="Z11" i="73" s="1"/>
  <c r="J11" i="73"/>
  <c r="AC11" i="73" s="1"/>
  <c r="H11" i="73"/>
  <c r="U11" i="73" s="1"/>
  <c r="F11" i="73"/>
  <c r="S11" i="73" s="1"/>
  <c r="J10" i="73"/>
  <c r="W10" i="73" s="1"/>
  <c r="H10" i="73"/>
  <c r="AB10" i="73" s="1"/>
  <c r="F10" i="73"/>
  <c r="S10" i="73" s="1"/>
  <c r="C9" i="73"/>
  <c r="C64" i="73" s="1"/>
  <c r="AB29" i="73" l="1"/>
  <c r="AC32" i="73"/>
  <c r="W32" i="73"/>
  <c r="AB36" i="73"/>
  <c r="S39" i="73"/>
  <c r="U10" i="73"/>
  <c r="AB11" i="73"/>
  <c r="AA16" i="73"/>
  <c r="AB17" i="73"/>
  <c r="AB21" i="73"/>
  <c r="AC10" i="73"/>
  <c r="W16" i="73"/>
  <c r="W19" i="73"/>
  <c r="S25" i="73"/>
  <c r="W33" i="73"/>
  <c r="AC15" i="73"/>
  <c r="W15" i="73"/>
  <c r="S19" i="73"/>
  <c r="D64" i="73"/>
  <c r="C66" i="73"/>
  <c r="AA10" i="73"/>
  <c r="U23" i="73"/>
  <c r="U25" i="73"/>
  <c r="U27" i="73"/>
  <c r="W29" i="73"/>
  <c r="W30" i="73"/>
  <c r="S34" i="73"/>
  <c r="U35" i="73"/>
  <c r="W36" i="73"/>
  <c r="S38" i="73"/>
  <c r="U39" i="73"/>
  <c r="W40" i="73"/>
  <c r="S42" i="73"/>
  <c r="W21" i="73"/>
  <c r="W23" i="73"/>
  <c r="W25" i="73"/>
  <c r="W27" i="73"/>
  <c r="S33" i="73"/>
  <c r="U34" i="73"/>
  <c r="W35" i="73"/>
  <c r="S37" i="73"/>
  <c r="U38" i="73"/>
  <c r="W39" i="73"/>
  <c r="S41" i="73"/>
  <c r="U42" i="73"/>
  <c r="W11" i="73"/>
  <c r="S13" i="73"/>
  <c r="U14" i="73"/>
  <c r="S29" i="73"/>
  <c r="S30" i="73"/>
  <c r="S32" i="73"/>
  <c r="U33" i="73"/>
  <c r="W34" i="73"/>
  <c r="S36" i="73"/>
  <c r="U37" i="73"/>
  <c r="W38" i="73"/>
  <c r="S40" i="73"/>
  <c r="U41" i="73"/>
  <c r="W42" i="73"/>
  <c r="E64" i="73" l="1"/>
  <c r="D66" i="73"/>
  <c r="E66" i="73" l="1"/>
  <c r="F64" i="73"/>
  <c r="G64" i="73" l="1"/>
  <c r="F66" i="73"/>
  <c r="H64" i="73" l="1"/>
  <c r="G66" i="73"/>
  <c r="I64" i="73" l="1"/>
  <c r="H66" i="73"/>
  <c r="I66" i="73" l="1"/>
  <c r="J64" i="73"/>
  <c r="K64" i="73" l="1"/>
  <c r="J66" i="73"/>
  <c r="L64" i="73" l="1"/>
  <c r="K66" i="73"/>
  <c r="M64" i="73" l="1"/>
  <c r="L66" i="73"/>
  <c r="M66" i="73" l="1"/>
  <c r="N64" i="73"/>
  <c r="N66" i="73" s="1"/>
  <c r="H9" i="73" l="1"/>
  <c r="J9" i="73"/>
  <c r="F9" i="73"/>
  <c r="S9" i="73" l="1"/>
  <c r="AA9" i="73"/>
  <c r="AC9" i="73"/>
  <c r="W9" i="73"/>
  <c r="U9" i="73"/>
  <c r="AB9" i="73"/>
  <c r="F19" i="6" l="1"/>
  <c r="G14" i="65" l="1"/>
  <c r="F14" i="65"/>
  <c r="E14" i="65"/>
  <c r="G13" i="65"/>
  <c r="F13" i="65"/>
  <c r="E13" i="65"/>
  <c r="G15" i="65"/>
  <c r="F15" i="65"/>
  <c r="E15" i="65"/>
  <c r="AB28" i="70" l="1"/>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Z3" i="70" l="1"/>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31" i="39"/>
  <c r="Z31" i="39" s="1"/>
  <c r="D104" i="39"/>
  <c r="E104" i="39" s="1"/>
  <c r="F104" i="39" s="1"/>
  <c r="F31" i="39"/>
  <c r="AA31" i="39" s="1"/>
  <c r="G20" i="20"/>
  <c r="C22" i="20"/>
  <c r="B100" i="46" s="1"/>
  <c r="B68" i="46"/>
  <c r="S18" i="36"/>
  <c r="S31" i="39"/>
  <c r="C31" i="39"/>
  <c r="B57" i="46"/>
  <c r="B77" i="46"/>
  <c r="E66" i="36"/>
  <c r="H18" i="35"/>
  <c r="J18" i="35"/>
  <c r="H21" i="37"/>
  <c r="J21" i="37"/>
  <c r="J21" i="34"/>
  <c r="H21" i="34"/>
  <c r="F21" i="33"/>
  <c r="H21" i="33"/>
  <c r="J21" i="33"/>
  <c r="H21" i="21"/>
  <c r="J21" i="21"/>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R5" i="3" s="1"/>
  <c r="B24" i="1"/>
  <c r="O75" i="9"/>
  <c r="L75" i="9"/>
  <c r="P75" i="9"/>
  <c r="O74" i="9"/>
  <c r="O73" i="9"/>
  <c r="E66" i="9"/>
  <c r="O72" i="9"/>
  <c r="F74" i="9"/>
  <c r="P74" i="9" s="1"/>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D101" i="37"/>
  <c r="F34" i="37"/>
  <c r="D99" i="37"/>
  <c r="E99" i="37" s="1"/>
  <c r="H42" i="34"/>
  <c r="J42" i="34"/>
  <c r="AC42" i="34" s="1"/>
  <c r="F42" i="34"/>
  <c r="J38" i="34"/>
  <c r="AC38" i="34" s="1"/>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B108" i="37"/>
  <c r="C23" i="37"/>
  <c r="C19" i="37"/>
  <c r="C17" i="37"/>
  <c r="C15" i="37"/>
  <c r="B112" i="37"/>
  <c r="D107" i="37"/>
  <c r="E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D79" i="37"/>
  <c r="E79" i="37" s="1"/>
  <c r="F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Q28" i="37"/>
  <c r="Z28" i="37" s="1"/>
  <c r="Q27" i="37"/>
  <c r="Z27" i="37" s="1"/>
  <c r="Q26" i="37"/>
  <c r="Z26" i="37" s="1"/>
  <c r="J26" i="37"/>
  <c r="Q25" i="37"/>
  <c r="Z25" i="37" s="1"/>
  <c r="F25" i="37"/>
  <c r="Q23" i="37"/>
  <c r="Z23" i="37" s="1"/>
  <c r="Q19" i="37"/>
  <c r="Z19" i="37" s="1"/>
  <c r="Q17" i="37"/>
  <c r="Z17" i="37" s="1"/>
  <c r="Q15" i="37"/>
  <c r="Z15" i="37" s="1"/>
  <c r="Q14" i="37"/>
  <c r="Z14" i="37"/>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B75" i="36"/>
  <c r="H25" i="36" s="1"/>
  <c r="AB25" i="36" s="1"/>
  <c r="B73" i="36"/>
  <c r="J24" i="36" s="1"/>
  <c r="W24" i="36" s="1"/>
  <c r="B71" i="36"/>
  <c r="J23" i="36" s="1"/>
  <c r="D70" i="36"/>
  <c r="H22" i="36"/>
  <c r="AB22" i="36" s="1"/>
  <c r="D68" i="36"/>
  <c r="E68" i="36"/>
  <c r="D64" i="36"/>
  <c r="E64" i="36" s="1"/>
  <c r="F64" i="36" s="1"/>
  <c r="G64" i="36" s="1"/>
  <c r="J16" i="36"/>
  <c r="D62" i="36"/>
  <c r="E62" i="36" s="1"/>
  <c r="B59" i="36"/>
  <c r="B57" i="36"/>
  <c r="F12" i="36" s="1"/>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c r="D89" i="35"/>
  <c r="H30" i="35"/>
  <c r="U30" i="35" s="1"/>
  <c r="M90" i="35"/>
  <c r="L90" i="35"/>
  <c r="K90" i="35"/>
  <c r="J90" i="35"/>
  <c r="I90" i="35"/>
  <c r="H90" i="35"/>
  <c r="G90" i="35"/>
  <c r="F90" i="35"/>
  <c r="E90" i="35"/>
  <c r="D90" i="35"/>
  <c r="C90" i="35"/>
  <c r="F85" i="35"/>
  <c r="E85" i="35"/>
  <c r="D85" i="35"/>
  <c r="C85" i="35"/>
  <c r="J27" i="35"/>
  <c r="W27" i="35"/>
  <c r="H27" i="35"/>
  <c r="F27" i="35"/>
  <c r="AA27" i="35"/>
  <c r="J22" i="35"/>
  <c r="AC22" i="35" s="1"/>
  <c r="B101" i="35"/>
  <c r="H36" i="35"/>
  <c r="B99" i="35"/>
  <c r="B97" i="35"/>
  <c r="B77" i="35"/>
  <c r="B75" i="35"/>
  <c r="J24" i="35" s="1"/>
  <c r="B73" i="35"/>
  <c r="B57" i="35"/>
  <c r="F11" i="35" s="1"/>
  <c r="B61" i="35"/>
  <c r="B59" i="35"/>
  <c r="H12" i="35" s="1"/>
  <c r="B131" i="34"/>
  <c r="B129" i="34"/>
  <c r="B127" i="34"/>
  <c r="B99" i="34"/>
  <c r="B97" i="34"/>
  <c r="B95" i="34"/>
  <c r="B93" i="34"/>
  <c r="B75" i="34"/>
  <c r="B73" i="34"/>
  <c r="B71" i="34"/>
  <c r="B130" i="33"/>
  <c r="B128" i="33"/>
  <c r="J45" i="33" s="1"/>
  <c r="H45" i="33"/>
  <c r="B126" i="33"/>
  <c r="H44" i="33" s="1"/>
  <c r="U44" i="33" s="1"/>
  <c r="B98" i="33"/>
  <c r="F31" i="33"/>
  <c r="AA31" i="33" s="1"/>
  <c r="B96" i="33"/>
  <c r="B94" i="33"/>
  <c r="J29" i="33" s="1"/>
  <c r="W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H28" i="33" s="1"/>
  <c r="B90" i="33"/>
  <c r="H27" i="33" s="1"/>
  <c r="U27" i="33" s="1"/>
  <c r="D87" i="33"/>
  <c r="E87" i="33"/>
  <c r="D85" i="33"/>
  <c r="E85" i="33" s="1"/>
  <c r="D81" i="33"/>
  <c r="E81" i="33"/>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c r="B130" i="21"/>
  <c r="B128" i="21"/>
  <c r="H45" i="21" s="1"/>
  <c r="U45" i="21" s="1"/>
  <c r="B126" i="21"/>
  <c r="B98" i="21"/>
  <c r="H31" i="21" s="1"/>
  <c r="U31" i="21" s="1"/>
  <c r="B96" i="21"/>
  <c r="B94" i="21"/>
  <c r="J29" i="21" s="1"/>
  <c r="AC29" i="21" s="1"/>
  <c r="B92" i="21"/>
  <c r="F28" i="21" s="1"/>
  <c r="AA28" i="21" s="1"/>
  <c r="B90" i="21"/>
  <c r="B74" i="21"/>
  <c r="B72" i="21"/>
  <c r="F13" i="21" s="1"/>
  <c r="AA13" i="21" s="1"/>
  <c r="B70" i="21"/>
  <c r="J12" i="21" s="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s="1"/>
  <c r="AA8" i="21"/>
  <c r="E12" i="11"/>
  <c r="C9" i="12"/>
  <c r="BB12" i="3"/>
  <c r="F9" i="12"/>
  <c r="D9" i="12"/>
  <c r="E9" i="12"/>
  <c r="G9" i="12"/>
  <c r="K5" i="3"/>
  <c r="J5" i="3"/>
  <c r="BE10" i="3"/>
  <c r="BD13" i="3"/>
  <c r="BD5" i="3" s="1"/>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F43" i="21"/>
  <c r="S43" i="21" s="1"/>
  <c r="H38" i="21"/>
  <c r="AB38" i="21"/>
  <c r="H43" i="21"/>
  <c r="AB43" i="21" s="1"/>
  <c r="F32" i="21"/>
  <c r="F38" i="21"/>
  <c r="AA38" i="21" s="1"/>
  <c r="S38" i="21"/>
  <c r="F36" i="21"/>
  <c r="S36" i="21" s="1"/>
  <c r="F39" i="21"/>
  <c r="AA39" i="21"/>
  <c r="J40" i="21"/>
  <c r="H35" i="21"/>
  <c r="AB35" i="21" s="1"/>
  <c r="J8" i="21"/>
  <c r="AC8" i="21" s="1"/>
  <c r="J9" i="21"/>
  <c r="AC9" i="21" s="1"/>
  <c r="H8" i="21"/>
  <c r="H10" i="21"/>
  <c r="U10" i="21" s="1"/>
  <c r="H39" i="21"/>
  <c r="AB39" i="21"/>
  <c r="J34" i="21"/>
  <c r="W34" i="21" s="1"/>
  <c r="H36" i="21"/>
  <c r="AB36" i="21" s="1"/>
  <c r="U36" i="21"/>
  <c r="F35" i="21"/>
  <c r="AA35" i="21" s="1"/>
  <c r="J33" i="21"/>
  <c r="W33" i="21"/>
  <c r="H33" i="21"/>
  <c r="U33" i="21" s="1"/>
  <c r="F33" i="21"/>
  <c r="AA33" i="21" s="1"/>
  <c r="J10" i="21"/>
  <c r="AC10" i="21"/>
  <c r="H26" i="21"/>
  <c r="F19" i="21"/>
  <c r="H19" i="21"/>
  <c r="AB19" i="21" s="1"/>
  <c r="J19" i="21"/>
  <c r="W19" i="21"/>
  <c r="H12" i="21"/>
  <c r="J26" i="21"/>
  <c r="W26" i="21"/>
  <c r="F26" i="21"/>
  <c r="AA26" i="21" s="1"/>
  <c r="AB41" i="21"/>
  <c r="S41" i="21"/>
  <c r="AA41" i="21"/>
  <c r="S10" i="39"/>
  <c r="E103" i="37"/>
  <c r="F103" i="37" s="1"/>
  <c r="G103" i="37" s="1"/>
  <c r="H103" i="37" s="1"/>
  <c r="I103" i="37" s="1"/>
  <c r="J103" i="37" s="1"/>
  <c r="K103" i="37" s="1"/>
  <c r="L103" i="37" s="1"/>
  <c r="M103" i="37" s="1"/>
  <c r="F29" i="36"/>
  <c r="AA29" i="36" s="1"/>
  <c r="F16" i="36"/>
  <c r="AA16" i="36" s="1"/>
  <c r="U22" i="36"/>
  <c r="U26" i="36"/>
  <c r="AC31" i="36"/>
  <c r="J33" i="36"/>
  <c r="W33" i="36" s="1"/>
  <c r="AC27" i="35"/>
  <c r="U31" i="35"/>
  <c r="W36" i="35"/>
  <c r="S31" i="35"/>
  <c r="F36" i="34"/>
  <c r="S36" i="34" s="1"/>
  <c r="W9" i="34"/>
  <c r="W39" i="34"/>
  <c r="H39" i="33"/>
  <c r="AB39" i="33" s="1"/>
  <c r="U33" i="33"/>
  <c r="W38" i="33"/>
  <c r="S40" i="33"/>
  <c r="S33" i="33"/>
  <c r="W33" i="33"/>
  <c r="U38" i="33"/>
  <c r="H39" i="37"/>
  <c r="AB39" i="37" s="1"/>
  <c r="S40" i="39"/>
  <c r="F11" i="21"/>
  <c r="S11" i="21"/>
  <c r="AC35" i="21"/>
  <c r="C29" i="39"/>
  <c r="U36" i="39"/>
  <c r="H32" i="33"/>
  <c r="AB32" i="33"/>
  <c r="H11" i="21"/>
  <c r="U11" i="21" s="1"/>
  <c r="J11" i="21"/>
  <c r="W11" i="21"/>
  <c r="J27" i="36"/>
  <c r="W27" i="36" s="1"/>
  <c r="J30" i="35"/>
  <c r="W30" i="35" s="1"/>
  <c r="F22" i="35"/>
  <c r="AA22" i="35"/>
  <c r="H10" i="35"/>
  <c r="U10" i="35" s="1"/>
  <c r="AC24" i="36"/>
  <c r="U29" i="36"/>
  <c r="U24" i="36"/>
  <c r="E85" i="36"/>
  <c r="F85" i="36" s="1"/>
  <c r="G85" i="36" s="1"/>
  <c r="H85" i="36" s="1"/>
  <c r="I85" i="36" s="1"/>
  <c r="J85" i="36" s="1"/>
  <c r="K85" i="36" s="1"/>
  <c r="L85" i="36" s="1"/>
  <c r="M85" i="36" s="1"/>
  <c r="J29" i="36"/>
  <c r="AC29" i="36" s="1"/>
  <c r="S12" i="36"/>
  <c r="F24" i="36"/>
  <c r="AA24" i="36" s="1"/>
  <c r="F34" i="36"/>
  <c r="S34" i="36" s="1"/>
  <c r="AB8" i="36"/>
  <c r="H16" i="35"/>
  <c r="U16" i="35"/>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c r="J10" i="34"/>
  <c r="AC10" i="34" s="1"/>
  <c r="U9"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c r="AB30" i="36"/>
  <c r="S22" i="35"/>
  <c r="H29" i="35"/>
  <c r="S34" i="37"/>
  <c r="AA34" i="37"/>
  <c r="AC43" i="34"/>
  <c r="AB42" i="34"/>
  <c r="AB40" i="34"/>
  <c r="J19" i="34"/>
  <c r="AC19" i="34" s="1"/>
  <c r="H37" i="33"/>
  <c r="AB37" i="33"/>
  <c r="S37" i="33"/>
  <c r="W43" i="34"/>
  <c r="W42" i="34"/>
  <c r="AA42" i="34"/>
  <c r="S42" i="34"/>
  <c r="W38" i="34"/>
  <c r="AA38" i="34"/>
  <c r="S38" i="34"/>
  <c r="J37" i="33"/>
  <c r="W37" i="33"/>
  <c r="J42" i="21"/>
  <c r="J44" i="34"/>
  <c r="AC44" i="34" s="1"/>
  <c r="F44" i="34"/>
  <c r="S44" i="34" s="1"/>
  <c r="J10" i="35"/>
  <c r="W10" i="35" s="1"/>
  <c r="AL5" i="3"/>
  <c r="BQ13" i="3"/>
  <c r="J14" i="21"/>
  <c r="AC14" i="21" s="1"/>
  <c r="F14" i="21"/>
  <c r="AA14" i="21"/>
  <c r="H14" i="21"/>
  <c r="U14" i="21"/>
  <c r="H28" i="21"/>
  <c r="U28" i="21" s="1"/>
  <c r="AB28" i="21"/>
  <c r="J28" i="21"/>
  <c r="AC28" i="21" s="1"/>
  <c r="H30" i="21"/>
  <c r="U30" i="21" s="1"/>
  <c r="F30" i="21"/>
  <c r="S30" i="21" s="1"/>
  <c r="J30" i="21"/>
  <c r="W30" i="21" s="1"/>
  <c r="J44" i="21"/>
  <c r="AC44" i="21"/>
  <c r="H44" i="21"/>
  <c r="U44" i="21" s="1"/>
  <c r="F44" i="21"/>
  <c r="AA44" i="21" s="1"/>
  <c r="H46" i="21"/>
  <c r="AB46" i="21"/>
  <c r="J46" i="21"/>
  <c r="W46" i="21" s="1"/>
  <c r="F46" i="21"/>
  <c r="S46" i="21" s="1"/>
  <c r="AA46" i="2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H27" i="21"/>
  <c r="AB27" i="21" s="1"/>
  <c r="J27" i="21"/>
  <c r="W27" i="21" s="1"/>
  <c r="F27" i="21"/>
  <c r="AA27" i="21" s="1"/>
  <c r="H29" i="21"/>
  <c r="U29" i="21" s="1"/>
  <c r="F29" i="21"/>
  <c r="S29" i="21" s="1"/>
  <c r="J31" i="21"/>
  <c r="AC31" i="21" s="1"/>
  <c r="F31" i="21"/>
  <c r="S31" i="21" s="1"/>
  <c r="J45" i="21"/>
  <c r="W45" i="21" s="1"/>
  <c r="F45" i="21"/>
  <c r="J27" i="33"/>
  <c r="AC27" i="33" s="1"/>
  <c r="F27" i="33"/>
  <c r="S27" i="33" s="1"/>
  <c r="F13" i="33"/>
  <c r="S13" i="33" s="1"/>
  <c r="J31" i="33"/>
  <c r="AC31" i="33" s="1"/>
  <c r="H31" i="33"/>
  <c r="U31" i="33" s="1"/>
  <c r="S31" i="33"/>
  <c r="W45" i="33"/>
  <c r="F45" i="33"/>
  <c r="S11" i="35"/>
  <c r="H28" i="36"/>
  <c r="AB28" i="36" s="1"/>
  <c r="U28" i="36"/>
  <c r="J32" i="36"/>
  <c r="H13" i="36"/>
  <c r="AB13" i="36" s="1"/>
  <c r="J13" i="36"/>
  <c r="W13" i="36" s="1"/>
  <c r="F13" i="36"/>
  <c r="S13" i="36" s="1"/>
  <c r="J29" i="37"/>
  <c r="W29" i="37"/>
  <c r="F29" i="37"/>
  <c r="AA29" i="37"/>
  <c r="F105" i="37"/>
  <c r="F107" i="37"/>
  <c r="J37" i="37"/>
  <c r="AC37" i="37" s="1"/>
  <c r="H37" i="37"/>
  <c r="U37" i="37" s="1"/>
  <c r="H40" i="37"/>
  <c r="U40" i="37" s="1"/>
  <c r="J40" i="37"/>
  <c r="F40" i="37"/>
  <c r="AA40" i="37" s="1"/>
  <c r="H14" i="33"/>
  <c r="U14" i="33" s="1"/>
  <c r="F14" i="33"/>
  <c r="AA14" i="33" s="1"/>
  <c r="J14" i="33"/>
  <c r="AC14" i="33"/>
  <c r="J30" i="33"/>
  <c r="J44" i="33"/>
  <c r="AC44" i="33" s="1"/>
  <c r="F44" i="33"/>
  <c r="S44" i="33" s="1"/>
  <c r="J46" i="33"/>
  <c r="AC46" i="33" s="1"/>
  <c r="F46" i="33"/>
  <c r="AA46" i="33" s="1"/>
  <c r="H46" i="33"/>
  <c r="AB46" i="33" s="1"/>
  <c r="J29" i="34"/>
  <c r="AC29" i="34" s="1"/>
  <c r="F29" i="34"/>
  <c r="S29" i="34" s="1"/>
  <c r="H29" i="34"/>
  <c r="U29" i="34" s="1"/>
  <c r="F31" i="34"/>
  <c r="S31" i="34" s="1"/>
  <c r="H45" i="34"/>
  <c r="U45" i="34" s="1"/>
  <c r="J45" i="34"/>
  <c r="W45" i="34" s="1"/>
  <c r="F45" i="34"/>
  <c r="AA45" i="34" s="1"/>
  <c r="H47" i="34"/>
  <c r="U47" i="34" s="1"/>
  <c r="F13" i="35"/>
  <c r="S13" i="35" s="1"/>
  <c r="J13" i="35"/>
  <c r="AC13" i="35" s="1"/>
  <c r="H13" i="35"/>
  <c r="J25" i="35"/>
  <c r="AC25" i="35" s="1"/>
  <c r="F25" i="35"/>
  <c r="AA25" i="35" s="1"/>
  <c r="H25" i="35"/>
  <c r="AB25" i="35" s="1"/>
  <c r="J35" i="35"/>
  <c r="AC35" i="35" s="1"/>
  <c r="J25" i="36"/>
  <c r="W25" i="36" s="1"/>
  <c r="F25" i="36"/>
  <c r="AA25" i="36" s="1"/>
  <c r="H13" i="37"/>
  <c r="AB13" i="37" s="1"/>
  <c r="F13" i="37"/>
  <c r="S13" i="37" s="1"/>
  <c r="J13" i="37"/>
  <c r="AC13" i="37" s="1"/>
  <c r="J28" i="37"/>
  <c r="AC28" i="37" s="1"/>
  <c r="H28" i="37"/>
  <c r="U28" i="37" s="1"/>
  <c r="F27" i="37"/>
  <c r="AA27" i="37" s="1"/>
  <c r="J27" i="37"/>
  <c r="W27" i="37" s="1"/>
  <c r="J36" i="37"/>
  <c r="AC36" i="37" s="1"/>
  <c r="G105" i="37"/>
  <c r="AB31" i="21"/>
  <c r="U46" i="21"/>
  <c r="AC30" i="21"/>
  <c r="S28" i="21"/>
  <c r="AB14" i="21"/>
  <c r="W14" i="21"/>
  <c r="S46" i="33"/>
  <c r="AC13" i="36"/>
  <c r="AB27" i="33"/>
  <c r="AC28" i="33"/>
  <c r="AB44" i="21"/>
  <c r="G529" i="3"/>
  <c r="G513" i="3"/>
  <c r="G493" i="3"/>
  <c r="G485" i="3"/>
  <c r="G17" i="3"/>
  <c r="G561" i="3"/>
  <c r="G549" i="3"/>
  <c r="G539" i="3"/>
  <c r="BL553" i="3"/>
  <c r="BL545" i="3"/>
  <c r="BL501" i="3"/>
  <c r="BL483" i="3"/>
  <c r="G16" i="3"/>
  <c r="BL551" i="3"/>
  <c r="BL525" i="3"/>
  <c r="G514" i="3"/>
  <c r="BL503" i="3"/>
  <c r="BL495" i="3"/>
  <c r="G18" i="3"/>
  <c r="BA565" i="3"/>
  <c r="BA551" i="3"/>
  <c r="AZ551" i="3" s="1"/>
  <c r="BA545" i="3"/>
  <c r="BA543" i="3"/>
  <c r="BA521" i="3"/>
  <c r="BA501" i="3"/>
  <c r="BA493" i="3"/>
  <c r="AZ493" i="3"/>
  <c r="BA558" i="3"/>
  <c r="AZ558" i="3" s="1"/>
  <c r="BA554" i="3"/>
  <c r="BA546" i="3"/>
  <c r="BA544" i="3"/>
  <c r="BA528" i="3"/>
  <c r="BA524" i="3"/>
  <c r="BA498" i="3"/>
  <c r="AZ498" i="3" s="1"/>
  <c r="BA492" i="3"/>
  <c r="BA488" i="3"/>
  <c r="G566" i="3"/>
  <c r="G562" i="3"/>
  <c r="G556" i="3"/>
  <c r="G554" i="3"/>
  <c r="G550" i="3"/>
  <c r="G546" i="3"/>
  <c r="BL543" i="3"/>
  <c r="BA542" i="3"/>
  <c r="AC542" i="3"/>
  <c r="G542" i="3"/>
  <c r="BQ542" i="3"/>
  <c r="BL542" i="3"/>
  <c r="BQ568" i="3"/>
  <c r="BQ566" i="3"/>
  <c r="BQ564" i="3"/>
  <c r="BQ562" i="3"/>
  <c r="BL562" i="3" s="1"/>
  <c r="BQ560" i="3"/>
  <c r="BQ558" i="3"/>
  <c r="BL558" i="3"/>
  <c r="BQ556" i="3"/>
  <c r="BQ554" i="3"/>
  <c r="BQ552" i="3"/>
  <c r="BL552" i="3" s="1"/>
  <c r="BQ550" i="3"/>
  <c r="BL550" i="3" s="1"/>
  <c r="BQ548" i="3"/>
  <c r="BQ546" i="3"/>
  <c r="BL546" i="3" s="1"/>
  <c r="BQ544" i="3"/>
  <c r="BL544" i="3" s="1"/>
  <c r="AZ544" i="3" s="1"/>
  <c r="G544" i="3"/>
  <c r="G530" i="3"/>
  <c r="G526" i="3"/>
  <c r="G522" i="3"/>
  <c r="BQ540" i="3"/>
  <c r="BL540" i="3"/>
  <c r="BQ538" i="3"/>
  <c r="BQ536" i="3"/>
  <c r="BQ534" i="3"/>
  <c r="BL534" i="3" s="1"/>
  <c r="BQ532" i="3"/>
  <c r="BQ530" i="3"/>
  <c r="BQ528" i="3"/>
  <c r="BQ526" i="3"/>
  <c r="BL526" i="3" s="1"/>
  <c r="BQ524" i="3"/>
  <c r="BQ522" i="3"/>
  <c r="BQ520" i="3"/>
  <c r="BL520" i="3"/>
  <c r="BQ518" i="3"/>
  <c r="BQ516" i="3"/>
  <c r="BQ514" i="3"/>
  <c r="BQ512" i="3"/>
  <c r="BQ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AA23" i="37" s="1"/>
  <c r="S23" i="37"/>
  <c r="AB27" i="37"/>
  <c r="F39" i="33"/>
  <c r="AA39" i="33"/>
  <c r="E123" i="33"/>
  <c r="F42" i="33"/>
  <c r="AA42" i="33" s="1"/>
  <c r="H28" i="34"/>
  <c r="AB28" i="34" s="1"/>
  <c r="F22" i="36"/>
  <c r="S22" i="36" s="1"/>
  <c r="H35" i="34"/>
  <c r="U35" i="34" s="1"/>
  <c r="F41" i="34"/>
  <c r="S41" i="34" s="1"/>
  <c r="H41" i="34"/>
  <c r="U41" i="34" s="1"/>
  <c r="J41" i="34"/>
  <c r="F10" i="35"/>
  <c r="AA10" i="35" s="1"/>
  <c r="F24" i="35"/>
  <c r="AA24" i="35"/>
  <c r="H24" i="35"/>
  <c r="AB24" i="35" s="1"/>
  <c r="H23" i="37"/>
  <c r="U23" i="37" s="1"/>
  <c r="AB23" i="37"/>
  <c r="J32" i="37"/>
  <c r="AC32" i="37" s="1"/>
  <c r="F36" i="37"/>
  <c r="S36" i="37" s="1"/>
  <c r="F37" i="37"/>
  <c r="AA37" i="37"/>
  <c r="F123" i="33"/>
  <c r="G123" i="33"/>
  <c r="H123" i="33" s="1"/>
  <c r="I123" i="33" s="1"/>
  <c r="J123" i="33" s="1"/>
  <c r="K123" i="33" s="1"/>
  <c r="L123" i="33" s="1"/>
  <c r="M123" i="33" s="1"/>
  <c r="H42" i="33"/>
  <c r="U42" i="33"/>
  <c r="J43" i="33"/>
  <c r="AC43" i="33" s="1"/>
  <c r="G79" i="37"/>
  <c r="J23" i="37"/>
  <c r="W23" i="37" s="1"/>
  <c r="F17" i="37"/>
  <c r="AA17" i="37" s="1"/>
  <c r="AB43" i="33"/>
  <c r="D3" i="21"/>
  <c r="AC33" i="36"/>
  <c r="AC12" i="35"/>
  <c r="AC8" i="37"/>
  <c r="AB8" i="34"/>
  <c r="AC37" i="33"/>
  <c r="AA13" i="33"/>
  <c r="AC45" i="33"/>
  <c r="U19" i="21"/>
  <c r="AC33" i="21"/>
  <c r="AA36" i="21"/>
  <c r="S39" i="33"/>
  <c r="F43" i="33"/>
  <c r="AA43" i="33" s="1"/>
  <c r="AB44" i="33"/>
  <c r="G107" i="37"/>
  <c r="H107" i="37" s="1"/>
  <c r="I107" i="37" s="1"/>
  <c r="J107" i="37" s="1"/>
  <c r="K107" i="37" s="1"/>
  <c r="L107" i="37" s="1"/>
  <c r="M107" i="37" s="1"/>
  <c r="AA9" i="21"/>
  <c r="F37" i="21"/>
  <c r="S37" i="21"/>
  <c r="J37" i="21"/>
  <c r="W37" i="21" s="1"/>
  <c r="H19" i="34"/>
  <c r="AB19" i="34"/>
  <c r="J10" i="37"/>
  <c r="AC10" i="37" s="1"/>
  <c r="F36" i="35"/>
  <c r="S36" i="35"/>
  <c r="J9" i="37"/>
  <c r="W9" i="37" s="1"/>
  <c r="H9" i="37"/>
  <c r="U9" i="37" s="1"/>
  <c r="F9" i="37"/>
  <c r="S9" i="37" s="1"/>
  <c r="F11" i="37"/>
  <c r="S11" i="37"/>
  <c r="J12" i="37"/>
  <c r="AC12" i="37" s="1"/>
  <c r="H12" i="37"/>
  <c r="U12" i="37" s="1"/>
  <c r="AB12" i="37"/>
  <c r="F12" i="37"/>
  <c r="AA12" i="37" s="1"/>
  <c r="H15" i="37"/>
  <c r="U15" i="37"/>
  <c r="F31" i="37"/>
  <c r="S31" i="37" s="1"/>
  <c r="H31" i="37"/>
  <c r="U31" i="37" s="1"/>
  <c r="AB31" i="37"/>
  <c r="J15" i="37"/>
  <c r="W15" i="37" s="1"/>
  <c r="J11" i="37"/>
  <c r="W11" i="37" s="1"/>
  <c r="S27" i="31"/>
  <c r="G483" i="3"/>
  <c r="G501" i="3"/>
  <c r="BA15" i="3"/>
  <c r="BL17" i="3"/>
  <c r="BL15" i="3"/>
  <c r="BA14" i="3"/>
  <c r="AZ14" i="3" s="1"/>
  <c r="J57" i="39"/>
  <c r="I4" i="4"/>
  <c r="K141" i="21"/>
  <c r="K143" i="21"/>
  <c r="K144" i="2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AZ119" i="3"/>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c r="BL179" i="3"/>
  <c r="G180"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AZ162"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AZ337" i="3" s="1"/>
  <c r="G338" i="3"/>
  <c r="BA340" i="3"/>
  <c r="BL341" i="3"/>
  <c r="AZ341" i="3" s="1"/>
  <c r="G342" i="3"/>
  <c r="BA344" i="3"/>
  <c r="BL345" i="3"/>
  <c r="G346" i="3"/>
  <c r="BA348" i="3"/>
  <c r="AZ348" i="3" s="1"/>
  <c r="BL349" i="3"/>
  <c r="G350" i="3"/>
  <c r="BA352" i="3"/>
  <c r="BL353" i="3"/>
  <c r="G354" i="3"/>
  <c r="BA356" i="3"/>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G384" i="3"/>
  <c r="AZ361" i="3"/>
  <c r="F37" i="46"/>
  <c r="AB16" i="35"/>
  <c r="AB15" i="37"/>
  <c r="AA43" i="21"/>
  <c r="U43" i="21"/>
  <c r="R16" i="4"/>
  <c r="D3" i="35"/>
  <c r="G4" i="4"/>
  <c r="S37" i="34"/>
  <c r="J16" i="35"/>
  <c r="W16" i="35"/>
  <c r="U42" i="21"/>
  <c r="W25" i="35"/>
  <c r="H13" i="39"/>
  <c r="AB13" i="39" s="1"/>
  <c r="F13" i="39"/>
  <c r="J13" i="39"/>
  <c r="AC13" i="39" s="1"/>
  <c r="AA36" i="35"/>
  <c r="H11" i="37"/>
  <c r="AB11" i="37" s="1"/>
  <c r="W37" i="37"/>
  <c r="AA36" i="37"/>
  <c r="S42" i="33"/>
  <c r="U32" i="33"/>
  <c r="AB17" i="37"/>
  <c r="AC29" i="33"/>
  <c r="AB45" i="34"/>
  <c r="S25" i="35"/>
  <c r="W44"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c r="AB39" i="34"/>
  <c r="F11" i="34"/>
  <c r="S11" i="34" s="1"/>
  <c r="H17" i="34"/>
  <c r="AB17" i="34" s="1"/>
  <c r="AC27" i="34"/>
  <c r="W27" i="34"/>
  <c r="AB28" i="35"/>
  <c r="U28" i="35"/>
  <c r="J13" i="33"/>
  <c r="W13" i="33" s="1"/>
  <c r="H13" i="33"/>
  <c r="U13" i="33"/>
  <c r="H29" i="33"/>
  <c r="AB29" i="33" s="1"/>
  <c r="F29" i="33"/>
  <c r="AA29" i="33"/>
  <c r="J12" i="34"/>
  <c r="AC12" i="34" s="1"/>
  <c r="H12" i="34"/>
  <c r="AB12" i="34" s="1"/>
  <c r="F12" i="34"/>
  <c r="S12" i="34" s="1"/>
  <c r="J14" i="34"/>
  <c r="W14" i="34" s="1"/>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H32" i="37"/>
  <c r="AB32" i="37" s="1"/>
  <c r="F19" i="39"/>
  <c r="S19" i="39" s="1"/>
  <c r="H19" i="39"/>
  <c r="J19" i="39"/>
  <c r="W19" i="39" s="1"/>
  <c r="F43" i="39"/>
  <c r="H43" i="39"/>
  <c r="U43" i="39"/>
  <c r="J43" i="39"/>
  <c r="F99" i="37"/>
  <c r="AC27" i="37"/>
  <c r="U25" i="35"/>
  <c r="S45" i="34"/>
  <c r="AC40" i="37"/>
  <c r="W40" i="37"/>
  <c r="W27" i="33"/>
  <c r="AC45" i="21"/>
  <c r="S28" i="33"/>
  <c r="S14" i="21"/>
  <c r="AA44" i="34"/>
  <c r="AB29" i="35"/>
  <c r="U29" i="35"/>
  <c r="AC19" i="33"/>
  <c r="W19" i="33"/>
  <c r="U43" i="34"/>
  <c r="AB43" i="34"/>
  <c r="AC34" i="37"/>
  <c r="S35" i="37"/>
  <c r="AA35" i="37"/>
  <c r="AA32" i="21"/>
  <c r="S32" i="21"/>
  <c r="U38"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s="1"/>
  <c r="H33" i="36"/>
  <c r="U33" i="36" s="1"/>
  <c r="F33" i="36"/>
  <c r="AA33" i="36" s="1"/>
  <c r="H27" i="36"/>
  <c r="AB27" i="36" s="1"/>
  <c r="AA31" i="36"/>
  <c r="AA30" i="37"/>
  <c r="S30" i="37"/>
  <c r="AC30" i="37"/>
  <c r="AC31" i="37"/>
  <c r="W31" i="37"/>
  <c r="F17" i="39"/>
  <c r="AA17" i="39"/>
  <c r="H17" i="39"/>
  <c r="U17" i="39" s="1"/>
  <c r="J17" i="39"/>
  <c r="W17" i="39" s="1"/>
  <c r="F21" i="39"/>
  <c r="S21" i="39" s="1"/>
  <c r="H21" i="39"/>
  <c r="J21" i="39"/>
  <c r="W21" i="39" s="1"/>
  <c r="F33" i="39"/>
  <c r="H33" i="39"/>
  <c r="U33" i="39" s="1"/>
  <c r="J33" i="39"/>
  <c r="F44" i="39"/>
  <c r="S44" i="39" s="1"/>
  <c r="H44" i="39"/>
  <c r="U44" i="39" s="1"/>
  <c r="J44" i="39"/>
  <c r="W44" i="39"/>
  <c r="F46" i="39"/>
  <c r="S46" i="39" s="1"/>
  <c r="H46" i="39"/>
  <c r="U46" i="39" s="1"/>
  <c r="J46" i="39"/>
  <c r="W46" i="39" s="1"/>
  <c r="F29" i="39"/>
  <c r="AA29" i="39" s="1"/>
  <c r="H29" i="39"/>
  <c r="U29" i="39"/>
  <c r="F34" i="39"/>
  <c r="AA34" i="39" s="1"/>
  <c r="H34" i="39"/>
  <c r="AB34" i="39"/>
  <c r="J34" i="39"/>
  <c r="AC34" i="39" s="1"/>
  <c r="J29" i="35"/>
  <c r="AC29" i="35" s="1"/>
  <c r="F29" i="35"/>
  <c r="S29" i="35" s="1"/>
  <c r="W30" i="36"/>
  <c r="AC30" i="36"/>
  <c r="J37" i="39"/>
  <c r="W37" i="39" s="1"/>
  <c r="BL567" i="3"/>
  <c r="BA564" i="3"/>
  <c r="BL554" i="3"/>
  <c r="AZ554" i="3" s="1"/>
  <c r="BA553" i="3"/>
  <c r="AZ553" i="3" s="1"/>
  <c r="BA552" i="3"/>
  <c r="AZ552" i="3" s="1"/>
  <c r="BL549" i="3"/>
  <c r="BA549" i="3"/>
  <c r="BL548" i="3"/>
  <c r="BA548" i="3"/>
  <c r="BL547" i="3"/>
  <c r="BA547" i="3"/>
  <c r="BA539" i="3"/>
  <c r="BA537" i="3"/>
  <c r="BA534" i="3"/>
  <c r="BL530" i="3"/>
  <c r="BA530" i="3"/>
  <c r="BL529" i="3"/>
  <c r="BA529" i="3"/>
  <c r="AZ529" i="3" s="1"/>
  <c r="BL528" i="3"/>
  <c r="AZ528" i="3" s="1"/>
  <c r="BA527" i="3"/>
  <c r="BA526" i="3"/>
  <c r="BA525" i="3"/>
  <c r="AZ525" i="3" s="1"/>
  <c r="BA522" i="3"/>
  <c r="BL518" i="3"/>
  <c r="BL513" i="3"/>
  <c r="BA510" i="3"/>
  <c r="BL504" i="3"/>
  <c r="BA500" i="3"/>
  <c r="AZ500" i="3" s="1"/>
  <c r="BL499" i="3"/>
  <c r="BA499" i="3"/>
  <c r="BL498" i="3"/>
  <c r="BL497" i="3"/>
  <c r="BA497" i="3"/>
  <c r="BA496" i="3"/>
  <c r="BA495" i="3"/>
  <c r="AZ495" i="3" s="1"/>
  <c r="BL494" i="3"/>
  <c r="BA494" i="3"/>
  <c r="AZ494" i="3"/>
  <c r="G494" i="3"/>
  <c r="BA491" i="3"/>
  <c r="BL490" i="3"/>
  <c r="BA490" i="3"/>
  <c r="AZ490" i="3"/>
  <c r="BL489" i="3"/>
  <c r="BA489" i="3"/>
  <c r="BL487" i="3"/>
  <c r="BL486" i="3"/>
  <c r="AZ486" i="3" s="1"/>
  <c r="BA486" i="3"/>
  <c r="BA485" i="3"/>
  <c r="BA483" i="3"/>
  <c r="AZ483" i="3" s="1"/>
  <c r="BA482" i="3"/>
  <c r="AZ482" i="3" s="1"/>
  <c r="BA481" i="3"/>
  <c r="BA18" i="3"/>
  <c r="F114" i="34"/>
  <c r="G114" i="34" s="1"/>
  <c r="H114" i="34" s="1"/>
  <c r="I114" i="34" s="1"/>
  <c r="J114" i="34" s="1"/>
  <c r="K114" i="34" s="1"/>
  <c r="L114" i="34" s="1"/>
  <c r="M114" i="34" s="1"/>
  <c r="H38" i="34"/>
  <c r="U38" i="34" s="1"/>
  <c r="AA36" i="34"/>
  <c r="AC12" i="21"/>
  <c r="W12" i="21"/>
  <c r="AB33" i="21"/>
  <c r="S35" i="21"/>
  <c r="AB10"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c r="E72" i="35"/>
  <c r="F72" i="35" s="1"/>
  <c r="G72" i="35" s="1"/>
  <c r="H22" i="35"/>
  <c r="AB22" i="35"/>
  <c r="H23" i="35"/>
  <c r="AB23" i="35" s="1"/>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H36" i="33"/>
  <c r="AB36" i="33" s="1"/>
  <c r="H37" i="34"/>
  <c r="U37" i="34" s="1"/>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F61" i="46"/>
  <c r="F72" i="46"/>
  <c r="H74" i="46" s="1"/>
  <c r="AB25" i="39"/>
  <c r="AB37" i="34"/>
  <c r="W27" i="39"/>
  <c r="S23" i="39"/>
  <c r="AB16" i="39"/>
  <c r="H20" i="35"/>
  <c r="AB20" i="35" s="1"/>
  <c r="F20" i="35"/>
  <c r="S20" i="35"/>
  <c r="H15" i="34"/>
  <c r="AB15" i="34"/>
  <c r="F78" i="34"/>
  <c r="G78" i="34"/>
  <c r="J15" i="34"/>
  <c r="AC15" i="34" s="1"/>
  <c r="H41" i="33"/>
  <c r="U41" i="33" s="1"/>
  <c r="AB38" i="34"/>
  <c r="AZ497" i="3"/>
  <c r="AZ530" i="3"/>
  <c r="AZ547" i="3"/>
  <c r="AZ549" i="3"/>
  <c r="AA29" i="35"/>
  <c r="J29" i="39"/>
  <c r="AC29" i="39" s="1"/>
  <c r="AB21" i="39"/>
  <c r="U21" i="39"/>
  <c r="AB17" i="39"/>
  <c r="AB33" i="36"/>
  <c r="AA14" i="35"/>
  <c r="S14" i="35"/>
  <c r="G99" i="37"/>
  <c r="H99" i="37" s="1"/>
  <c r="I99" i="37" s="1"/>
  <c r="J99" i="37" s="1"/>
  <c r="K99" i="37" s="1"/>
  <c r="L99" i="37" s="1"/>
  <c r="M99" i="37" s="1"/>
  <c r="F33" i="37"/>
  <c r="AA33" i="37" s="1"/>
  <c r="AB19" i="39"/>
  <c r="U19" i="39"/>
  <c r="U46" i="34"/>
  <c r="AC30" i="34"/>
  <c r="AA14" i="34"/>
  <c r="W12" i="34"/>
  <c r="U29" i="33"/>
  <c r="AC13" i="33"/>
  <c r="U17" i="34"/>
  <c r="AA11" i="34"/>
  <c r="W32" i="33"/>
  <c r="H15" i="33"/>
  <c r="U15" i="33" s="1"/>
  <c r="AA11" i="33"/>
  <c r="AA40" i="21"/>
  <c r="U17" i="21"/>
  <c r="S13" i="39"/>
  <c r="AA13" i="39"/>
  <c r="U47" i="39"/>
  <c r="W15" i="39"/>
  <c r="J37" i="34"/>
  <c r="AC37" i="34"/>
  <c r="J36" i="33"/>
  <c r="W36" i="33" s="1"/>
  <c r="U27" i="39"/>
  <c r="H23" i="39"/>
  <c r="AB23" i="39" s="1"/>
  <c r="J23" i="39"/>
  <c r="AC23" i="39" s="1"/>
  <c r="F96" i="39"/>
  <c r="G96" i="39" s="1"/>
  <c r="S16" i="39"/>
  <c r="AA15" i="34"/>
  <c r="AA41" i="33"/>
  <c r="AA34" i="33"/>
  <c r="F106" i="33"/>
  <c r="G106" i="33" s="1"/>
  <c r="H106" i="33" s="1"/>
  <c r="I106" i="33" s="1"/>
  <c r="J106" i="33" s="1"/>
  <c r="K106" i="33" s="1"/>
  <c r="L106" i="33" s="1"/>
  <c r="M106" i="33" s="1"/>
  <c r="J34" i="33"/>
  <c r="AC34" i="33" s="1"/>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c r="AC36" i="33"/>
  <c r="J11" i="33"/>
  <c r="W11" i="33" s="1"/>
  <c r="H33" i="37"/>
  <c r="AB33" i="37" s="1"/>
  <c r="W15" i="34"/>
  <c r="U20" i="35"/>
  <c r="B11" i="1"/>
  <c r="E11" i="1" s="1"/>
  <c r="K11" i="1"/>
  <c r="M11" i="1" s="1"/>
  <c r="B9" i="1"/>
  <c r="E9" i="1" s="1"/>
  <c r="K9" i="1"/>
  <c r="M9" i="1" s="1"/>
  <c r="B7" i="1"/>
  <c r="E7" i="1" s="1"/>
  <c r="K7" i="1"/>
  <c r="M7" i="1" s="1"/>
  <c r="AC25" i="36"/>
  <c r="S8" i="36"/>
  <c r="AA26" i="36"/>
  <c r="AA28" i="36"/>
  <c r="U25" i="36"/>
  <c r="H20" i="36"/>
  <c r="U20" i="36" s="1"/>
  <c r="F68" i="36"/>
  <c r="G68" i="36" s="1"/>
  <c r="J20" i="36"/>
  <c r="AC20" i="36" s="1"/>
  <c r="F20" i="36"/>
  <c r="S20" i="36"/>
  <c r="F62" i="36"/>
  <c r="G62" i="36" s="1"/>
  <c r="J14" i="36"/>
  <c r="H14" i="36"/>
  <c r="F14" i="36"/>
  <c r="AA14" i="36" s="1"/>
  <c r="U27" i="36"/>
  <c r="AB12" i="36"/>
  <c r="U9" i="36"/>
  <c r="S33" i="36"/>
  <c r="AA27" i="36"/>
  <c r="S16" i="36"/>
  <c r="S29" i="36"/>
  <c r="AC33" i="35"/>
  <c r="U22" i="35"/>
  <c r="AA13" i="35"/>
  <c r="S8" i="35"/>
  <c r="U33" i="35"/>
  <c r="AA20" i="35"/>
  <c r="W20" i="35"/>
  <c r="S16" i="35"/>
  <c r="AB14" i="35"/>
  <c r="U9" i="35"/>
  <c r="W13" i="35"/>
  <c r="AC18" i="35"/>
  <c r="W18" i="35"/>
  <c r="U18" i="35"/>
  <c r="AB18" i="35"/>
  <c r="S30" i="35"/>
  <c r="AB30" i="35"/>
  <c r="S27" i="35"/>
  <c r="S28" i="35"/>
  <c r="J26" i="35"/>
  <c r="F26" i="35"/>
  <c r="H26" i="35"/>
  <c r="AB9" i="37"/>
  <c r="W12" i="37"/>
  <c r="AA9" i="37"/>
  <c r="S17" i="37"/>
  <c r="W28" i="37"/>
  <c r="AB37" i="37"/>
  <c r="AA31" i="37"/>
  <c r="S33" i="37"/>
  <c r="U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AB23" i="34" s="1"/>
  <c r="AC11" i="34"/>
  <c r="U11" i="34"/>
  <c r="W37" i="34"/>
  <c r="AC40" i="34"/>
  <c r="W44" i="34"/>
  <c r="W19" i="34"/>
  <c r="W29" i="34"/>
  <c r="AC21" i="34"/>
  <c r="W21" i="34"/>
  <c r="U15" i="34"/>
  <c r="AB21" i="34"/>
  <c r="U21" i="34"/>
  <c r="U27" i="34"/>
  <c r="U19" i="34"/>
  <c r="AB41" i="34"/>
  <c r="AA41" i="34"/>
  <c r="S9" i="34"/>
  <c r="U39" i="33"/>
  <c r="U37" i="33"/>
  <c r="S35"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W17" i="33" s="1"/>
  <c r="AB15" i="33"/>
  <c r="AC11" i="33"/>
  <c r="S14"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S23" i="21" s="1"/>
  <c r="H23" i="21"/>
  <c r="AA17" i="21"/>
  <c r="W17" i="21"/>
  <c r="F15" i="21"/>
  <c r="S15" i="21" s="1"/>
  <c r="F77" i="21"/>
  <c r="G77" i="21"/>
  <c r="J15" i="21"/>
  <c r="AC15" i="21" s="1"/>
  <c r="H15" i="21"/>
  <c r="AC11" i="21"/>
  <c r="AB11" i="21"/>
  <c r="W13" i="21"/>
  <c r="AA11" i="21"/>
  <c r="AC21" i="21"/>
  <c r="W21" i="21"/>
  <c r="W44" i="21"/>
  <c r="AC19" i="21"/>
  <c r="W10" i="21"/>
  <c r="AC38" i="21"/>
  <c r="AB21" i="21"/>
  <c r="U21" i="21"/>
  <c r="AB29" i="21"/>
  <c r="AA30" i="21"/>
  <c r="AA31" i="21"/>
  <c r="AC44" i="39"/>
  <c r="W13" i="39"/>
  <c r="S11" i="39"/>
  <c r="AB45" i="39"/>
  <c r="S27" i="39"/>
  <c r="AA21" i="39"/>
  <c r="AC19" i="39"/>
  <c r="W29" i="39"/>
  <c r="S29" i="39"/>
  <c r="AC21" i="39"/>
  <c r="AC17" i="39"/>
  <c r="S14" i="39"/>
  <c r="AB15" i="39"/>
  <c r="U11" i="39"/>
  <c r="U41" i="39"/>
  <c r="U23" i="39"/>
  <c r="AB38" i="39"/>
  <c r="U31" i="39"/>
  <c r="AB31" i="39"/>
  <c r="S25" i="39"/>
  <c r="S38" i="39"/>
  <c r="S22" i="31"/>
  <c r="R22" i="31" s="1"/>
  <c r="B21" i="31" s="1"/>
  <c r="A18" i="64"/>
  <c r="B74" i="63" s="1"/>
  <c r="C53" i="10"/>
  <c r="A25" i="64" s="1"/>
  <c r="A18" i="51"/>
  <c r="B14" i="63" s="1"/>
  <c r="BA16" i="3"/>
  <c r="BA17" i="3"/>
  <c r="AZ17" i="3" s="1"/>
  <c r="F3" i="35"/>
  <c r="K1" i="43"/>
  <c r="K1" i="12"/>
  <c r="G1" i="44"/>
  <c r="I4" i="6"/>
  <c r="G3" i="46" s="1"/>
  <c r="Z7" i="46" s="1"/>
  <c r="AZ15" i="3"/>
  <c r="BK5" i="3"/>
  <c r="BO5" i="3"/>
  <c r="BP5" i="3"/>
  <c r="BL18" i="3"/>
  <c r="BC5" i="3"/>
  <c r="BS5" i="3"/>
  <c r="BQ5" i="3"/>
  <c r="F28" i="6" s="1"/>
  <c r="BL16" i="3"/>
  <c r="AZ16" i="3" s="1"/>
  <c r="BM5" i="3"/>
  <c r="D24" i="44"/>
  <c r="D26" i="44"/>
  <c r="F50" i="46"/>
  <c r="H52" i="46" s="1"/>
  <c r="C6" i="46"/>
  <c r="I5" i="48"/>
  <c r="K21" i="46"/>
  <c r="F42" i="46"/>
  <c r="D74" i="46"/>
  <c r="D87" i="46"/>
  <c r="D72" i="46"/>
  <c r="A4" i="64"/>
  <c r="A4" i="51"/>
  <c r="B6" i="63" s="1"/>
  <c r="C51" i="10"/>
  <c r="A9" i="64" s="1"/>
  <c r="H83" i="46"/>
  <c r="H87" i="46"/>
  <c r="AA12" i="36"/>
  <c r="U12" i="35"/>
  <c r="AB12" i="35"/>
  <c r="W11" i="35"/>
  <c r="AA11" i="35"/>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AC27" i="36"/>
  <c r="W28" i="36"/>
  <c r="U13" i="36"/>
  <c r="AA22" i="36"/>
  <c r="AA13" i="36"/>
  <c r="W29" i="36"/>
  <c r="W9" i="36"/>
  <c r="W8" i="36"/>
  <c r="AC30" i="35"/>
  <c r="U24" i="35"/>
  <c r="W32" i="35"/>
  <c r="S24" i="35"/>
  <c r="AA33" i="35"/>
  <c r="U32" i="35"/>
  <c r="W22" i="35"/>
  <c r="S32" i="35"/>
  <c r="W35" i="37"/>
  <c r="AC33" i="37"/>
  <c r="U33" i="37"/>
  <c r="AC15" i="37"/>
  <c r="AA13" i="37"/>
  <c r="S12" i="37"/>
  <c r="W36" i="37"/>
  <c r="AB28" i="37"/>
  <c r="S28" i="37"/>
  <c r="W13" i="37"/>
  <c r="AA31" i="34"/>
  <c r="AB35" i="34"/>
  <c r="AB29" i="34"/>
  <c r="AB47" i="34"/>
  <c r="AA29" i="34"/>
  <c r="S19" i="34"/>
  <c r="S8" i="34"/>
  <c r="AA19" i="33"/>
  <c r="S43" i="33"/>
  <c r="AB42" i="33"/>
  <c r="AB14" i="33"/>
  <c r="S26" i="33"/>
  <c r="S15" i="33"/>
  <c r="S39" i="21"/>
  <c r="AB25" i="21"/>
  <c r="AB45" i="21"/>
  <c r="W25" i="21"/>
  <c r="AA25" i="21"/>
  <c r="AC37" i="21"/>
  <c r="AA29" i="21"/>
  <c r="U27" i="21"/>
  <c r="W31" i="21"/>
  <c r="S27" i="21"/>
  <c r="AC27" i="21"/>
  <c r="W29" i="21"/>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39"/>
  <c r="C19" i="39"/>
  <c r="C21" i="39"/>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A23" i="34"/>
  <c r="S23" i="34"/>
  <c r="AC23" i="34"/>
  <c r="W23" i="34"/>
  <c r="AA25" i="33"/>
  <c r="S25" i="33"/>
  <c r="U23" i="33"/>
  <c r="AC23" i="33"/>
  <c r="S23" i="33"/>
  <c r="AA23" i="33"/>
  <c r="AC17" i="33"/>
  <c r="AA17" i="33"/>
  <c r="U17" i="33"/>
  <c r="AB17" i="33"/>
  <c r="U23" i="21"/>
  <c r="AB23" i="21"/>
  <c r="AA23" i="21"/>
  <c r="U15" i="21"/>
  <c r="AB15" i="21"/>
  <c r="W15" i="21"/>
  <c r="B20" i="31"/>
  <c r="A17" i="51"/>
  <c r="B13" i="63" s="1"/>
  <c r="AT6" i="3"/>
  <c r="E4" i="4"/>
  <c r="B21" i="55" s="1"/>
  <c r="B72" i="63" s="1"/>
  <c r="C4" i="4"/>
  <c r="B20" i="55" s="1"/>
  <c r="B70" i="63" s="1"/>
  <c r="J18" i="36"/>
  <c r="W18" i="36" s="1"/>
  <c r="L20" i="6"/>
  <c r="C45" i="9"/>
  <c r="B7" i="66" s="1"/>
  <c r="C44" i="9"/>
  <c r="B6" i="66" s="1"/>
  <c r="K29" i="9"/>
  <c r="K30" i="9" s="1"/>
  <c r="N76" i="9"/>
  <c r="C46" i="9"/>
  <c r="K33" i="9"/>
  <c r="K34" i="9" s="1"/>
  <c r="O41" i="9"/>
  <c r="R8" i="54" s="1"/>
  <c r="B54" i="63" s="1"/>
  <c r="B8" i="66"/>
  <c r="H61" i="46"/>
  <c r="J21" i="46"/>
  <c r="F38" i="46"/>
  <c r="F41" i="46"/>
  <c r="F40" i="46"/>
  <c r="H117" i="46"/>
  <c r="D24" i="59"/>
  <c r="C23" i="59"/>
  <c r="C22" i="59" s="1"/>
  <c r="C21"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B22" i="59"/>
  <c r="B21" i="59" s="1"/>
  <c r="B20" i="59" s="1"/>
  <c r="B19" i="59" s="1"/>
  <c r="B18" i="59" s="1"/>
  <c r="F26" i="15"/>
  <c r="B10" i="67"/>
  <c r="F8" i="44"/>
  <c r="F40" i="15"/>
  <c r="B14" i="67"/>
  <c r="E10" i="67"/>
  <c r="F14" i="67"/>
  <c r="M29" i="15"/>
  <c r="F7" i="15"/>
  <c r="E11" i="67"/>
  <c r="E8" i="67"/>
  <c r="F28" i="44"/>
  <c r="M24" i="15"/>
  <c r="E12" i="67"/>
  <c r="F42" i="15"/>
  <c r="M30" i="44"/>
  <c r="F37" i="15"/>
  <c r="F9" i="67"/>
  <c r="N4" i="65"/>
  <c r="M24" i="44"/>
  <c r="C19" i="9"/>
  <c r="F43" i="15"/>
  <c r="M22" i="15"/>
  <c r="B8" i="67"/>
  <c r="E9" i="67"/>
  <c r="F18" i="44"/>
  <c r="C21" i="9"/>
  <c r="N3" i="65"/>
  <c r="F36" i="15"/>
  <c r="F9" i="15"/>
  <c r="C20" i="9"/>
  <c r="F10" i="67"/>
  <c r="M8" i="15"/>
  <c r="L48" i="44"/>
  <c r="L48" i="15"/>
  <c r="F13" i="15"/>
  <c r="F38" i="44"/>
  <c r="B9" i="67"/>
  <c r="F40" i="44"/>
  <c r="F45" i="44"/>
  <c r="F15" i="44"/>
  <c r="M6" i="15"/>
  <c r="F16" i="15"/>
  <c r="F12" i="67"/>
  <c r="F43" i="44"/>
  <c r="D20" i="9"/>
  <c r="N6" i="65"/>
  <c r="M26" i="15"/>
  <c r="B12" i="67"/>
  <c r="F8" i="15"/>
  <c r="F10" i="44"/>
  <c r="B11" i="67"/>
  <c r="F9" i="44"/>
  <c r="D19" i="9"/>
  <c r="M11" i="44"/>
  <c r="F38" i="15"/>
  <c r="N5" i="65"/>
  <c r="M10" i="44"/>
  <c r="M23" i="15"/>
  <c r="J17" i="44"/>
  <c r="D21" i="9"/>
  <c r="M28" i="15"/>
  <c r="M9" i="15"/>
  <c r="M31" i="44"/>
  <c r="N7" i="65"/>
  <c r="L47" i="15"/>
  <c r="M28" i="44"/>
  <c r="F11" i="67"/>
  <c r="J36" i="15"/>
  <c r="F13" i="67"/>
  <c r="B13" i="67"/>
  <c r="F6" i="15"/>
  <c r="F39" i="44"/>
  <c r="E13" i="67"/>
  <c r="J15" i="15"/>
  <c r="F8" i="67"/>
  <c r="M25" i="44"/>
  <c r="E14" i="67"/>
  <c r="C18" i="9" l="1"/>
  <c r="M43" i="9" s="1"/>
  <c r="D18" i="9"/>
  <c r="M44" i="9" s="1"/>
  <c r="B41" i="1"/>
  <c r="F72" i="9" s="1"/>
  <c r="D96" i="9"/>
  <c r="M20" i="44"/>
  <c r="M18" i="15"/>
  <c r="F9" i="1"/>
  <c r="AP9" i="1" s="1"/>
  <c r="F6" i="1"/>
  <c r="BB5" i="3"/>
  <c r="H1" i="65"/>
  <c r="G12" i="1"/>
  <c r="AC23" i="36"/>
  <c r="W23" i="36"/>
  <c r="AC18" i="36"/>
  <c r="D23" i="59"/>
  <c r="AA15" i="21"/>
  <c r="AC25" i="33"/>
  <c r="AZ18" i="3"/>
  <c r="AC38" i="39"/>
  <c r="AC23" i="21"/>
  <c r="U25" i="33"/>
  <c r="U36" i="33"/>
  <c r="W17" i="34"/>
  <c r="AA27" i="34"/>
  <c r="W29" i="35"/>
  <c r="U23" i="35"/>
  <c r="S47" i="39"/>
  <c r="AZ174" i="3"/>
  <c r="U39" i="37"/>
  <c r="U30" i="37"/>
  <c r="U12" i="21"/>
  <c r="AB12" i="21"/>
  <c r="AA19" i="21"/>
  <c r="S19" i="21"/>
  <c r="F11" i="36"/>
  <c r="J11" i="36"/>
  <c r="AC26" i="37"/>
  <c r="W26" i="37"/>
  <c r="U29" i="37"/>
  <c r="AB29" i="37"/>
  <c r="H14" i="37"/>
  <c r="J14" i="37"/>
  <c r="F14" i="37"/>
  <c r="BL519" i="3"/>
  <c r="BA519" i="3"/>
  <c r="AZ519" i="3" s="1"/>
  <c r="BA518" i="3"/>
  <c r="AZ518" i="3" s="1"/>
  <c r="BL517" i="3"/>
  <c r="BA517" i="3"/>
  <c r="BA516" i="3"/>
  <c r="BL515" i="3"/>
  <c r="BA515" i="3"/>
  <c r="BA514" i="3"/>
  <c r="BA513" i="3"/>
  <c r="BL512" i="3"/>
  <c r="AZ512" i="3" s="1"/>
  <c r="BA512" i="3"/>
  <c r="BL511" i="3"/>
  <c r="BA511" i="3"/>
  <c r="AZ511" i="3" s="1"/>
  <c r="BL510" i="3"/>
  <c r="AZ510" i="3" s="1"/>
  <c r="BL509" i="3"/>
  <c r="AZ509" i="3" s="1"/>
  <c r="BA509" i="3"/>
  <c r="BA508" i="3"/>
  <c r="AZ508" i="3" s="1"/>
  <c r="BL507" i="3"/>
  <c r="BA507" i="3"/>
  <c r="BL506" i="3"/>
  <c r="BH5" i="3"/>
  <c r="BA506" i="3"/>
  <c r="BL505" i="3"/>
  <c r="AZ505" i="3" s="1"/>
  <c r="BA505" i="3"/>
  <c r="BA504" i="3"/>
  <c r="AZ504" i="3" s="1"/>
  <c r="BA503" i="3"/>
  <c r="AZ503" i="3" s="1"/>
  <c r="F29" i="6"/>
  <c r="AZ564" i="3"/>
  <c r="AZ356" i="3"/>
  <c r="AZ345" i="3"/>
  <c r="S45" i="33"/>
  <c r="AA45" i="33"/>
  <c r="AA45" i="21"/>
  <c r="S45" i="21"/>
  <c r="W36" i="34"/>
  <c r="H30" i="33"/>
  <c r="F30" i="33"/>
  <c r="U45" i="33"/>
  <c r="AB45" i="33"/>
  <c r="F13" i="34"/>
  <c r="H13" i="34"/>
  <c r="J13" i="34"/>
  <c r="J31" i="34"/>
  <c r="W31" i="34" s="1"/>
  <c r="H31" i="34"/>
  <c r="J47" i="34"/>
  <c r="F47" i="34"/>
  <c r="J23" i="35"/>
  <c r="F23" i="35"/>
  <c r="F35" i="35"/>
  <c r="H35" i="35"/>
  <c r="H34" i="36"/>
  <c r="J34" i="36"/>
  <c r="F39" i="39"/>
  <c r="H39" i="39"/>
  <c r="J39" i="39"/>
  <c r="AC41" i="33"/>
  <c r="W41" i="33"/>
  <c r="U34" i="37"/>
  <c r="AB34" i="37"/>
  <c r="AC31" i="35"/>
  <c r="W31" i="35"/>
  <c r="F37" i="39"/>
  <c r="H37" i="39"/>
  <c r="BL569" i="3"/>
  <c r="BA569" i="3"/>
  <c r="BL568" i="3"/>
  <c r="BA568" i="3"/>
  <c r="AZ568" i="3" s="1"/>
  <c r="BA567" i="3"/>
  <c r="BL566" i="3"/>
  <c r="BA566" i="3"/>
  <c r="BL565" i="3"/>
  <c r="AZ565" i="3" s="1"/>
  <c r="BL563" i="3"/>
  <c r="BA563" i="3"/>
  <c r="BA562" i="3"/>
  <c r="BL561" i="3"/>
  <c r="BA561" i="3"/>
  <c r="BL560" i="3"/>
  <c r="BL559" i="3"/>
  <c r="BA559" i="3"/>
  <c r="AZ559" i="3" s="1"/>
  <c r="BL557" i="3"/>
  <c r="BA557" i="3"/>
  <c r="BA556" i="3"/>
  <c r="BL555" i="3"/>
  <c r="AZ555" i="3" s="1"/>
  <c r="BA555" i="3"/>
  <c r="BA540" i="3"/>
  <c r="BL539" i="3"/>
  <c r="BL538" i="3"/>
  <c r="BA538" i="3"/>
  <c r="BL537" i="3"/>
  <c r="BL536" i="3"/>
  <c r="BA536" i="3"/>
  <c r="AZ536" i="3" s="1"/>
  <c r="BL535" i="3"/>
  <c r="BA535" i="3"/>
  <c r="BL533" i="3"/>
  <c r="BA533" i="3"/>
  <c r="AZ533" i="3" s="1"/>
  <c r="BA532" i="3"/>
  <c r="BL531" i="3"/>
  <c r="BA531" i="3"/>
  <c r="AZ531" i="3" s="1"/>
  <c r="BL523" i="3"/>
  <c r="BA523" i="3"/>
  <c r="BL522" i="3"/>
  <c r="AZ522" i="3" s="1"/>
  <c r="BL521" i="3"/>
  <c r="AZ521" i="3" s="1"/>
  <c r="W34" i="33"/>
  <c r="AA32" i="37"/>
  <c r="U13" i="35"/>
  <c r="AB13" i="35"/>
  <c r="AC30" i="33"/>
  <c r="W30" i="33"/>
  <c r="U34" i="21"/>
  <c r="AB34" i="21"/>
  <c r="S28" i="34"/>
  <c r="AA28" i="34"/>
  <c r="W26" i="36"/>
  <c r="AC26" i="36"/>
  <c r="AA25" i="37"/>
  <c r="S25" i="37"/>
  <c r="AB36" i="37"/>
  <c r="U36" i="37"/>
  <c r="J38" i="37"/>
  <c r="H38" i="37"/>
  <c r="F38" i="37"/>
  <c r="S38" i="37" s="1"/>
  <c r="AZ527" i="3"/>
  <c r="W41" i="34"/>
  <c r="AC41" i="34"/>
  <c r="AZ540" i="3"/>
  <c r="AZ562" i="3"/>
  <c r="U8" i="21"/>
  <c r="AB8" i="21"/>
  <c r="W40" i="21"/>
  <c r="AC40" i="21"/>
  <c r="AA34" i="34"/>
  <c r="S34" i="34"/>
  <c r="U27" i="35"/>
  <c r="AB27" i="35"/>
  <c r="H23" i="36"/>
  <c r="F23" i="36"/>
  <c r="W41" i="21"/>
  <c r="AC41" i="21"/>
  <c r="BL481" i="3"/>
  <c r="AZ481" i="3" s="1"/>
  <c r="BA20" i="3"/>
  <c r="BL19" i="3"/>
  <c r="BA19" i="3"/>
  <c r="AZ19" i="3" s="1"/>
  <c r="BJ5" i="3"/>
  <c r="AZ496" i="3"/>
  <c r="AZ548" i="3"/>
  <c r="AZ383" i="3"/>
  <c r="AZ374" i="3"/>
  <c r="AZ381" i="3"/>
  <c r="AZ331" i="3"/>
  <c r="AZ192" i="3"/>
  <c r="AZ322" i="3"/>
  <c r="BL514" i="3"/>
  <c r="AZ514" i="3" s="1"/>
  <c r="BL564" i="3"/>
  <c r="BL572" i="3"/>
  <c r="AC24" i="35"/>
  <c r="W24" i="35"/>
  <c r="AC22" i="36"/>
  <c r="W22" i="36"/>
  <c r="F32" i="36"/>
  <c r="H32" i="36"/>
  <c r="J39" i="37"/>
  <c r="F39" i="37"/>
  <c r="G543" i="3"/>
  <c r="BL541" i="3"/>
  <c r="BA541" i="3"/>
  <c r="BL527" i="3"/>
  <c r="BA520" i="3"/>
  <c r="AZ520" i="3" s="1"/>
  <c r="BL485" i="3"/>
  <c r="AZ485" i="3" s="1"/>
  <c r="AZ489" i="3"/>
  <c r="AZ316" i="3"/>
  <c r="AZ330" i="3"/>
  <c r="AZ377" i="3"/>
  <c r="AZ303" i="3"/>
  <c r="BL20" i="3"/>
  <c r="BL516" i="3"/>
  <c r="AZ501" i="3"/>
  <c r="AC42" i="21"/>
  <c r="W42" i="21"/>
  <c r="J25" i="37"/>
  <c r="BA550" i="3"/>
  <c r="AZ550" i="3" s="1"/>
  <c r="G545" i="3"/>
  <c r="G540" i="3"/>
  <c r="G512" i="3"/>
  <c r="G489" i="3"/>
  <c r="G487" i="3"/>
  <c r="BA484" i="3"/>
  <c r="AZ352" i="3"/>
  <c r="AZ336" i="3"/>
  <c r="AZ320" i="3"/>
  <c r="AZ339" i="3"/>
  <c r="BL524" i="3"/>
  <c r="BL532" i="3"/>
  <c r="AZ545" i="3"/>
  <c r="C23" i="39"/>
  <c r="H9" i="21"/>
  <c r="AC8" i="34"/>
  <c r="W8" i="34"/>
  <c r="BA560" i="3"/>
  <c r="AZ560" i="3" s="1"/>
  <c r="G533" i="3"/>
  <c r="BA502" i="3"/>
  <c r="BL491" i="3"/>
  <c r="AZ491" i="3" s="1"/>
  <c r="BA487" i="3"/>
  <c r="AZ487" i="3" s="1"/>
  <c r="G553" i="3"/>
  <c r="G532" i="3"/>
  <c r="G527" i="3"/>
  <c r="G516" i="3"/>
  <c r="G486" i="3"/>
  <c r="G389" i="3"/>
  <c r="BA395" i="3"/>
  <c r="BA397" i="3"/>
  <c r="BL397" i="3"/>
  <c r="BA400" i="3"/>
  <c r="G404" i="3"/>
  <c r="BL407" i="3"/>
  <c r="BL410" i="3"/>
  <c r="BA412" i="3"/>
  <c r="G416" i="3"/>
  <c r="BA418" i="3"/>
  <c r="BL421" i="3"/>
  <c r="BA432" i="3"/>
  <c r="BL391" i="3"/>
  <c r="BL396" i="3"/>
  <c r="G397" i="3"/>
  <c r="BA399" i="3"/>
  <c r="BL401" i="3"/>
  <c r="BA404" i="3"/>
  <c r="AZ404" i="3" s="1"/>
  <c r="G410" i="3"/>
  <c r="BA411" i="3"/>
  <c r="BA413" i="3"/>
  <c r="BL413" i="3"/>
  <c r="AZ413" i="3" s="1"/>
  <c r="BA416" i="3"/>
  <c r="G420" i="3"/>
  <c r="G572" i="3"/>
  <c r="G568" i="3"/>
  <c r="G559" i="3"/>
  <c r="G547" i="3"/>
  <c r="G541" i="3"/>
  <c r="G524" i="3"/>
  <c r="G511" i="3"/>
  <c r="G500" i="3"/>
  <c r="G481" i="3"/>
  <c r="G14" i="3"/>
  <c r="BL389" i="3"/>
  <c r="G392" i="3"/>
  <c r="G393" i="3"/>
  <c r="BA396" i="3"/>
  <c r="AZ396" i="3" s="1"/>
  <c r="G400" i="3"/>
  <c r="BA402" i="3"/>
  <c r="BL404" i="3"/>
  <c r="G405" i="3"/>
  <c r="BL429" i="3"/>
  <c r="BL454" i="3"/>
  <c r="BA315" i="3"/>
  <c r="AZ315" i="3" s="1"/>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G331" i="3"/>
  <c r="G336" i="3"/>
  <c r="BL346" i="3"/>
  <c r="AZ346" i="3" s="1"/>
  <c r="G347" i="3"/>
  <c r="BA368" i="3"/>
  <c r="BL380" i="3"/>
  <c r="AZ380" i="3" s="1"/>
  <c r="BA209" i="3"/>
  <c r="BL210" i="3"/>
  <c r="BA217" i="3"/>
  <c r="G222" i="3"/>
  <c r="BL222" i="3"/>
  <c r="BL230" i="3"/>
  <c r="BA232" i="3"/>
  <c r="BL232" i="3"/>
  <c r="BA237" i="3"/>
  <c r="BL239" i="3"/>
  <c r="G242" i="3"/>
  <c r="BL242" i="3"/>
  <c r="BA438" i="3"/>
  <c r="BL440" i="3"/>
  <c r="BA447" i="3"/>
  <c r="BL449" i="3"/>
  <c r="BA456" i="3"/>
  <c r="AZ456" i="3" s="1"/>
  <c r="BA462" i="3"/>
  <c r="BL464" i="3"/>
  <c r="BA467" i="3"/>
  <c r="BL469" i="3"/>
  <c r="BA472" i="3"/>
  <c r="BA478" i="3"/>
  <c r="BL480" i="3"/>
  <c r="BL312" i="3"/>
  <c r="AZ312" i="3" s="1"/>
  <c r="BL335" i="3"/>
  <c r="BA353" i="3"/>
  <c r="AZ353" i="3" s="1"/>
  <c r="G365" i="3"/>
  <c r="G375" i="3"/>
  <c r="BA383" i="3"/>
  <c r="G387" i="3"/>
  <c r="G388" i="3"/>
  <c r="G205" i="3"/>
  <c r="G212" i="3"/>
  <c r="G213" i="3"/>
  <c r="G219" i="3"/>
  <c r="BA221" i="3"/>
  <c r="BL223" i="3"/>
  <c r="G224" i="3"/>
  <c r="G225" i="3"/>
  <c r="G226" i="3"/>
  <c r="BA227" i="3"/>
  <c r="BL231" i="3"/>
  <c r="AZ231" i="3" s="1"/>
  <c r="G232" i="3"/>
  <c r="G234" i="3"/>
  <c r="BL234" i="3"/>
  <c r="G239" i="3"/>
  <c r="BA241" i="3"/>
  <c r="BA244" i="3"/>
  <c r="AZ244" i="3" s="1"/>
  <c r="BL244" i="3"/>
  <c r="BA247" i="3"/>
  <c r="AZ247" i="3" s="1"/>
  <c r="BA251" i="3"/>
  <c r="G255" i="3"/>
  <c r="BA257" i="3"/>
  <c r="BA260" i="3"/>
  <c r="BL260" i="3"/>
  <c r="BA263" i="3"/>
  <c r="AZ263" i="3" s="1"/>
  <c r="BL281" i="3"/>
  <c r="BL285" i="3"/>
  <c r="BA287" i="3"/>
  <c r="G113" i="3"/>
  <c r="G421" i="3"/>
  <c r="G427" i="3"/>
  <c r="BA427" i="3"/>
  <c r="BA433" i="3"/>
  <c r="AZ433" i="3" s="1"/>
  <c r="BL433" i="3"/>
  <c r="BA436" i="3"/>
  <c r="G440" i="3"/>
  <c r="G443" i="3"/>
  <c r="BA443" i="3"/>
  <c r="BL448" i="3"/>
  <c r="G449" i="3"/>
  <c r="G455" i="3"/>
  <c r="BL455" i="3"/>
  <c r="BA457" i="3"/>
  <c r="BL457" i="3"/>
  <c r="BA460" i="3"/>
  <c r="AZ460" i="3" s="1"/>
  <c r="G464" i="3"/>
  <c r="BA466" i="3"/>
  <c r="BL468" i="3"/>
  <c r="G469" i="3"/>
  <c r="G471" i="3"/>
  <c r="BA471" i="3"/>
  <c r="BA473" i="3"/>
  <c r="BL473" i="3"/>
  <c r="BA476" i="3"/>
  <c r="G480" i="3"/>
  <c r="BL306" i="3"/>
  <c r="AZ306" i="3" s="1"/>
  <c r="G307" i="3"/>
  <c r="G311" i="3"/>
  <c r="BL316" i="3"/>
  <c r="G317" i="3"/>
  <c r="BA319" i="3"/>
  <c r="AZ319" i="3" s="1"/>
  <c r="BA325" i="3"/>
  <c r="AZ325" i="3" s="1"/>
  <c r="G329" i="3"/>
  <c r="BL332" i="3"/>
  <c r="AZ332" i="3" s="1"/>
  <c r="G333" i="3"/>
  <c r="BA335" i="3"/>
  <c r="G345" i="3"/>
  <c r="G352" i="3"/>
  <c r="BL368" i="3"/>
  <c r="AZ368" i="3" s="1"/>
  <c r="G370" i="3"/>
  <c r="BA371" i="3"/>
  <c r="BA205" i="3"/>
  <c r="BL206" i="3"/>
  <c r="G211" i="3"/>
  <c r="BA213" i="3"/>
  <c r="BL214" i="3"/>
  <c r="BA219" i="3"/>
  <c r="G223" i="3"/>
  <c r="BA225" i="3"/>
  <c r="BA233" i="3"/>
  <c r="BA236" i="3"/>
  <c r="AZ236" i="3" s="1"/>
  <c r="BL236" i="3"/>
  <c r="BA239" i="3"/>
  <c r="G243" i="3"/>
  <c r="G244" i="3"/>
  <c r="BL246" i="3"/>
  <c r="G249" i="3"/>
  <c r="BL250" i="3"/>
  <c r="BA252" i="3"/>
  <c r="AZ252" i="3" s="1"/>
  <c r="BL252" i="3"/>
  <c r="BA255" i="3"/>
  <c r="G259" i="3"/>
  <c r="G260" i="3"/>
  <c r="BL262" i="3"/>
  <c r="BA264" i="3"/>
  <c r="BL264" i="3"/>
  <c r="BL269" i="3"/>
  <c r="BA271" i="3"/>
  <c r="G281" i="3"/>
  <c r="G268" i="3"/>
  <c r="BL274" i="3"/>
  <c r="BL280" i="3"/>
  <c r="BA292" i="3"/>
  <c r="BL296" i="3"/>
  <c r="BL114" i="3"/>
  <c r="AZ114" i="3" s="1"/>
  <c r="BA115" i="3"/>
  <c r="AZ115" i="3" s="1"/>
  <c r="BL117" i="3"/>
  <c r="BA125" i="3"/>
  <c r="BA127" i="3"/>
  <c r="AZ127" i="3" s="1"/>
  <c r="BL133" i="3"/>
  <c r="BL136" i="3"/>
  <c r="BA140" i="3"/>
  <c r="BL149" i="3"/>
  <c r="BA159" i="3"/>
  <c r="BA164" i="3"/>
  <c r="AZ164" i="3" s="1"/>
  <c r="BA166" i="3"/>
  <c r="AZ166" i="3" s="1"/>
  <c r="BL175" i="3"/>
  <c r="BA186" i="3"/>
  <c r="BA194" i="3"/>
  <c r="BA24" i="3"/>
  <c r="BL41" i="3"/>
  <c r="D55" i="59"/>
  <c r="C56" i="59"/>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AZ141" i="3" s="1"/>
  <c r="G142" i="3"/>
  <c r="BA145" i="3"/>
  <c r="G152" i="3"/>
  <c r="BL155" i="3"/>
  <c r="BL159" i="3"/>
  <c r="BL163" i="3"/>
  <c r="G166" i="3"/>
  <c r="BA168" i="3"/>
  <c r="BA172" i="3"/>
  <c r="BA174" i="3"/>
  <c r="G177" i="3"/>
  <c r="BA177" i="3"/>
  <c r="BL180" i="3"/>
  <c r="AZ180" i="3" s="1"/>
  <c r="BA182" i="3"/>
  <c r="BL184" i="3"/>
  <c r="AZ184" i="3" s="1"/>
  <c r="G188" i="3"/>
  <c r="BL188" i="3"/>
  <c r="AZ188" i="3" s="1"/>
  <c r="BA190" i="3"/>
  <c r="BL25" i="3"/>
  <c r="G26" i="3"/>
  <c r="BA29" i="3"/>
  <c r="BL30" i="3"/>
  <c r="BL31" i="3"/>
  <c r="AZ31" i="3" s="1"/>
  <c r="BA33" i="3"/>
  <c r="BL34" i="3"/>
  <c r="BL35" i="3"/>
  <c r="AZ35" i="3" s="1"/>
  <c r="BA36" i="3"/>
  <c r="BA42" i="3"/>
  <c r="G47" i="3"/>
  <c r="BA47" i="3"/>
  <c r="AZ47" i="3" s="1"/>
  <c r="G51" i="3"/>
  <c r="BA51" i="3"/>
  <c r="AZ51" i="3" s="1"/>
  <c r="G57" i="3"/>
  <c r="BA58" i="3"/>
  <c r="BL62" i="3"/>
  <c r="BL64" i="3"/>
  <c r="BA70" i="3"/>
  <c r="C53" i="59"/>
  <c r="D52" i="59"/>
  <c r="BL48" i="3"/>
  <c r="G55" i="3"/>
  <c r="BA56" i="3"/>
  <c r="G60" i="3"/>
  <c r="G67" i="3"/>
  <c r="BA74" i="3"/>
  <c r="BA248" i="3"/>
  <c r="BL248" i="3"/>
  <c r="BA253" i="3"/>
  <c r="BL255" i="3"/>
  <c r="G256" i="3"/>
  <c r="G258" i="3"/>
  <c r="BL258" i="3"/>
  <c r="G263" i="3"/>
  <c r="BA265" i="3"/>
  <c r="BA268" i="3"/>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L75" i="3"/>
  <c r="G77" i="3"/>
  <c r="BA78" i="3"/>
  <c r="BA80" i="3"/>
  <c r="BL81" i="3"/>
  <c r="BL82" i="3"/>
  <c r="AZ82" i="3" s="1"/>
  <c r="BA83" i="3"/>
  <c r="BL86" i="3"/>
  <c r="T65" i="59"/>
  <c r="D65" i="59"/>
  <c r="BA88" i="3"/>
  <c r="BA90" i="3"/>
  <c r="BL92" i="3"/>
  <c r="BL95" i="3"/>
  <c r="G99" i="3"/>
  <c r="BL104" i="3"/>
  <c r="G107" i="3"/>
  <c r="BA107" i="3"/>
  <c r="BL109" i="3"/>
  <c r="BL111" i="3"/>
  <c r="BA112" i="3"/>
  <c r="AZ112" i="3" s="1"/>
  <c r="S21" i="21"/>
  <c r="D64" i="59"/>
  <c r="C75" i="59"/>
  <c r="D75" i="59" s="1"/>
  <c r="C67" i="59"/>
  <c r="D69" i="59"/>
  <c r="D51" i="59"/>
  <c r="AB27" i="59"/>
  <c r="AA30" i="59"/>
  <c r="Y31" i="59"/>
  <c r="Z31" i="59" s="1"/>
  <c r="Y32" i="59"/>
  <c r="Z32" i="59" s="1"/>
  <c r="Y33" i="59"/>
  <c r="Z33" i="59" s="1"/>
  <c r="Y38" i="59"/>
  <c r="Z38" i="59" s="1"/>
  <c r="S25" i="59"/>
  <c r="BL192" i="3"/>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S18" i="35"/>
  <c r="D72" i="59"/>
  <c r="P16" i="4"/>
  <c r="O69" i="59"/>
  <c r="AB3" i="59"/>
  <c r="AA31" i="59"/>
  <c r="AA32" i="59"/>
  <c r="AA33" i="59"/>
  <c r="X34" i="59"/>
  <c r="AB34" i="59"/>
  <c r="AB35" i="59"/>
  <c r="AB36" i="59"/>
  <c r="AB37" i="59"/>
  <c r="AB38" i="59"/>
  <c r="AB39" i="59"/>
  <c r="B48" i="59"/>
  <c r="B49" i="59" s="1"/>
  <c r="S49" i="59" s="1"/>
  <c r="E60" i="59"/>
  <c r="E61" i="59" s="1"/>
  <c r="U61" i="59" s="1"/>
  <c r="BA73" i="3"/>
  <c r="BA76" i="3"/>
  <c r="BL77" i="3"/>
  <c r="BL78" i="3"/>
  <c r="G83" i="3"/>
  <c r="BA84" i="3"/>
  <c r="BL88" i="3"/>
  <c r="AZ88" i="3" s="1"/>
  <c r="BL89" i="3"/>
  <c r="BA96" i="3"/>
  <c r="BL96" i="3"/>
  <c r="BL97" i="3"/>
  <c r="G100" i="3"/>
  <c r="G101" i="3"/>
  <c r="BA104" i="3"/>
  <c r="BA110" i="3"/>
  <c r="BL112"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D22" i="59"/>
  <c r="AB18" i="36"/>
  <c r="W20" i="36"/>
  <c r="S17" i="34"/>
  <c r="W14" i="39"/>
  <c r="S21" i="59"/>
  <c r="AB11" i="33"/>
  <c r="AZ499" i="3"/>
  <c r="AZ513" i="3"/>
  <c r="AZ539" i="3"/>
  <c r="O40" i="9"/>
  <c r="K31" i="9" s="1"/>
  <c r="K32" i="9" s="1"/>
  <c r="AZ526" i="3"/>
  <c r="AZ534" i="3"/>
  <c r="H5" i="3"/>
  <c r="BA570" i="3"/>
  <c r="AZ570" i="3" s="1"/>
  <c r="BE5" i="3"/>
  <c r="B94" i="46"/>
  <c r="B84" i="46"/>
  <c r="AZ340" i="3"/>
  <c r="AZ329" i="3"/>
  <c r="AZ355" i="3"/>
  <c r="AC28" i="34"/>
  <c r="AZ546" i="3"/>
  <c r="AZ502" i="3"/>
  <c r="AA27" i="33"/>
  <c r="AB40" i="37"/>
  <c r="W35" i="35"/>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12" i="3"/>
  <c r="AZ416" i="3"/>
  <c r="AZ432" i="3"/>
  <c r="AZ436" i="3"/>
  <c r="AZ440" i="3"/>
  <c r="AZ448" i="3"/>
  <c r="AZ464" i="3"/>
  <c r="AZ468" i="3"/>
  <c r="AZ472" i="3"/>
  <c r="AZ476" i="3"/>
  <c r="AZ480"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BL414" i="3"/>
  <c r="AZ414" i="3" s="1"/>
  <c r="BL418" i="3"/>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AZ213" i="3" s="1"/>
  <c r="AZ216" i="3"/>
  <c r="BL217" i="3"/>
  <c r="AZ217" i="3" s="1"/>
  <c r="BL221"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AZ443" i="3" s="1"/>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AZ211" i="3" s="1"/>
  <c r="BA214" i="3"/>
  <c r="AZ214" i="3" s="1"/>
  <c r="BA218" i="3"/>
  <c r="AZ218" i="3" s="1"/>
  <c r="BL219" i="3"/>
  <c r="BA222" i="3"/>
  <c r="AZ222" i="3" s="1"/>
  <c r="BA226" i="3"/>
  <c r="AZ226" i="3" s="1"/>
  <c r="BL227" i="3"/>
  <c r="AZ117" i="3"/>
  <c r="AZ125" i="3"/>
  <c r="AZ133" i="3"/>
  <c r="BA149" i="3"/>
  <c r="BL233" i="3"/>
  <c r="AZ233" i="3" s="1"/>
  <c r="BL237" i="3"/>
  <c r="BL241" i="3"/>
  <c r="AZ241" i="3" s="1"/>
  <c r="BL245" i="3"/>
  <c r="AZ245" i="3" s="1"/>
  <c r="BL249" i="3"/>
  <c r="AZ249" i="3" s="1"/>
  <c r="BL253" i="3"/>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BL132" i="3"/>
  <c r="AZ132" i="3" s="1"/>
  <c r="BA137" i="3"/>
  <c r="AZ137" i="3" s="1"/>
  <c r="BL140" i="3"/>
  <c r="AZ140" i="3" s="1"/>
  <c r="BL148" i="3"/>
  <c r="AZ148" i="3" s="1"/>
  <c r="BA152" i="3"/>
  <c r="AZ152" i="3" s="1"/>
  <c r="AZ22" i="3"/>
  <c r="AZ61" i="3"/>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BL275" i="3"/>
  <c r="AZ275" i="3" s="1"/>
  <c r="BA278" i="3"/>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BL58" i="3"/>
  <c r="AZ58" i="3" s="1"/>
  <c r="BA60" i="3"/>
  <c r="AZ60" i="3" s="1"/>
  <c r="BL61" i="3"/>
  <c r="BA68" i="3"/>
  <c r="AZ68" i="3" s="1"/>
  <c r="BL69" i="3"/>
  <c r="AZ69" i="3" s="1"/>
  <c r="BA75" i="3"/>
  <c r="BL76" i="3"/>
  <c r="BA79" i="3"/>
  <c r="AZ79" i="3" s="1"/>
  <c r="BL80" i="3"/>
  <c r="BA89" i="3"/>
  <c r="AZ89" i="3" s="1"/>
  <c r="BL93" i="3"/>
  <c r="AZ93" i="3" s="1"/>
  <c r="BL99" i="3"/>
  <c r="AZ108" i="3"/>
  <c r="BA109" i="3"/>
  <c r="AZ109" i="3" s="1"/>
  <c r="G112" i="3"/>
  <c r="AZ172" i="3"/>
  <c r="BL183" i="3"/>
  <c r="AZ183" i="3" s="1"/>
  <c r="BL191" i="3"/>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BL168" i="3"/>
  <c r="BA175" i="3"/>
  <c r="BL176" i="3"/>
  <c r="BA179" i="3"/>
  <c r="AZ179" i="3" s="1"/>
  <c r="BA181" i="3"/>
  <c r="AZ181" i="3" s="1"/>
  <c r="BL186" i="3"/>
  <c r="AZ186" i="3" s="1"/>
  <c r="BA189" i="3"/>
  <c r="AZ189" i="3" s="1"/>
  <c r="BL194" i="3"/>
  <c r="BA197" i="3"/>
  <c r="AZ197" i="3" s="1"/>
  <c r="BA28" i="3"/>
  <c r="BL29" i="3"/>
  <c r="BA32" i="3"/>
  <c r="AZ32" i="3" s="1"/>
  <c r="BL33" i="3"/>
  <c r="BA44" i="3"/>
  <c r="AZ44" i="3" s="1"/>
  <c r="BL45" i="3"/>
  <c r="BA48" i="3"/>
  <c r="BL49" i="3"/>
  <c r="AZ49" i="3" s="1"/>
  <c r="BA62" i="3"/>
  <c r="AZ62" i="3" s="1"/>
  <c r="BA66" i="3"/>
  <c r="AZ66" i="3" s="1"/>
  <c r="BL67" i="3"/>
  <c r="BL71" i="3"/>
  <c r="AZ71" i="3" s="1"/>
  <c r="BL74" i="3"/>
  <c r="AZ74" i="3" s="1"/>
  <c r="BA77" i="3"/>
  <c r="BA81" i="3"/>
  <c r="G88" i="3"/>
  <c r="BA92" i="3"/>
  <c r="BA94" i="3"/>
  <c r="G104" i="3"/>
  <c r="T53" i="59"/>
  <c r="D53" i="59"/>
  <c r="BA158" i="3"/>
  <c r="AZ158" i="3" s="1"/>
  <c r="BA160" i="3"/>
  <c r="AZ160" i="3" s="1"/>
  <c r="BL171" i="3"/>
  <c r="AZ171" i="3" s="1"/>
  <c r="BL177" i="3"/>
  <c r="BL187" i="3"/>
  <c r="AZ187" i="3" s="1"/>
  <c r="BL195" i="3"/>
  <c r="AZ195" i="3" s="1"/>
  <c r="BA21" i="3"/>
  <c r="AZ21" i="3" s="1"/>
  <c r="BL22" i="3"/>
  <c r="BA25" i="3"/>
  <c r="AZ25" i="3" s="1"/>
  <c r="BL26" i="3"/>
  <c r="AZ26" i="3" s="1"/>
  <c r="BA37" i="3"/>
  <c r="AZ37" i="3" s="1"/>
  <c r="BL38" i="3"/>
  <c r="BA41" i="3"/>
  <c r="AZ41" i="3" s="1"/>
  <c r="BL42" i="3"/>
  <c r="BA53" i="3"/>
  <c r="AZ53" i="3" s="1"/>
  <c r="BL54" i="3"/>
  <c r="AZ67" i="3"/>
  <c r="BL84" i="3"/>
  <c r="AZ84" i="3" s="1"/>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E8" i="6"/>
  <c r="AZ20" i="3"/>
  <c r="BL5" i="3"/>
  <c r="AZ484" i="3"/>
  <c r="AZ395" i="3"/>
  <c r="AZ397" i="3"/>
  <c r="AZ405" i="3"/>
  <c r="AZ417" i="3"/>
  <c r="AZ427" i="3"/>
  <c r="AZ437" i="3"/>
  <c r="AZ447" i="3"/>
  <c r="AZ451" i="3"/>
  <c r="AZ457" i="3"/>
  <c r="AZ465" i="3"/>
  <c r="AZ473" i="3"/>
  <c r="AZ206" i="3"/>
  <c r="BT5" i="3"/>
  <c r="G28" i="6" s="1"/>
  <c r="G30" i="6" s="1"/>
  <c r="G31" i="6" s="1"/>
  <c r="BI5" i="3"/>
  <c r="BG5" i="3"/>
  <c r="E15" i="6" s="1"/>
  <c r="AZ219" i="3"/>
  <c r="AZ227" i="3"/>
  <c r="AZ243" i="3"/>
  <c r="AZ251" i="3"/>
  <c r="AZ259" i="3"/>
  <c r="AZ271" i="3"/>
  <c r="AZ287" i="3"/>
  <c r="AZ168" i="3"/>
  <c r="AZ176" i="3"/>
  <c r="AZ182" i="3"/>
  <c r="AZ190" i="3"/>
  <c r="AZ194" i="3"/>
  <c r="AZ198" i="3"/>
  <c r="AZ29" i="3"/>
  <c r="AZ33" i="3"/>
  <c r="AZ45" i="3"/>
  <c r="AZ54" i="3"/>
  <c r="AZ76" i="3"/>
  <c r="AZ80" i="3"/>
  <c r="AZ96"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AC31" i="39"/>
  <c r="AC47" i="39"/>
  <c r="U40"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K17" i="4"/>
  <c r="A22" i="51" s="1"/>
  <c r="B16" i="63" s="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9" i="46"/>
  <c r="B72" i="39" s="1"/>
  <c r="L44" i="9"/>
  <c r="G20" i="9"/>
  <c r="G21" i="9"/>
  <c r="L43" i="9"/>
  <c r="G19" i="9"/>
  <c r="D22" i="9"/>
  <c r="Q73" i="44"/>
  <c r="C6" i="15"/>
  <c r="F65" i="15"/>
  <c r="C29" i="44"/>
  <c r="F67" i="15"/>
  <c r="F50" i="15"/>
  <c r="C27" i="15"/>
  <c r="F64" i="15"/>
  <c r="F70" i="15"/>
  <c r="M9" i="44"/>
  <c r="L59" i="15"/>
  <c r="L58" i="15"/>
  <c r="L60" i="44"/>
  <c r="J53" i="15"/>
  <c r="J57" i="15"/>
  <c r="J55" i="15" s="1"/>
  <c r="J58" i="15" s="1"/>
  <c r="Q51" i="15" s="1"/>
  <c r="I54" i="15"/>
  <c r="L56" i="15"/>
  <c r="F49" i="15"/>
  <c r="M7" i="15"/>
  <c r="M17" i="15" s="1"/>
  <c r="Q72" i="15"/>
  <c r="F63" i="15"/>
  <c r="C4" i="65"/>
  <c r="B39" i="1" s="1"/>
  <c r="L49" i="44"/>
  <c r="J5" i="65"/>
  <c r="J3" i="65"/>
  <c r="J6" i="65"/>
  <c r="M26" i="44"/>
  <c r="I5" i="65"/>
  <c r="C16" i="15"/>
  <c r="I3" i="65"/>
  <c r="I6" i="65"/>
  <c r="F11" i="44"/>
  <c r="J4" i="65"/>
  <c r="I7" i="65"/>
  <c r="C18" i="44"/>
  <c r="J7" i="65"/>
  <c r="I4" i="65"/>
  <c r="M8" i="44"/>
  <c r="D4" i="80" l="1"/>
  <c r="D11" i="80" s="1"/>
  <c r="L59" i="44"/>
  <c r="J54" i="44"/>
  <c r="Q54" i="44" s="1"/>
  <c r="L57" i="44"/>
  <c r="J58" i="44"/>
  <c r="J56" i="44" s="1"/>
  <c r="J59" i="44" s="1"/>
  <c r="Q52" i="44" s="1"/>
  <c r="I55" i="44"/>
  <c r="AP16" i="1"/>
  <c r="AP6" i="1"/>
  <c r="G6" i="1"/>
  <c r="G16" i="1" s="1"/>
  <c r="I24" i="46"/>
  <c r="C24" i="46" s="1"/>
  <c r="D21" i="12"/>
  <c r="C21" i="12" s="1"/>
  <c r="I1" i="65"/>
  <c r="P27" i="46"/>
  <c r="O23" i="46"/>
  <c r="P28" i="46"/>
  <c r="P25" i="46"/>
  <c r="P26" i="46"/>
  <c r="J1" i="65"/>
  <c r="C8" i="44"/>
  <c r="C34" i="44" s="1"/>
  <c r="AB32" i="36"/>
  <c r="U32" i="36"/>
  <c r="AB23" i="36"/>
  <c r="U23" i="36"/>
  <c r="AC38" i="37"/>
  <c r="W38" i="37"/>
  <c r="U37" i="39"/>
  <c r="AB37" i="39"/>
  <c r="AC23" i="35"/>
  <c r="W23" i="35"/>
  <c r="C32" i="15"/>
  <c r="AZ97" i="3"/>
  <c r="AZ38" i="3"/>
  <c r="AZ177" i="3"/>
  <c r="AZ81" i="3"/>
  <c r="AZ48" i="3"/>
  <c r="AZ167" i="3"/>
  <c r="AZ57" i="3"/>
  <c r="AZ274" i="3"/>
  <c r="AZ149" i="3"/>
  <c r="AZ407" i="3"/>
  <c r="AZ469" i="3"/>
  <c r="AZ409" i="3"/>
  <c r="AC31" i="34"/>
  <c r="AZ268" i="3"/>
  <c r="W25" i="37"/>
  <c r="AC25" i="37"/>
  <c r="S32" i="36"/>
  <c r="AA32" i="36"/>
  <c r="S37" i="39"/>
  <c r="AA37" i="39"/>
  <c r="AB39" i="39"/>
  <c r="U39" i="39"/>
  <c r="U35" i="35"/>
  <c r="AB35" i="35"/>
  <c r="AA47" i="34"/>
  <c r="S47" i="34"/>
  <c r="W13" i="34"/>
  <c r="AC13" i="34"/>
  <c r="U14" i="37"/>
  <c r="AB14" i="37"/>
  <c r="J8" i="44"/>
  <c r="J20" i="44" s="1"/>
  <c r="O66" i="59"/>
  <c r="D67" i="59"/>
  <c r="W39" i="39"/>
  <c r="AC39" i="39"/>
  <c r="U34" i="36"/>
  <c r="AB34" i="36"/>
  <c r="W14" i="37"/>
  <c r="AC14" i="37"/>
  <c r="AZ13" i="3"/>
  <c r="AZ110" i="3"/>
  <c r="AZ77" i="3"/>
  <c r="AZ155" i="3"/>
  <c r="AZ124" i="3"/>
  <c r="AZ253" i="3"/>
  <c r="AZ237" i="3"/>
  <c r="AZ221" i="3"/>
  <c r="AZ209" i="3"/>
  <c r="AZ438" i="3"/>
  <c r="AZ78" i="3"/>
  <c r="AZ248" i="3"/>
  <c r="C57" i="59"/>
  <c r="D56" i="59"/>
  <c r="AZ292" i="3"/>
  <c r="AZ264" i="3"/>
  <c r="AZ255" i="3"/>
  <c r="AZ239" i="3"/>
  <c r="AZ260" i="3"/>
  <c r="AZ232" i="3"/>
  <c r="S39" i="37"/>
  <c r="AA39" i="37"/>
  <c r="AZ535" i="3"/>
  <c r="AZ557" i="3"/>
  <c r="AZ563" i="3"/>
  <c r="AZ566" i="3"/>
  <c r="AZ569" i="3"/>
  <c r="AA39" i="39"/>
  <c r="S39" i="39"/>
  <c r="S35" i="35"/>
  <c r="AA35" i="35"/>
  <c r="AC47" i="34"/>
  <c r="W47" i="34"/>
  <c r="U13" i="34"/>
  <c r="AB13" i="34"/>
  <c r="S30" i="33"/>
  <c r="AA30" i="33"/>
  <c r="AZ517" i="3"/>
  <c r="W11" i="36"/>
  <c r="AC11" i="36"/>
  <c r="O67" i="59"/>
  <c r="AZ42" i="3"/>
  <c r="AZ92" i="3"/>
  <c r="AZ28" i="3"/>
  <c r="AZ175" i="3"/>
  <c r="AZ191" i="3"/>
  <c r="AZ75" i="3"/>
  <c r="AZ278" i="3"/>
  <c r="AZ418" i="3"/>
  <c r="C36" i="59"/>
  <c r="D35" i="59"/>
  <c r="AZ159" i="3"/>
  <c r="AB9" i="21"/>
  <c r="U9" i="21"/>
  <c r="AZ541" i="3"/>
  <c r="AC39" i="37"/>
  <c r="W39" i="37"/>
  <c r="AA23" i="36"/>
  <c r="S23" i="36"/>
  <c r="AB38" i="37"/>
  <c r="U38" i="37"/>
  <c r="AZ523" i="3"/>
  <c r="AZ538" i="3"/>
  <c r="AZ561" i="3"/>
  <c r="W34" i="36"/>
  <c r="AC34" i="36"/>
  <c r="AA23" i="35"/>
  <c r="S23" i="35"/>
  <c r="AB31" i="34"/>
  <c r="U31" i="34"/>
  <c r="AA13" i="34"/>
  <c r="S13" i="34"/>
  <c r="AB30" i="33"/>
  <c r="U30" i="33"/>
  <c r="AZ507" i="3"/>
  <c r="AZ515" i="3"/>
  <c r="AA14" i="37"/>
  <c r="S14" i="37"/>
  <c r="S11" i="36"/>
  <c r="AA11"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66" i="39"/>
  <c r="K14" i="1"/>
  <c r="H7" i="34"/>
  <c r="U7" i="34" s="1"/>
  <c r="F7" i="34"/>
  <c r="AA7" i="34" s="1"/>
  <c r="R49" i="34" s="1"/>
  <c r="J7" i="34"/>
  <c r="W7" i="34" s="1"/>
  <c r="F7" i="21"/>
  <c r="AA7" i="21" s="1"/>
  <c r="R48" i="21" s="1"/>
  <c r="H7" i="21"/>
  <c r="AB7" i="21" s="1"/>
  <c r="T48" i="21" s="1"/>
  <c r="G48" i="21" s="1"/>
  <c r="B12" i="59"/>
  <c r="S13" i="59"/>
  <c r="F58" i="15"/>
  <c r="H7" i="35"/>
  <c r="U7" i="35" s="1"/>
  <c r="AC7" i="33"/>
  <c r="V48" i="33" s="1"/>
  <c r="I48" i="33" s="1"/>
  <c r="W7" i="33"/>
  <c r="J7" i="37"/>
  <c r="W7" i="21"/>
  <c r="D71" i="39"/>
  <c r="E69" i="39"/>
  <c r="H7" i="33"/>
  <c r="F7" i="33"/>
  <c r="J46" i="36"/>
  <c r="J7" i="35"/>
  <c r="F7" i="35"/>
  <c r="H7" i="37"/>
  <c r="F7" i="37"/>
  <c r="M19" i="44"/>
  <c r="Q62" i="15"/>
  <c r="Q75" i="15"/>
  <c r="C32" i="9"/>
  <c r="N43" i="9"/>
  <c r="M13" i="44"/>
  <c r="J12" i="44" s="1"/>
  <c r="F11" i="15"/>
  <c r="M11" i="15"/>
  <c r="F13" i="44"/>
  <c r="C12" i="44" s="1"/>
  <c r="Q75" i="44"/>
  <c r="Q62" i="44"/>
  <c r="C48" i="15"/>
  <c r="M32" i="46"/>
  <c r="P32" i="46"/>
  <c r="O32" i="46"/>
  <c r="N32" i="46"/>
  <c r="Q63" i="44"/>
  <c r="Q76" i="44"/>
  <c r="F1" i="15"/>
  <c r="Q53" i="15"/>
  <c r="Q61" i="15"/>
  <c r="Q74" i="15"/>
  <c r="J6" i="15"/>
  <c r="J18" i="15" s="1"/>
  <c r="AE6" i="1"/>
  <c r="AE12" i="1"/>
  <c r="AE7" i="1"/>
  <c r="AE8" i="1"/>
  <c r="AE9" i="1"/>
  <c r="AE10" i="1"/>
  <c r="AE11" i="1"/>
  <c r="F41" i="15"/>
  <c r="F46" i="44"/>
  <c r="E2" i="65"/>
  <c r="E3" i="65"/>
  <c r="F1" i="44" l="1"/>
  <c r="D12" i="80"/>
  <c r="D13" i="80" s="1"/>
  <c r="J12" i="73"/>
  <c r="H12" i="73"/>
  <c r="F12" i="73"/>
  <c r="C7" i="44"/>
  <c r="C40" i="44" s="1"/>
  <c r="B40" i="1"/>
  <c r="L36" i="46" s="1"/>
  <c r="Q36" i="46" s="1"/>
  <c r="J7" i="44"/>
  <c r="J26" i="44" s="1"/>
  <c r="C17" i="11"/>
  <c r="C19" i="11" s="1"/>
  <c r="C20" i="11" s="1"/>
  <c r="C21" i="11" s="1"/>
  <c r="C22" i="11" s="1"/>
  <c r="C23" i="11" s="1"/>
  <c r="B2" i="11" s="1"/>
  <c r="S7" i="34"/>
  <c r="C37" i="59"/>
  <c r="D36" i="59"/>
  <c r="D57" i="59"/>
  <c r="T57" i="59"/>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C13" i="11" s="1"/>
  <c r="B29" i="1" s="1"/>
  <c r="C11" i="11" s="1"/>
  <c r="C10" i="11" s="1"/>
  <c r="C18"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O43" i="9"/>
  <c r="C42" i="9"/>
  <c r="O38" i="9"/>
  <c r="C33" i="9"/>
  <c r="C52" i="15"/>
  <c r="C47" i="15" s="1"/>
  <c r="C10" i="15"/>
  <c r="C5" i="15" s="1"/>
  <c r="C38" i="15" s="1"/>
  <c r="M29" i="44"/>
  <c r="M27" i="15"/>
  <c r="S12" i="73" l="1"/>
  <c r="AA12" i="73"/>
  <c r="R44" i="73" s="1"/>
  <c r="U12" i="73"/>
  <c r="AB12" i="73"/>
  <c r="T44" i="73" s="1"/>
  <c r="G44" i="73" s="1"/>
  <c r="AC12" i="73"/>
  <c r="V44" i="73" s="1"/>
  <c r="I44" i="73" s="1"/>
  <c r="I48" i="73" s="1"/>
  <c r="J48" i="73" s="1"/>
  <c r="W12" i="73"/>
  <c r="M36" i="46"/>
  <c r="O36" i="46"/>
  <c r="N36" i="46"/>
  <c r="L37" i="46"/>
  <c r="M37" i="46" s="1"/>
  <c r="P36" i="46"/>
  <c r="D37" i="59"/>
  <c r="T3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39"/>
  <c r="AB12" i="39"/>
  <c r="AA12" i="39"/>
  <c r="S12" i="39"/>
  <c r="B10" i="59"/>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9" i="44"/>
  <c r="F7" i="67"/>
  <c r="C17" i="15"/>
  <c r="G49" i="73" l="1"/>
  <c r="H49" i="73" s="1"/>
  <c r="G48" i="73"/>
  <c r="H48" i="73" s="1"/>
  <c r="R45" i="73"/>
  <c r="E44" i="73"/>
  <c r="P37" i="46"/>
  <c r="N37" i="46"/>
  <c r="O37" i="46"/>
  <c r="Q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E4" i="67"/>
  <c r="D77" i="9"/>
  <c r="N75" i="9" s="1"/>
  <c r="D73" i="9"/>
  <c r="N73" i="9" s="1"/>
  <c r="C111" i="9"/>
  <c r="C104" i="9" s="1"/>
  <c r="C96" i="9"/>
  <c r="C91" i="9" s="1"/>
  <c r="C82" i="9"/>
  <c r="C81" i="9" s="1"/>
  <c r="C85" i="9" s="1"/>
  <c r="C86" i="9" s="1"/>
  <c r="D72" i="9" s="1"/>
  <c r="C103" i="9"/>
  <c r="D70" i="9"/>
  <c r="C90" i="9"/>
  <c r="D71" i="9"/>
  <c r="D66" i="9" s="1"/>
  <c r="N72" i="9" s="1"/>
  <c r="B5" i="66"/>
  <c r="E14" i="66"/>
  <c r="B7" i="67"/>
  <c r="E7" i="67"/>
  <c r="I49" i="73" l="1"/>
  <c r="J49" i="73" s="1"/>
  <c r="E49" i="73"/>
  <c r="F49" i="73" s="1"/>
  <c r="E48" i="73"/>
  <c r="F48" i="73" s="1"/>
  <c r="C45" i="73"/>
  <c r="C44" i="73"/>
  <c r="M27" i="6"/>
  <c r="S16" i="1"/>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H71" i="39"/>
  <c r="I69" i="39"/>
  <c r="N46" i="36"/>
  <c r="E3" i="67"/>
  <c r="C97" i="9"/>
  <c r="C98" i="9" s="1"/>
  <c r="E98" i="9" s="1"/>
  <c r="E99" i="9" s="1"/>
  <c r="B2" i="67"/>
  <c r="C113" i="9"/>
  <c r="C114" i="9" s="1"/>
  <c r="E114" i="9" s="1"/>
  <c r="E115" i="9" s="1"/>
  <c r="D5" i="66"/>
  <c r="C5" i="66"/>
  <c r="C16" i="44"/>
  <c r="F37" i="44"/>
  <c r="M21" i="15"/>
  <c r="C14" i="15"/>
  <c r="M23" i="44"/>
  <c r="F35" i="15"/>
  <c r="B60" i="73" l="1"/>
  <c r="F60" i="73" s="1"/>
  <c r="B54" i="73"/>
  <c r="F54" i="73" s="1"/>
  <c r="F62" i="73"/>
  <c r="B2" i="73" s="1"/>
  <c r="B56" i="73"/>
  <c r="F56" i="73" s="1"/>
  <c r="B55" i="73"/>
  <c r="F55" i="73" s="1"/>
  <c r="B53" i="73"/>
  <c r="F53" i="73" s="1"/>
  <c r="B58" i="73"/>
  <c r="F58" i="73" s="1"/>
  <c r="B61" i="73"/>
  <c r="F61" i="73" s="1"/>
  <c r="B59" i="73"/>
  <c r="F59" i="73" s="1"/>
  <c r="B57" i="73"/>
  <c r="F57" i="73" s="1"/>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9" i="39"/>
  <c r="I71" i="39"/>
  <c r="C99" i="9"/>
  <c r="C115" i="9"/>
  <c r="D76" i="9" s="1"/>
  <c r="D74" i="9" s="1"/>
  <c r="N74" i="9" s="1"/>
  <c r="O77" i="9" s="1"/>
  <c r="O78" i="9" s="1"/>
  <c r="B3" i="67"/>
  <c r="B4" i="67"/>
  <c r="B3" i="73" l="1"/>
  <c r="B5" i="73"/>
  <c r="B4" i="73"/>
  <c r="C13" i="59"/>
  <c r="D14" i="59"/>
  <c r="C19" i="15"/>
  <c r="C20" i="15" s="1"/>
  <c r="C26" i="15" s="1"/>
  <c r="C21" i="44"/>
  <c r="C22" i="44" s="1"/>
  <c r="C28" i="44" s="1"/>
  <c r="F5" i="59"/>
  <c r="V5" i="59" s="1"/>
  <c r="B6" i="59"/>
  <c r="E6" i="59"/>
  <c r="C19" i="43"/>
  <c r="K69" i="39"/>
  <c r="J71" i="39"/>
  <c r="U7" i="36"/>
  <c r="AB7" i="36"/>
  <c r="T36" i="36" s="1"/>
  <c r="G36" i="36" s="1"/>
  <c r="AC7" i="36"/>
  <c r="V36" i="36" s="1"/>
  <c r="I36" i="36" s="1"/>
  <c r="W7" i="36"/>
  <c r="S7" i="36"/>
  <c r="AA7" i="36"/>
  <c r="R36" i="36" s="1"/>
  <c r="Q77" i="9"/>
  <c r="O79" i="9"/>
  <c r="O81" i="9" s="1"/>
  <c r="C12" i="59" l="1"/>
  <c r="T13" i="59"/>
  <c r="D13" i="59"/>
  <c r="E5" i="59"/>
  <c r="U5" i="59" s="1"/>
  <c r="B5" i="59"/>
  <c r="C21" i="43"/>
  <c r="R37" i="36"/>
  <c r="E36" i="36"/>
  <c r="I41" i="36" s="1"/>
  <c r="J41" i="36" s="1"/>
  <c r="G41" i="36"/>
  <c r="H41" i="36" s="1"/>
  <c r="G40" i="36"/>
  <c r="H40" i="36" s="1"/>
  <c r="I40" i="36"/>
  <c r="J40" i="36" s="1"/>
  <c r="L69" i="39"/>
  <c r="K71" i="39"/>
  <c r="O80" i="9"/>
  <c r="C11" i="59" l="1"/>
  <c r="D12" i="59"/>
  <c r="S5" i="59"/>
  <c r="L71" i="39"/>
  <c r="M69" i="39"/>
  <c r="E40" i="36"/>
  <c r="F40" i="36" s="1"/>
  <c r="E41" i="36"/>
  <c r="F41" i="36" s="1"/>
  <c r="C37" i="36"/>
  <c r="B3" i="36" s="1"/>
  <c r="B2" i="36" s="1"/>
  <c r="C36" i="36"/>
  <c r="C10" i="59" l="1"/>
  <c r="D11" i="59"/>
  <c r="N69" i="39"/>
  <c r="N71" i="39" s="1"/>
  <c r="M71" i="39"/>
  <c r="C9" i="59" l="1"/>
  <c r="D10" i="59"/>
  <c r="J9" i="39"/>
  <c r="H9" i="39"/>
  <c r="F9" i="39"/>
  <c r="C8" i="59" l="1"/>
  <c r="T9" i="59"/>
  <c r="D9" i="59"/>
  <c r="S9" i="39"/>
  <c r="AA9" i="39"/>
  <c r="R49" i="39" s="1"/>
  <c r="W9" i="39"/>
  <c r="AC9" i="39"/>
  <c r="V49" i="39" s="1"/>
  <c r="I49" i="39" s="1"/>
  <c r="U9" i="39"/>
  <c r="AB9" i="39"/>
  <c r="T49" i="39" s="1"/>
  <c r="G49" i="39" s="1"/>
  <c r="C7" i="59" l="1"/>
  <c r="D8" i="59"/>
  <c r="G53" i="39"/>
  <c r="H53" i="39" s="1"/>
  <c r="G54" i="39"/>
  <c r="H54" i="39" s="1"/>
  <c r="I53" i="39"/>
  <c r="J53" i="39" s="1"/>
  <c r="R50" i="39"/>
  <c r="E49" i="39"/>
  <c r="I54" i="39" s="1"/>
  <c r="J54" i="39" s="1"/>
  <c r="C6" i="59" l="1"/>
  <c r="D7" i="59"/>
  <c r="E54" i="39"/>
  <c r="F54" i="39" s="1"/>
  <c r="E53" i="39"/>
  <c r="F53" i="39" s="1"/>
  <c r="C49" i="39"/>
  <c r="C50" i="39"/>
  <c r="D6" i="59" l="1"/>
  <c r="C5" i="59"/>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<sst xmlns="http://schemas.openxmlformats.org/spreadsheetml/2006/main" count="8294" uniqueCount="3741">
  <si>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</si>
  <si>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</si>
  <si>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</si>
  <si>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</si>
  <si>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</si>
  <si>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</si>
  <si>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</si>
  <si>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</si>
  <si>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</si>
  <si>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</si>
  <si>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</si>
  <si>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</si>
  <si>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</si>
  <si>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</si>
  <si>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</si>
  <si>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</si>
  <si>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</si>
  <si>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</si>
  <si>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</si>
  <si>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</si>
  <si>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</si>
  <si>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</si>
  <si>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</si>
  <si>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</si>
  <si>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</si>
  <si>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</si>
  <si>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</si>
  <si>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</si>
  <si>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</si>
  <si>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</si>
  <si>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</si>
  <si>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</si>
  <si>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</si>
  <si>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</si>
  <si>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</si>
  <si>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</si>
  <si>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</si>
  <si>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</si>
  <si>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</si>
  <si>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</si>
  <si>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</si>
  <si>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</si>
  <si>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</si>
  <si>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</si>
  <si>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</si>
  <si>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</si>
  <si>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</si>
  <si>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</si>
  <si>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</si>
  <si>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</si>
  <si>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</si>
  <si>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</si>
  <si>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</si>
  <si>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</si>
  <si>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</si>
  <si>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</si>
  <si>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</si>
  <si>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</si>
  <si>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</si>
  <si>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</si>
  <si>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</si>
  <si>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</si>
  <si>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</si>
  <si>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</si>
  <si>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</si>
  <si>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</si>
  <si>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</si>
  <si>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</si>
  <si>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</si>
  <si>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</si>
  <si>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</si>
  <si>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</si>
  <si>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</si>
  <si>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</si>
  <si>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</si>
  <si>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</si>
  <si>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</si>
  <si>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</si>
  <si>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</si>
  <si>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</si>
  <si>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</si>
  <si>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</si>
  <si>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</si>
  <si>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</si>
  <si>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</si>
  <si>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</si>
  <si>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</si>
  <si>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</si>
  <si>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</si>
  <si>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</si>
  <si>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</si>
  <si>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</si>
  <si>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</si>
  <si>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</si>
  <si>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</si>
  <si>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</si>
  <si>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</si>
  <si>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</si>
  <si>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</si>
  <si>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</si>
  <si>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</si>
  <si>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</si>
  <si>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</si>
  <si>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</si>
  <si>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</si>
  <si>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</si>
  <si>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</si>
  <si>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</si>
  <si>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</si>
  <si>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</si>
  <si>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</si>
  <si>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</si>
  <si>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</si>
  <si>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</si>
  <si>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</si>
  <si>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</si>
  <si>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</si>
  <si>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</si>
  <si>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</si>
  <si>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</si>
  <si>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</si>
  <si>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</si>
  <si>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</si>
  <si>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</si>
  <si>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</si>
  <si>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</si>
  <si>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</si>
  <si>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</si>
  <si>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</si>
  <si>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</si>
  <si>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</si>
  <si>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</si>
  <si>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</si>
  <si>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</si>
  <si>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</si>
  <si>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</si>
  <si>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</si>
  <si>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</si>
  <si>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</si>
  <si>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</si>
  <si>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</si>
  <si>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</si>
  <si>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</si>
  <si>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</si>
  <si>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</si>
  <si>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</si>
  <si>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</si>
  <si>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</si>
  <si>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</si>
  <si>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</si>
  <si>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</si>
  <si>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</si>
  <si>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</si>
  <si>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</si>
  <si>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</si>
  <si>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</si>
  <si>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</si>
  <si>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</si>
  <si>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</si>
  <si>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</si>
  <si>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</si>
  <si>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</si>
  <si>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</si>
  <si>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</si>
  <si>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</si>
  <si>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</si>
  <si>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</si>
  <si>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</si>
  <si>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</si>
  <si>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</si>
  <si>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</si>
  <si>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</si>
  <si>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</si>
  <si>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</si>
  <si>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</si>
  <si>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</si>
  <si>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</si>
  <si>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</si>
  <si>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</si>
  <si>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</si>
  <si>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</si>
  <si>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</si>
  <si>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</si>
  <si>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</si>
  <si>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</si>
  <si>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</si>
  <si>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</si>
  <si>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</si>
  <si>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</si>
  <si>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</si>
  <si>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</si>
  <si>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</si>
  <si>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</si>
  <si>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</si>
  <si>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</si>
  <si>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</si>
  <si>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</si>
  <si>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</si>
  <si>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</si>
  <si>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</si>
  <si>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</si>
  <si>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</si>
  <si>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</si>
  <si>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</si>
  <si>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</si>
  <si>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</si>
  <si>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</si>
  <si>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</si>
  <si>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</si>
  <si>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</si>
  <si>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</si>
  <si>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</si>
  <si>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</si>
  <si>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</si>
  <si>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</si>
  <si>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</si>
  <si>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</si>
  <si>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</si>
  <si>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</si>
  <si>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</si>
  <si>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</si>
  <si>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</si>
  <si>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</si>
  <si>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</si>
  <si>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</si>
  <si>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</si>
  <si>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</si>
  <si>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</si>
  <si>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</si>
  <si>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</si>
  <si>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</si>
  <si>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</si>
  <si>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</si>
  <si>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</si>
  <si>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</si>
  <si>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</si>
  <si>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</si>
  <si>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</si>
  <si>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</si>
  <si>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</si>
  <si>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</si>
  <si>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</si>
  <si>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</si>
  <si>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</si>
  <si>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</si>
  <si>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</si>
  <si>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</si>
  <si>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</si>
  <si>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</si>
  <si>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</si>
  <si>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</si>
  <si>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</si>
  <si>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</si>
  <si>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</si>
  <si>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</si>
  <si>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</si>
  <si>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</si>
  <si>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</si>
  <si>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</si>
  <si>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</si>
  <si>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</si>
  <si>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</si>
  <si>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</si>
  <si>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</si>
  <si>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</si>
  <si>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</si>
  <si>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</si>
  <si>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</si>
  <si>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</si>
  <si>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</si>
  <si>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</si>
  <si>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</si>
  <si>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</si>
  <si>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</si>
  <si>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</si>
  <si>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</si>
  <si>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</si>
  <si>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</si>
  <si>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</si>
  <si>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</si>
  <si>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</si>
  <si>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</si>
  <si>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</si>
  <si>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</si>
  <si>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</si>
  <si>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</si>
  <si>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</si>
  <si>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</si>
  <si>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</si>
  <si>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</si>
  <si>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</si>
  <si>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</si>
  <si>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</si>
  <si>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</si>
  <si>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</si>
  <si>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</si>
  <si>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</si>
  <si>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</si>
  <si>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</si>
  <si>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</si>
  <si>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</si>
  <si>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</si>
  <si>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</si>
  <si>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</si>
  <si>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</si>
  <si>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</si>
  <si>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</si>
  <si>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</si>
  <si>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</si>
  <si>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</si>
  <si>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</si>
  <si>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</si>
  <si>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</si>
  <si>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</si>
  <si>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</si>
  <si>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</si>
  <si>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</si>
  <si>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</si>
  <si>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</si>
  <si>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</si>
  <si>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</si>
  <si>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</si>
  <si>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</si>
  <si>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</si>
  <si>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</si>
  <si>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</si>
  <si>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</si>
  <si>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</si>
  <si>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</si>
  <si>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</si>
  <si>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</si>
  <si>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</si>
  <si>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</si>
  <si>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</si>
  <si>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</si>
  <si>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</si>
  <si>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</si>
  <si>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</si>
  <si>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</si>
  <si>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</si>
  <si>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</si>
  <si>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</si>
  <si>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</si>
  <si>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</si>
  <si>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</si>
  <si>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</si>
  <si>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</si>
  <si>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</si>
  <si>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</si>
  <si>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</si>
  <si>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</si>
  <si>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</si>
  <si>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</si>
  <si>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</si>
  <si>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</si>
  <si>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</si>
  <si>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</si>
  <si>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</si>
  <si>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</si>
  <si>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</si>
  <si>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</si>
  <si>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</si>
  <si>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</si>
  <si>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</si>
  <si>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</si>
  <si>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</si>
  <si>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</si>
  <si>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</si>
  <si>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</si>
  <si>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</si>
  <si>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</si>
  <si>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</si>
  <si>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</si>
  <si>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</si>
  <si>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</si>
  <si>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</si>
  <si>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</si>
  <si>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</si>
  <si>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</si>
  <si>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</si>
  <si>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</si>
  <si>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</si>
  <si>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</si>
  <si>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</si>
  <si>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</si>
  <si>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</si>
  <si>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</si>
  <si>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</si>
  <si>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</si>
  <si>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</si>
  <si>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</si>
  <si>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</si>
  <si>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</si>
  <si>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</si>
  <si>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</si>
  <si>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</si>
  <si>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</si>
  <si>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</si>
  <si>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</si>
  <si>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</si>
  <si>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</si>
  <si>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</si>
  <si>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</si>
  <si>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</si>
  <si>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</si>
  <si>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</si>
  <si>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</si>
  <si>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</si>
  <si>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</si>
  <si>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</si>
  <si>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</si>
  <si>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</si>
  <si>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</si>
  <si>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</si>
  <si>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</si>
  <si>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</si>
  <si>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</si>
  <si>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</si>
  <si>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</si>
  <si>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</si>
  <si>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</si>
  <si>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</si>
  <si>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</si>
  <si>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</si>
  <si>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</si>
  <si>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</si>
  <si>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</si>
  <si>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</si>
  <si>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</si>
  <si>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</si>
  <si>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</si>
  <si>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</si>
  <si>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</si>
  <si>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</si>
  <si>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</si>
  <si>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</si>
  <si>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</si>
  <si>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</si>
  <si>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</si>
  <si>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</si>
  <si>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</si>
  <si>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</si>
  <si>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</si>
  <si>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</si>
  <si>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</si>
  <si>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</si>
  <si>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</si>
  <si>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</si>
  <si>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</si>
  <si>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</si>
  <si>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</si>
  <si>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</si>
  <si>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</si>
  <si>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</si>
  <si>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</si>
  <si>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</si>
  <si>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</si>
  <si>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</si>
  <si>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</si>
  <si>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</si>
  <si>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</si>
  <si>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</si>
  <si>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</si>
  <si>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</si>
  <si>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</si>
  <si>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</si>
  <si>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</si>
  <si>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</si>
  <si>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</si>
  <si>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</si>
  <si>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</si>
  <si>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</si>
  <si>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</si>
  <si>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</si>
  <si>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</si>
  <si>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</si>
  <si>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</si>
  <si>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</si>
  <si>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</si>
  <si>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</si>
  <si>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</si>
  <si>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</si>
  <si>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</si>
  <si>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</si>
  <si>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</si>
  <si>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</si>
  <si>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</si>
  <si>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</si>
  <si>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</si>
  <si>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</si>
  <si>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</si>
  <si>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</si>
  <si>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</si>
  <si>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</si>
  <si>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</si>
  <si>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</si>
  <si>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</si>
  <si>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</si>
  <si>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</si>
  <si>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</si>
  <si>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</si>
  <si>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</si>
  <si>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</si>
  <si>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</si>
  <si>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</si>
  <si>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</si>
  <si>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</si>
  <si>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</si>
  <si>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</si>
  <si>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</si>
  <si>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</si>
  <si>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</si>
  <si>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</si>
  <si>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</si>
  <si>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</si>
  <si>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</si>
  <si>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</si>
  <si>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</si>
  <si>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</si>
  <si>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</si>
  <si>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</si>
  <si>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</si>
  <si>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</si>
  <si>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</si>
  <si>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</si>
  <si>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</si>
  <si>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</si>
  <si>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</si>
  <si>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</si>
  <si>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</si>
  <si>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</si>
  <si>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</si>
  <si>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</si>
  <si>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</si>
  <si>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</si>
  <si>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</si>
  <si>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</si>
  <si>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</si>
  <si>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</si>
  <si>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</si>
  <si>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</si>
  <si>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</si>
  <si>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</si>
  <si>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</si>
  <si>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</si>
  <si>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</si>
  <si>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</si>
  <si>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</si>
  <si>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</si>
  <si>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</si>
  <si>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</si>
  <si>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</si>
  <si>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</si>
  <si>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</si>
  <si>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</si>
  <si>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</si>
  <si>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</si>
  <si>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</si>
  <si>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</si>
  <si>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</si>
  <si>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</si>
  <si>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</si>
  <si>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</si>
  <si>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</si>
  <si>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</si>
  <si>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</si>
  <si>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</si>
  <si>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</si>
  <si>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</si>
  <si>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</si>
  <si>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</si>
  <si>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</si>
  <si>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</si>
  <si>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</si>
  <si>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</si>
  <si>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</si>
  <si>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</si>
  <si>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</si>
  <si>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</si>
  <si>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</si>
  <si>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</si>
  <si>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</si>
  <si>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</si>
  <si>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</si>
  <si>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</si>
  <si>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</si>
  <si>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</si>
  <si>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</si>
  <si>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</si>
  <si>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</si>
  <si>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</si>
  <si>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</si>
  <si>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</si>
  <si>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</si>
  <si>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</si>
  <si>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</si>
  <si>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</si>
  <si>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</si>
  <si>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</si>
  <si>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</si>
  <si>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</si>
  <si>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</si>
  <si>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</si>
  <si>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</si>
  <si>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</si>
  <si>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</si>
  <si>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</si>
  <si>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</si>
  <si>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</si>
  <si>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</si>
  <si>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</si>
  <si>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</si>
  <si>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</si>
  <si>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</si>
  <si>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</si>
  <si>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</si>
  <si>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</si>
  <si>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</si>
  <si>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</si>
  <si>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</si>
  <si>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</si>
  <si>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</si>
  <si>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</si>
  <si>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</si>
  <si>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</si>
  <si>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</si>
  <si>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</si>
  <si>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</si>
  <si>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</si>
  <si>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</si>
  <si>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</si>
  <si>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</si>
  <si>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</si>
  <si>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</si>
  <si>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</si>
  <si>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</si>
  <si>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</si>
  <si>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</si>
  <si>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</si>
  <si>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</si>
  <si>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</si>
  <si>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</si>
  <si>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</si>
  <si>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</si>
  <si>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</si>
  <si>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</si>
  <si>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</si>
  <si>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</si>
  <si>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</si>
  <si>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</si>
  <si>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</si>
  <si>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</si>
  <si>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</si>
  <si>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</si>
  <si>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</si>
  <si>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</si>
  <si>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</si>
  <si>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</si>
  <si>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</si>
  <si>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</si>
  <si>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</si>
  <si>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</si>
  <si>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</si>
  <si>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</si>
  <si>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</si>
  <si>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</si>
  <si>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</si>
  <si>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</si>
  <si>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</si>
  <si>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</si>
  <si>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</si>
  <si>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</si>
  <si>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</si>
  <si>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</si>
  <si>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</si>
  <si>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</si>
  <si>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</si>
  <si>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</si>
  <si>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</si>
  <si>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</si>
  <si>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</si>
  <si>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</si>
  <si>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</si>
  <si>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</si>
  <si>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</si>
  <si>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</si>
  <si>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</si>
  <si>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</si>
  <si>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</si>
  <si>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</si>
  <si>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</si>
  <si>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</si>
  <si>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</si>
  <si>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</si>
  <si>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</si>
  <si>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</si>
  <si>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</si>
  <si>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</si>
  <si>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</si>
  <si>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</si>
  <si>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</si>
  <si>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</si>
  <si>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</si>
  <si>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</si>
  <si>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</si>
  <si>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</si>
  <si>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</si>
  <si>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</si>
  <si>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</si>
  <si>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</si>
  <si>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</si>
  <si>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</si>
  <si>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</si>
  <si>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</si>
  <si>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</si>
  <si>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</si>
  <si>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</si>
  <si>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</si>
  <si>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</si>
  <si>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</si>
  <si>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</si>
  <si>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</si>
  <si>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</si>
  <si>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</si>
  <si>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</si>
  <si>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</si>
  <si>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</si>
  <si>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</si>
  <si>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</si>
  <si>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</si>
  <si>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</si>
  <si>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</si>
  <si>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</si>
  <si>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</si>
  <si>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</si>
  <si>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</si>
  <si>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</si>
  <si>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</si>
  <si>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</si>
  <si>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</si>
  <si>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</si>
  <si>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</si>
  <si>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</si>
  <si>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</si>
  <si>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</si>
  <si>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</si>
  <si>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</si>
  <si>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</si>
  <si>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</si>
  <si>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</si>
  <si>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</si>
  <si>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</si>
  <si>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</si>
  <si>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</si>
  <si>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</si>
  <si>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</si>
  <si>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</si>
  <si>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</si>
  <si>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</si>
  <si>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</si>
  <si>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</si>
  <si>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</si>
  <si>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</si>
  <si>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</si>
  <si>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</si>
  <si>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</si>
  <si>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</si>
  <si>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</si>
  <si>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</si>
  <si>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</si>
  <si>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</si>
  <si>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</si>
  <si>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</si>
  <si>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</si>
  <si>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</si>
  <si>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</si>
  <si>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</si>
  <si>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</si>
  <si>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</si>
  <si>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</si>
  <si>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</si>
  <si>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</si>
  <si>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</si>
  <si>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</si>
  <si>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</si>
  <si>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</si>
  <si>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</si>
  <si>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</si>
  <si>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</si>
  <si>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</si>
  <si>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</si>
  <si>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</si>
  <si>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</si>
  <si>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</si>
  <si>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</si>
  <si>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</si>
  <si>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</si>
  <si>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</si>
  <si>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</si>
  <si>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</si>
  <si>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</si>
  <si>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</si>
  <si>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</si>
  <si>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</si>
  <si>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</si>
  <si>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</si>
  <si>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</si>
  <si>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</si>
  <si>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</si>
  <si>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</si>
  <si>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</si>
  <si>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</si>
  <si>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</si>
  <si>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</si>
  <si>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</si>
  <si>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</si>
  <si>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</si>
  <si>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</si>
  <si>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</si>
  <si>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</si>
  <si>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</si>
  <si>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</si>
  <si>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</si>
  <si>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</si>
  <si>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</si>
  <si>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</si>
  <si>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</si>
  <si>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</si>
  <si>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</si>
  <si>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</si>
  <si>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</si>
  <si>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</si>
  <si>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</si>
  <si>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</si>
  <si>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</si>
  <si>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</si>
  <si>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</si>
  <si>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</si>
  <si>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</si>
  <si>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</si>
  <si>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</si>
  <si>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</si>
  <si>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</si>
  <si>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</si>
  <si>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</si>
  <si>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</si>
  <si>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</si>
  <si>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</si>
  <si>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</si>
  <si>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</si>
  <si>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</si>
  <si>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</si>
  <si>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</si>
  <si>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</si>
  <si>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</si>
  <si>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</si>
  <si>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</si>
  <si>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</si>
  <si>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</si>
  <si>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</si>
  <si>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</si>
  <si>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</si>
  <si>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</si>
  <si>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</si>
  <si>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</si>
  <si>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</si>
  <si>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</si>
  <si>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</si>
  <si>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</si>
  <si>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</si>
  <si>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</si>
  <si>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</si>
  <si>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</si>
  <si>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</si>
  <si>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</si>
  <si>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</si>
  <si>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</si>
  <si>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</si>
  <si>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</si>
  <si>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</si>
  <si>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</si>
  <si>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</si>
  <si>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</si>
  <si>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</si>
  <si>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</si>
  <si>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</si>
  <si>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</si>
  <si>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</si>
  <si>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</si>
  <si>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</si>
  <si>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</si>
  <si>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</si>
  <si>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</si>
  <si>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</si>
  <si>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</si>
  <si>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</si>
  <si>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</si>
  <si>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</si>
  <si>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</si>
  <si>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</si>
  <si>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</si>
  <si>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</si>
  <si>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</si>
  <si>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</si>
  <si>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</si>
  <si>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</si>
  <si>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</si>
  <si>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</si>
  <si>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</si>
  <si>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</si>
  <si>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</si>
  <si>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</si>
  <si>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</si>
  <si>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</si>
  <si>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</si>
  <si>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</si>
  <si>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</si>
  <si>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</si>
  <si>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</si>
  <si>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</si>
  <si>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</si>
  <si>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</si>
  <si>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</si>
  <si>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</si>
  <si>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</si>
  <si>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</si>
  <si>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</si>
  <si>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</si>
  <si>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</si>
  <si>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</si>
  <si>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</si>
  <si>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</si>
  <si>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</si>
  <si>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</si>
  <si>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</si>
  <si>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</si>
  <si>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</si>
  <si>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</si>
  <si>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</si>
  <si>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</si>
  <si>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</si>
  <si>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</si>
  <si>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</si>
  <si>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</si>
  <si>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</si>
  <si>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</si>
  <si>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</si>
  <si>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</si>
  <si>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</si>
  <si>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</si>
  <si>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</si>
  <si>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</si>
  <si>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</si>
  <si>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</si>
  <si>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</si>
  <si>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</si>
  <si>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</si>
  <si>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</si>
  <si>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</si>
  <si>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</si>
  <si>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</si>
  <si>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</si>
  <si>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</si>
  <si>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</si>
  <si>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</si>
  <si>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</si>
  <si>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</si>
  <si>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</si>
  <si>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</si>
  <si>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</si>
  <si>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</si>
  <si>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</si>
  <si>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</si>
  <si>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</si>
  <si>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</si>
  <si>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</si>
  <si>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</si>
  <si>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</si>
  <si>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</si>
  <si>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</si>
  <si>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</si>
  <si>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</si>
  <si>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</si>
  <si>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</si>
  <si>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</si>
  <si>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</si>
  <si>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</si>
  <si>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</si>
  <si>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</si>
  <si>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</si>
  <si>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</si>
  <si>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</si>
  <si>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</si>
  <si>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</si>
  <si>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</si>
  <si>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</si>
  <si>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</si>
  <si>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</si>
  <si>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</si>
  <si>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</si>
  <si>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</si>
  <si>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</si>
  <si>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</si>
  <si>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</si>
  <si>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</si>
  <si>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</si>
  <si>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</si>
  <si>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</si>
  <si>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</si>
  <si>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</si>
  <si>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</si>
  <si>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</si>
  <si>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</si>
  <si>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</si>
  <si>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</si>
  <si>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</si>
  <si>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</si>
  <si>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</si>
  <si>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</si>
  <si>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</si>
  <si>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</si>
  <si>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</si>
  <si>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</si>
  <si>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</si>
  <si>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</si>
  <si>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</si>
  <si>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</si>
  <si>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</si>
  <si>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</si>
  <si>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</si>
  <si>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</si>
  <si>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</si>
  <si>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</si>
  <si>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</si>
  <si>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</si>
  <si>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</si>
  <si>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</si>
  <si>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</si>
  <si>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</si>
  <si>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</si>
  <si>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</si>
  <si>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</si>
  <si>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</si>
  <si>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</si>
  <si>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</si>
  <si>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</si>
  <si>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</si>
  <si>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</si>
  <si>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</si>
  <si>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</si>
  <si>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</si>
  <si>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</si>
  <si>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</si>
  <si>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</si>
  <si>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</si>
  <si>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</si>
  <si>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</si>
  <si>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</si>
  <si>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</si>
  <si>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</si>
  <si>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</si>
  <si>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</si>
  <si>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</si>
  <si>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</si>
  <si>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</si>
  <si>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</si>
  <si>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</si>
  <si>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</si>
  <si>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</si>
  <si>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</si>
  <si>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</si>
  <si>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</si>
  <si>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</si>
  <si>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</si>
  <si>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</si>
  <si>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</si>
  <si>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</si>
  <si>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</si>
  <si>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</si>
  <si>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</si>
  <si>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</si>
  <si>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</si>
  <si>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</si>
  <si>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</si>
  <si>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</si>
  <si>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</si>
  <si>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</si>
  <si>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</si>
  <si>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</si>
  <si>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</si>
  <si>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</si>
  <si>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</si>
  <si>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</si>
  <si>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</si>
  <si>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</si>
  <si>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</si>
  <si>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</si>
  <si>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</si>
  <si>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</si>
  <si>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</si>
  <si>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</si>
  <si>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</si>
  <si>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</si>
  <si>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</si>
  <si>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</si>
  <si>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</si>
  <si>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</si>
  <si>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</si>
  <si>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</si>
  <si>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</si>
  <si>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</si>
  <si>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</si>
  <si>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</si>
  <si>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</si>
  <si>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</si>
  <si>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</si>
  <si>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</si>
  <si>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</si>
  <si>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</si>
  <si>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</si>
  <si>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</si>
  <si>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</si>
  <si>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</si>
  <si>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</si>
  <si>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</si>
  <si>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</si>
  <si>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</si>
  <si>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</si>
  <si>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</si>
  <si>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</si>
  <si>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</si>
  <si>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</si>
  <si>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</si>
  <si>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</si>
  <si>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</si>
  <si>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</si>
  <si>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</si>
  <si>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</si>
  <si>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</si>
  <si>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</si>
  <si>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</si>
  <si>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</si>
  <si>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</si>
  <si>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</si>
  <si>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</si>
  <si>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</si>
  <si>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</si>
  <si>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</si>
  <si>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</si>
  <si>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</si>
  <si>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</si>
  <si>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</si>
  <si>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</si>
  <si>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</si>
  <si>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</si>
  <si>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</si>
  <si>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</si>
  <si>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</si>
  <si>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</si>
  <si>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</si>
  <si>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</si>
  <si>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</si>
  <si>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</si>
  <si>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</si>
  <si>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</si>
  <si>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</si>
  <si>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</si>
  <si>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</si>
  <si>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</si>
  <si>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</si>
  <si>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</si>
  <si>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</si>
  <si>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</si>
  <si>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</si>
  <si>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</si>
  <si>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</si>
  <si>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</si>
  <si>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</si>
  <si>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</si>
  <si>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</si>
  <si>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</si>
  <si>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</si>
  <si>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</si>
  <si>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</si>
  <si>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</si>
  <si>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</si>
  <si>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</si>
  <si>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</si>
  <si>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</si>
  <si>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</si>
  <si>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</si>
  <si>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</si>
  <si>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</si>
  <si>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</si>
  <si>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</si>
  <si>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</si>
  <si>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</si>
  <si>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</si>
  <si>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</si>
  <si>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</si>
  <si>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</si>
  <si>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</si>
  <si>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</si>
  <si>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</si>
  <si>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</si>
  <si>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</si>
  <si>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</si>
  <si>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</si>
  <si>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</si>
  <si>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</si>
  <si>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</si>
  <si>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</si>
  <si>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</si>
  <si>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</si>
  <si>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</si>
  <si>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</si>
  <si>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</si>
  <si>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</si>
  <si>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</si>
  <si>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</si>
  <si>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</si>
  <si>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</si>
  <si>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</si>
  <si>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</si>
  <si>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</si>
  <si>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</si>
  <si>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</si>
  <si>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</si>
  <si>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</si>
  <si>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</si>
  <si>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</si>
  <si>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</si>
  <si>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</si>
  <si>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</si>
  <si>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</si>
  <si>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</si>
  <si>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</si>
  <si>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</si>
  <si>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</si>
  <si>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</si>
  <si>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</si>
  <si>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</si>
  <si>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</si>
  <si>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</si>
  <si>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</si>
  <si>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</si>
  <si>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</si>
  <si>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</si>
  <si>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</si>
  <si>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</si>
  <si>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</si>
  <si>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</si>
  <si>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</si>
  <si>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</si>
  <si>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</si>
  <si>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</si>
  <si>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</si>
  <si>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</si>
  <si>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</si>
  <si>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</si>
  <si>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</si>
  <si>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</si>
  <si>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</si>
  <si>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</si>
  <si>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</si>
  <si>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</si>
  <si>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</si>
  <si>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</si>
  <si>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</si>
  <si>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</si>
  <si>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</si>
  <si>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</si>
  <si>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</si>
  <si>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</si>
  <si>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</si>
  <si>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</si>
  <si>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</si>
  <si>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</si>
  <si>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</si>
  <si>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</si>
  <si>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</si>
  <si>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</si>
  <si>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</si>
  <si>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</si>
  <si>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</si>
  <si>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</si>
  <si>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</si>
  <si>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</si>
  <si>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</si>
  <si>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</si>
  <si>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</si>
  <si>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</si>
  <si>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</si>
  <si>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</si>
  <si>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</si>
  <si>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</si>
  <si>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</si>
  <si>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</si>
  <si>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</si>
  <si>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</si>
  <si>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</si>
  <si>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</si>
  <si>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</si>
  <si>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</si>
  <si>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</si>
  <si>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</si>
  <si>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</si>
  <si>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</si>
  <si>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</si>
  <si>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</si>
  <si>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</si>
  <si>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</si>
  <si>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</si>
  <si>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</si>
  <si>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</si>
  <si>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</si>
  <si>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</si>
  <si>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</si>
  <si>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</si>
  <si>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</si>
  <si>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</si>
  <si>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</si>
  <si>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</si>
  <si>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</si>
  <si>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</si>
  <si>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</si>
  <si>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</si>
  <si>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</si>
  <si>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</si>
  <si>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</si>
  <si>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</si>
  <si>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</si>
  <si>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</si>
  <si>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</si>
  <si>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</si>
  <si>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</si>
  <si>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</si>
  <si>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</si>
  <si>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</si>
  <si>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</si>
  <si>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</si>
  <si>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</si>
  <si>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</si>
  <si>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</si>
  <si>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</si>
  <si>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</si>
  <si>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</si>
  <si>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</si>
  <si>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</si>
  <si>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</si>
  <si>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</si>
  <si>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</si>
  <si>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</si>
  <si>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</si>
  <si>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</si>
  <si>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</si>
  <si>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</si>
  <si>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</si>
  <si>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</si>
  <si>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</si>
  <si>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</si>
  <si>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</si>
  <si>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</si>
  <si>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</si>
  <si>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</si>
  <si>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</si>
  <si>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</si>
  <si>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</si>
  <si>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</si>
  <si>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</si>
  <si>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</si>
  <si>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</si>
  <si>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</si>
  <si>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</si>
  <si>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</si>
  <si>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</si>
  <si>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</si>
  <si>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</si>
  <si>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</si>
  <si>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</si>
  <si>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</si>
  <si>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</si>
  <si>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</si>
  <si>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</si>
  <si>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</si>
  <si>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</si>
  <si>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</si>
  <si>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</si>
  <si>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</si>
  <si>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</si>
  <si>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</si>
  <si>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</si>
  <si>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</si>
  <si>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</si>
  <si>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</si>
  <si>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</si>
  <si>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</si>
  <si>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</si>
  <si>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</si>
  <si>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</si>
  <si>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</si>
  <si>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</si>
  <si>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</si>
  <si>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</si>
  <si>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</si>
  <si>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</si>
  <si>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</si>
  <si>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</si>
  <si>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</si>
  <si>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</si>
  <si>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</si>
  <si>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</si>
  <si>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</si>
  <si>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</si>
  <si>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</si>
  <si>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</si>
  <si>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</si>
  <si>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</si>
  <si>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</si>
  <si>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</si>
  <si>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</si>
  <si>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</si>
  <si>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</si>
  <si>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</si>
  <si>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</si>
  <si>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</si>
  <si>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</si>
  <si>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</si>
  <si>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</si>
  <si>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</si>
  <si>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</si>
  <si>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</si>
  <si>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</si>
  <si>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</si>
  <si>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</si>
  <si>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</si>
  <si>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</si>
  <si>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</si>
  <si>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</si>
  <si>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</si>
  <si>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</si>
  <si>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</si>
  <si>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</si>
  <si>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</si>
  <si>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</si>
  <si>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</si>
  <si>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</si>
  <si>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</si>
  <si>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</si>
  <si>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</si>
  <si>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</si>
  <si>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</si>
  <si>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</si>
  <si>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</si>
  <si>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</si>
  <si>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</si>
  <si>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</si>
  <si>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</si>
  <si>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</si>
  <si>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</si>
  <si>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</si>
  <si>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</si>
  <si>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</si>
  <si>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</si>
  <si>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</si>
  <si>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</si>
  <si>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</si>
  <si>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</si>
  <si>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</si>
  <si>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</si>
  <si>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</si>
  <si>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</si>
  <si>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</si>
  <si>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</si>
  <si>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</si>
  <si>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</si>
  <si>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</si>
  <si>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</si>
  <si>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</si>
  <si>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</si>
  <si>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</si>
  <si>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</si>
  <si>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</si>
  <si>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</si>
  <si>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</si>
  <si>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</si>
  <si>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</si>
  <si>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</si>
  <si>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</si>
  <si>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</si>
  <si>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</si>
  <si>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</si>
  <si>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</si>
  <si>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</si>
  <si>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</si>
  <si>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</si>
  <si>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</si>
  <si>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</si>
  <si>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</si>
  <si>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</si>
  <si>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</si>
  <si>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</si>
  <si>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</si>
  <si>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</si>
  <si>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</si>
  <si>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</si>
  <si>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</si>
  <si>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</si>
  <si>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</si>
  <si>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</si>
  <si>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</si>
  <si>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</si>
  <si>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</si>
  <si>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</si>
  <si>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</si>
  <si>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</si>
  <si>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</si>
  <si>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</si>
  <si>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</si>
  <si>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</si>
  <si>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</si>
  <si>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</si>
  <si>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</si>
  <si>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</si>
  <si>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</si>
  <si>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</si>
  <si>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</si>
  <si>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</si>
  <si>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</si>
  <si>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</si>
  <si>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</si>
  <si>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</si>
  <si>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</si>
  <si>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</si>
  <si>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</si>
  <si>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</si>
  <si>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</si>
  <si>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</si>
  <si>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</si>
  <si>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</si>
  <si>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</si>
  <si>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</si>
  <si>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</si>
  <si>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</si>
  <si>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</si>
  <si>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</si>
  <si>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</si>
  <si>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</si>
  <si>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</si>
  <si>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</si>
  <si>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</si>
  <si>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</si>
  <si>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</si>
  <si>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</si>
  <si>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</si>
  <si>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</si>
  <si>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</si>
  <si>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</si>
  <si>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</si>
  <si>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</si>
  <si>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</si>
  <si>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</si>
  <si>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</si>
  <si>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</si>
  <si>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</si>
  <si>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</si>
  <si>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</si>
  <si>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</si>
  <si>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</si>
  <si>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</si>
  <si>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</si>
  <si>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</si>
  <si>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</si>
  <si>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</si>
  <si>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</si>
  <si>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</si>
  <si>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</si>
  <si>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</si>
  <si>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</si>
  <si>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</si>
  <si>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</si>
  <si>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</si>
  <si>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</si>
  <si>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</si>
  <si>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</si>
  <si>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</si>
  <si>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</si>
  <si>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</si>
  <si>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</si>
  <si>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</si>
  <si>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</si>
  <si>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</si>
  <si>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</si>
  <si>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</si>
  <si>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</si>
  <si>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</si>
  <si>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</si>
  <si>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</si>
  <si>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</si>
  <si>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</si>
  <si>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</si>
  <si>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</si>
  <si>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</si>
  <si>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</si>
  <si>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</si>
  <si>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</si>
  <si>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</si>
  <si>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</si>
  <si>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</si>
  <si>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</si>
  <si>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</si>
  <si>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</si>
  <si>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</si>
  <si>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</si>
  <si>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</si>
  <si>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</si>
  <si>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</si>
  <si>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</si>
  <si>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</si>
  <si>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</si>
  <si>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</si>
  <si>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</si>
  <si>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</si>
  <si>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</si>
  <si>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</si>
  <si>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</si>
  <si>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</si>
  <si>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</si>
  <si>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</si>
  <si>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</si>
  <si>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</si>
  <si>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</si>
  <si>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</si>
  <si>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</si>
  <si>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</si>
  <si>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</si>
  <si>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</si>
  <si>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</si>
  <si>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</si>
  <si>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</si>
  <si>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</si>
  <si>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</si>
  <si>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</si>
  <si>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</si>
  <si>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</si>
  <si>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</si>
  <si>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</si>
  <si>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</si>
  <si>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</si>
  <si>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</si>
  <si>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</si>
  <si>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</si>
  <si>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</si>
  <si>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</si>
  <si>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</si>
  <si>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</si>
  <si>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</si>
  <si>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</si>
  <si>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</si>
  <si>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</si>
  <si>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</si>
  <si>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</si>
  <si>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</si>
  <si>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</si>
  <si>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</si>
  <si>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</si>
  <si>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</si>
  <si>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</si>
  <si>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</si>
  <si>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</si>
  <si>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</si>
  <si>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</si>
  <si>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</si>
  <si>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</si>
  <si>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</si>
  <si>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</si>
  <si>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</si>
  <si>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</si>
  <si>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</si>
  <si>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</si>
  <si>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</si>
  <si>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</si>
  <si>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</si>
  <si>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</si>
  <si>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</si>
  <si>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</si>
  <si>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</si>
  <si>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</si>
  <si>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</si>
  <si>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</si>
  <si>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</si>
  <si>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</si>
  <si>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</si>
  <si>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</si>
  <si>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</si>
  <si>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</si>
  <si>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</si>
  <si>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</si>
  <si>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</si>
  <si>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</si>
  <si>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</si>
  <si>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</si>
  <si>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</si>
  <si>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</si>
  <si>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</si>
  <si>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</si>
  <si>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</si>
  <si>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</si>
  <si>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</si>
  <si>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</si>
  <si>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</si>
  <si>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</si>
  <si>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</si>
  <si>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</si>
  <si>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</si>
  <si>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</si>
  <si>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</si>
  <si>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</si>
  <si>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</si>
  <si>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</si>
  <si>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</si>
  <si>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</si>
  <si>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</si>
  <si>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</si>
  <si>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</si>
  <si>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</si>
  <si>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</si>
  <si>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</si>
  <si>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</si>
  <si>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</si>
  <si>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</si>
  <si>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</si>
  <si>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</si>
  <si>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</si>
  <si>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</si>
  <si>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</si>
  <si>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</si>
  <si>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</si>
  <si>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</si>
  <si>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</si>
  <si>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</si>
  <si>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</si>
  <si>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</si>
  <si>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</si>
  <si>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</si>
  <si>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</si>
  <si>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</si>
  <si>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</si>
  <si>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</si>
  <si>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</si>
  <si>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</si>
  <si>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</si>
  <si>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</si>
  <si>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</si>
  <si>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</si>
  <si>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</si>
  <si>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</si>
  <si>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</si>
  <si>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</si>
  <si>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</si>
  <si>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</si>
  <si>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</si>
  <si>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</si>
  <si>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</si>
  <si>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</si>
  <si>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</si>
  <si>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</si>
  <si>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</si>
  <si>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</si>
  <si>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</si>
  <si>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</si>
  <si>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</si>
  <si>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</si>
  <si>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</si>
  <si>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</si>
  <si>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</si>
  <si>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</si>
  <si>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</si>
  <si>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</si>
  <si>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</si>
  <si>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</si>
  <si>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</si>
  <si>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</si>
  <si>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</si>
  <si>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</si>
  <si>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</si>
  <si>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</si>
  <si>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</si>
  <si>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</si>
  <si>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</si>
  <si>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</si>
  <si>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</si>
  <si>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</si>
  <si>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</si>
  <si>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</si>
  <si>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</si>
  <si>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</si>
  <si>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</si>
  <si>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</si>
  <si>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</si>
  <si>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</si>
  <si>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</si>
  <si>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</si>
  <si>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</si>
  <si>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</si>
  <si>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</si>
  <si>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</si>
  <si>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</si>
  <si>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</si>
  <si>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</si>
  <si>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</si>
  <si>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</si>
  <si>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</si>
  <si>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</si>
  <si>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</si>
  <si>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</si>
  <si>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</si>
  <si>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</si>
  <si>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</si>
  <si>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</si>
  <si>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</si>
  <si>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</si>
  <si>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</si>
  <si>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</si>
  <si>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</si>
  <si>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</si>
  <si>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</si>
  <si>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</si>
  <si>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</si>
  <si>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</si>
  <si>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</si>
  <si>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</si>
  <si>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</si>
  <si>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</si>
  <si>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</si>
  <si>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</si>
  <si>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</si>
  <si>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</si>
  <si>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</si>
  <si>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</si>
  <si>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</si>
  <si>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</si>
  <si>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</si>
  <si>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</si>
  <si>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</si>
  <si>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</si>
  <si>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</si>
  <si>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</si>
  <si>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</si>
  <si>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</si>
  <si>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</si>
  <si>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</si>
  <si>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</si>
  <si>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</si>
  <si>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</si>
  <si>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</si>
  <si>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</si>
  <si>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</si>
  <si>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</si>
  <si>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</si>
  <si>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</si>
  <si>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</si>
  <si>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</si>
  <si>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</si>
  <si>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</si>
  <si>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</si>
  <si>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</si>
  <si>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</si>
  <si>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</si>
  <si>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</si>
  <si>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</si>
  <si>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</si>
  <si>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</si>
  <si>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</si>
  <si>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</si>
  <si>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</si>
  <si>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</si>
  <si>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</si>
  <si>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</si>
  <si>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</si>
  <si>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</si>
  <si>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</si>
  <si>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</si>
  <si>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</si>
  <si>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</si>
  <si>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</si>
  <si>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</si>
  <si>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</si>
  <si>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</si>
  <si>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</si>
  <si>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</si>
  <si>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</si>
  <si>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</si>
  <si>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</si>
  <si>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</si>
  <si>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</si>
  <si>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</si>
  <si>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</si>
  <si>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</si>
  <si>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</si>
  <si>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</si>
  <si>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</si>
  <si>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</si>
  <si>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</si>
  <si>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</si>
  <si>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</si>
  <si>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</si>
  <si>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</si>
  <si>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</si>
  <si>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</si>
  <si>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</si>
  <si>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</si>
  <si>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</si>
  <si>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</si>
  <si>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</si>
  <si>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</si>
  <si>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</si>
  <si>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</si>
  <si>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</si>
  <si>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</si>
  <si>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</si>
  <si>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</si>
  <si>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</si>
  <si>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</si>
  <si>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</si>
  <si>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</si>
  <si>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</si>
  <si>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</si>
  <si>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</si>
  <si>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</si>
  <si>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</si>
  <si>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</si>
  <si>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</si>
  <si>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</si>
  <si>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</si>
  <si>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</si>
  <si>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</si>
  <si>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</si>
  <si>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</si>
  <si>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</si>
  <si>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</si>
  <si>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</si>
  <si>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</si>
  <si>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</si>
  <si>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</si>
  <si>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</si>
  <si>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</si>
  <si>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</si>
  <si>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</si>
  <si>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</si>
  <si>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</si>
  <si>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</si>
  <si>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</si>
  <si>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</si>
  <si>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</si>
  <si>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</si>
  <si>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</si>
  <si>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</si>
  <si>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</si>
  <si>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</si>
  <si>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</si>
  <si>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</si>
  <si>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</si>
  <si>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</si>
  <si>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</si>
  <si>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</si>
  <si>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</si>
  <si>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</si>
  <si>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</si>
  <si>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</si>
  <si>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</si>
  <si>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</si>
  <si>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</si>
  <si>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</si>
  <si>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</si>
  <si>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</si>
  <si>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</si>
  <si>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</si>
  <si>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</si>
  <si>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</si>
  <si>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</si>
  <si>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</si>
  <si>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</si>
  <si>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</si>
  <si>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</si>
  <si>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</si>
  <si>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</si>
  <si>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</si>
  <si>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</si>
  <si>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</si>
  <si>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</si>
  <si>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</si>
  <si>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</si>
  <si>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</si>
  <si>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</si>
  <si>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</si>
  <si>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</si>
  <si>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</si>
  <si>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</si>
  <si>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</si>
  <si>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</si>
  <si>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</si>
  <si>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</si>
  <si>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</si>
  <si>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</si>
  <si>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</si>
  <si>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</si>
  <si>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</si>
  <si>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</si>
  <si>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</si>
  <si>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</si>
  <si>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</si>
  <si>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</si>
  <si>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</si>
  <si>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</si>
  <si>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</si>
  <si>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</si>
  <si>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</si>
  <si>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</si>
  <si>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</si>
  <si>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</si>
  <si>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</si>
  <si>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</si>
  <si>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</si>
  <si>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</si>
  <si>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</si>
  <si>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</si>
  <si>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</si>
  <si>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</si>
  <si>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</si>
  <si>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</si>
  <si>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</si>
  <si>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</si>
  <si>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</si>
  <si>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</si>
  <si>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</si>
  <si>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</si>
  <si>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</si>
  <si>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</si>
  <si>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</si>
  <si>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</si>
  <si>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</si>
  <si>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</si>
  <si>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</si>
  <si>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</si>
  <si>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</si>
  <si>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</si>
  <si>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</si>
  <si>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</si>
  <si>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</si>
  <si>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</si>
  <si>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</si>
  <si>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</si>
  <si>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</si>
  <si>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</si>
  <si>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</si>
  <si>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</si>
  <si>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</si>
  <si>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</si>
  <si>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</si>
  <si>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</si>
  <si>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</si>
  <si>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</si>
  <si>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</si>
  <si>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</si>
  <si>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</si>
  <si>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</si>
  <si>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</si>
  <si>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</si>
  <si>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</si>
  <si>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</si>
  <si>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</si>
  <si>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</si>
  <si>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</si>
  <si>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</si>
  <si>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</si>
  <si>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</si>
  <si>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</si>
  <si>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</si>
  <si>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</si>
  <si>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</si>
  <si>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</si>
  <si>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</si>
  <si>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</si>
  <si>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</si>
  <si>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</si>
  <si>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</si>
  <si>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</si>
  <si>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</si>
  <si>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</si>
  <si>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</si>
  <si>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</si>
  <si>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</si>
  <si>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</si>
  <si>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</si>
  <si>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</si>
  <si>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</si>
  <si>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</si>
  <si>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</si>
  <si>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</si>
  <si>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</si>
  <si>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</si>
  <si>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</si>
  <si>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</si>
  <si>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</si>
  <si>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</si>
  <si>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</si>
  <si>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</si>
  <si>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</si>
  <si>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</si>
  <si>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</si>
  <si>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</si>
  <si>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</si>
  <si>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</si>
  <si>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</si>
  <si>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</si>
  <si>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</si>
  <si>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</si>
  <si>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</si>
  <si>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</si>
  <si>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</si>
  <si>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</si>
  <si>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</si>
  <si>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</si>
  <si>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</si>
  <si>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</si>
  <si>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</si>
  <si>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</si>
  <si>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</si>
  <si>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</si>
  <si>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</si>
  <si>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</si>
  <si>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</si>
  <si>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</si>
  <si>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</si>
  <si>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</si>
  <si>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</si>
  <si>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</si>
  <si>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</si>
  <si>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</si>
  <si>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</si>
  <si>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</si>
  <si>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</si>
  <si>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</si>
  <si>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</si>
  <si>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</si>
  <si>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</si>
  <si>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</si>
  <si>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</si>
  <si>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</si>
  <si>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</si>
  <si>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</si>
  <si>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</si>
  <si>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</si>
  <si>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</si>
  <si>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</si>
  <si>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</si>
  <si>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</si>
  <si>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</si>
  <si>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</si>
  <si>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</si>
  <si>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</si>
  <si>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</si>
  <si>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</si>
  <si>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</si>
  <si>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</si>
  <si>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</si>
  <si>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</si>
  <si>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</si>
  <si>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</si>
  <si>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</si>
  <si>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</si>
  <si>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</si>
  <si>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</si>
  <si>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</si>
  <si>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</si>
  <si>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</si>
  <si>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</si>
  <si>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</si>
  <si>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</si>
  <si>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</si>
  <si>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</si>
  <si>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</si>
  <si>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</si>
  <si>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</si>
  <si>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</si>
  <si>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</si>
  <si>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</si>
  <si>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</si>
  <si>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</si>
  <si>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</si>
  <si>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</si>
  <si>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</si>
  <si>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</si>
  <si>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</si>
  <si>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</si>
  <si>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</si>
  <si>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</si>
  <si>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</si>
  <si>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</si>
  <si>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</si>
  <si>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</si>
  <si>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</si>
  <si>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</si>
  <si>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</si>
  <si>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</si>
  <si>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</si>
  <si>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</si>
  <si>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</si>
  <si>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</si>
  <si>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</si>
  <si>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</si>
  <si>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</si>
  <si>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</si>
  <si>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</si>
  <si>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</si>
  <si>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</si>
  <si>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</si>
  <si>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</si>
  <si>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</si>
  <si>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</si>
  <si>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</si>
  <si>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</si>
  <si>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</si>
  <si>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</si>
  <si>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</si>
  <si>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</si>
  <si>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</si>
  <si>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</si>
  <si>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</si>
  <si>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</si>
  <si>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</si>
  <si>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</si>
  <si>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</si>
  <si>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</si>
  <si>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</si>
  <si>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</si>
  <si>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</si>
  <si>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</si>
  <si>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</si>
  <si>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</si>
  <si>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</si>
  <si>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</si>
  <si>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</si>
  <si>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</si>
  <si>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</si>
  <si>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</si>
  <si>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</si>
  <si>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</si>
  <si>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</si>
  <si>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</si>
  <si>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</si>
  <si>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</si>
  <si>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</si>
  <si>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</si>
  <si>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</si>
  <si>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</si>
  <si>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</si>
  <si>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</si>
  <si>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</si>
  <si>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</si>
  <si>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</si>
  <si>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</si>
  <si>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</si>
  <si>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</si>
  <si>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</si>
  <si>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</si>
  <si>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</si>
  <si>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</si>
  <si>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</si>
  <si>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</si>
  <si>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</si>
  <si>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</si>
  <si>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</si>
  <si>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</si>
  <si>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</si>
  <si>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</si>
  <si>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</si>
  <si>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</si>
  <si>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</si>
  <si>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</si>
  <si>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</si>
  <si>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</si>
  <si>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</si>
  <si>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</si>
  <si>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</si>
  <si>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</si>
  <si>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</si>
  <si>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</si>
  <si>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</si>
  <si>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</si>
  <si>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</si>
  <si>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</si>
  <si>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</si>
  <si>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</si>
  <si>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</si>
  <si>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</si>
  <si>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</si>
  <si>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</si>
  <si>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</si>
  <si>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</si>
  <si>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</si>
  <si>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</si>
  <si>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</si>
  <si>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</si>
  <si>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</si>
  <si>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</si>
  <si>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</si>
  <si>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</si>
  <si>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</si>
  <si>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</si>
  <si>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</si>
  <si>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</si>
  <si>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</si>
  <si>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</si>
  <si>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</si>
  <si>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</si>
  <si>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</si>
  <si>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</si>
  <si>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</si>
  <si>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</si>
  <si>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</si>
  <si>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</si>
  <si>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</si>
  <si>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</si>
  <si>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</si>
  <si>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</si>
  <si>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</si>
  <si>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</si>
  <si>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</si>
  <si>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</si>
  <si>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</si>
  <si>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</si>
  <si>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</si>
  <si>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</si>
  <si>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</si>
  <si>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</si>
  <si>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</si>
  <si>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</si>
  <si>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</si>
  <si>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</si>
  <si>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</si>
  <si>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</si>
  <si>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</si>
  <si>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</si>
  <si>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</si>
  <si>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</si>
  <si>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</si>
  <si>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</si>
  <si>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</si>
  <si>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</si>
  <si>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</si>
  <si>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</si>
  <si>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</si>
  <si>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</si>
  <si>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</si>
  <si>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</si>
  <si>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</si>
  <si>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</si>
  <si>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</si>
  <si>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</si>
  <si>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</si>
  <si>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</si>
  <si>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</si>
  <si>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</si>
  <si>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</si>
  <si>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</si>
  <si>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</si>
  <si>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</si>
  <si>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</si>
  <si>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</si>
  <si>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</si>
  <si>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</si>
  <si>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</si>
  <si>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</si>
  <si>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</si>
  <si>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</si>
  <si>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</si>
  <si>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</si>
  <si>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</si>
  <si>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</si>
  <si>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</si>
  <si>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</si>
  <si>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</si>
  <si>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</si>
  <si>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</si>
  <si>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</si>
  <si>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</si>
  <si>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</si>
  <si>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</si>
  <si>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</si>
  <si>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</si>
  <si>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</si>
  <si>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</si>
  <si>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</si>
  <si>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</si>
  <si>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</si>
  <si>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</si>
  <si>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</si>
  <si>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</si>
  <si>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</si>
  <si>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</si>
  <si>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</si>
  <si>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</si>
  <si>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</si>
  <si>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</si>
  <si>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</si>
  <si>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</si>
  <si>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</si>
  <si>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</si>
  <si>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</si>
  <si>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</si>
  <si>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</si>
  <si>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</si>
  <si>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</si>
  <si>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</si>
  <si>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</si>
  <si>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</si>
  <si>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</si>
  <si>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</si>
  <si>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</si>
  <si>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</si>
  <si>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</si>
  <si>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</si>
  <si>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</si>
  <si>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</si>
  <si>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</si>
  <si>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</si>
  <si>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</si>
  <si>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</si>
  <si>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</si>
  <si>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</si>
  <si>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</si>
  <si>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</si>
  <si>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</si>
  <si>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</si>
  <si>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</si>
  <si>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</si>
  <si>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</si>
  <si>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</si>
  <si>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</si>
  <si>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</si>
  <si>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</si>
  <si>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</si>
  <si>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</si>
  <si>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</si>
  <si>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</si>
  <si>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</si>
  <si>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</si>
  <si>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</si>
  <si>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</si>
  <si>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</si>
  <si>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</si>
  <si>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</si>
  <si>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</si>
  <si>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</si>
  <si>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</si>
  <si>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</si>
  <si>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</si>
  <si>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</si>
  <si>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</si>
  <si>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</si>
  <si>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</si>
  <si>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</si>
  <si>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</si>
  <si>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</si>
  <si>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</si>
  <si>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</si>
  <si>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</si>
  <si>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</si>
  <si>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</si>
  <si>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</si>
  <si>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</si>
  <si>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</si>
  <si>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</si>
  <si>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</si>
  <si>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</si>
  <si>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</si>
  <si>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</si>
  <si>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</si>
  <si>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</si>
  <si>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</si>
  <si>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</si>
  <si>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</si>
  <si>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</si>
  <si>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</si>
  <si>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</si>
  <si>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</si>
  <si>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</si>
  <si>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</si>
  <si>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</si>
  <si>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</si>
  <si>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</si>
  <si>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</si>
  <si>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</si>
  <si>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</si>
  <si>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</si>
  <si>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</si>
  <si>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</si>
  <si>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</si>
  <si>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</si>
  <si>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</si>
  <si>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</si>
  <si>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</si>
  <si>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</si>
  <si>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</si>
  <si>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</si>
  <si>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</si>
  <si>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</si>
  <si>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</si>
  <si>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</si>
  <si>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</si>
  <si>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</si>
  <si>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</si>
  <si>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</si>
  <si>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</si>
  <si>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</si>
  <si>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</si>
  <si>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</si>
  <si>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</si>
  <si>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</si>
  <si>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</si>
  <si>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</si>
  <si>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</si>
  <si>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</si>
  <si>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</si>
  <si>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</si>
  <si>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</si>
  <si>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</si>
  <si>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</si>
  <si>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</si>
  <si>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</si>
  <si>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</si>
  <si>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</si>
  <si>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</si>
  <si>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</si>
  <si>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</si>
  <si>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</si>
  <si>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</si>
  <si>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</si>
  <si>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</si>
  <si>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</si>
  <si>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</si>
  <si>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</si>
  <si>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</si>
  <si>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</si>
  <si>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</si>
  <si>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</si>
  <si>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</si>
  <si>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</si>
  <si>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</si>
  <si>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</si>
  <si>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</si>
  <si>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</si>
  <si>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</si>
  <si>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</si>
  <si>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</si>
  <si>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</si>
  <si>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</si>
  <si>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</si>
  <si>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</si>
  <si>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</si>
  <si>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</si>
  <si>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</si>
  <si>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</si>
  <si>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</si>
  <si>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</si>
  <si>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</si>
  <si>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</si>
  <si>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</si>
  <si>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</si>
  <si>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</si>
  <si>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</si>
  <si>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</si>
  <si>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</si>
  <si>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</si>
  <si>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</si>
  <si>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</si>
  <si>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</si>
  <si>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</si>
  <si>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</si>
  <si>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</si>
  <si>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</si>
  <si>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</si>
  <si>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</si>
  <si>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</si>
  <si>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</si>
  <si>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</si>
  <si>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</si>
  <si>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</si>
  <si>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</si>
  <si>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</si>
  <si>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</si>
  <si>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</si>
  <si>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</si>
  <si>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</si>
  <si>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</si>
  <si>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</si>
  <si>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</si>
  <si>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</si>
  <si>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</si>
  <si>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</si>
  <si>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</si>
  <si>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</si>
  <si>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</si>
  <si>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</si>
  <si>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</si>
  <si>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</si>
  <si>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</si>
  <si>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</si>
  <si>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</si>
  <si>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</si>
  <si>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</si>
  <si>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</si>
  <si>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</si>
  <si>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</si>
  <si>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</si>
  <si>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</si>
  <si>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</si>
  <si>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</si>
  <si>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</si>
  <si>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</si>
  <si>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</si>
  <si>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</si>
  <si>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</si>
  <si>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</si>
  <si>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</si>
  <si>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</si>
  <si>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</si>
  <si>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</si>
  <si>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</si>
  <si>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</si>
  <si>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</si>
  <si>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</si>
  <si>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</si>
  <si>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</si>
  <si>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</si>
  <si>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</si>
  <si>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</si>
  <si>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</si>
  <si>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</si>
  <si>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</si>
  <si>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</si>
  <si>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</si>
  <si>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</si>
  <si>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</si>
  <si>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</si>
  <si>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</si>
  <si>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</si>
  <si>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</si>
  <si>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</si>
  <si>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</si>
  <si>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</si>
  <si>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</si>
  <si>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</si>
  <si>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</si>
  <si>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</si>
  <si>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</si>
  <si>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</si>
  <si>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</si>
  <si>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</si>
  <si>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</si>
  <si>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</si>
  <si>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</si>
  <si>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</si>
  <si>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</si>
  <si>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</si>
  <si>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</si>
  <si>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</si>
  <si>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</si>
  <si>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</si>
  <si>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</si>
  <si>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</si>
  <si>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</si>
  <si>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</si>
  <si>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</si>
  <si>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</si>
  <si>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</si>
  <si>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</si>
  <si>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</si>
  <si>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</si>
  <si>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</si>
  <si>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</si>
  <si>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</si>
  <si>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</si>
  <si>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</si>
  <si>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</si>
  <si>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</si>
  <si>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</si>
  <si>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</si>
  <si>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</si>
  <si>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</si>
  <si>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</si>
  <si>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</si>
  <si>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</si>
  <si>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</si>
  <si>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</si>
  <si>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</si>
  <si>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</si>
  <si>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</si>
  <si>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</si>
  <si>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</si>
  <si>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</si>
  <si>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</si>
  <si>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</si>
  <si>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</si>
  <si>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</si>
  <si>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</si>
  <si>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</si>
  <si>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</si>
  <si>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</si>
  <si>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</si>
  <si>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</si>
  <si>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</si>
  <si>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</si>
  <si>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</si>
  <si>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</si>
  <si>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</si>
  <si>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</si>
  <si>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</si>
  <si>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</si>
  <si>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</si>
  <si>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</si>
  <si>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</si>
  <si>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</si>
  <si>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</si>
  <si>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</si>
  <si>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</si>
  <si>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</si>
  <si>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</si>
  <si>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</si>
  <si>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</si>
  <si>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</si>
  <si>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</si>
  <si>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</si>
  <si>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</si>
  <si>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</si>
  <si>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</si>
  <si>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</si>
  <si>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</si>
  <si>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</si>
  <si>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</si>
  <si>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</si>
  <si>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</si>
  <si>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</si>
  <si>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</si>
  <si>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</si>
  <si>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</si>
  <si>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</si>
  <si>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</si>
  <si>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</si>
  <si>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</si>
  <si>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</si>
  <si>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</si>
  <si>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</si>
  <si>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</si>
  <si>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</si>
  <si>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</si>
  <si>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</si>
  <si>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</si>
  <si>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</si>
  <si>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</si>
  <si>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</si>
  <si>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</si>
  <si>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</si>
  <si>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</si>
  <si>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</si>
  <si>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</si>
  <si>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</si>
  <si>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</si>
  <si>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</si>
  <si>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</si>
  <si>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</si>
  <si>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</si>
  <si>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</si>
  <si>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</si>
  <si>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</si>
  <si>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</si>
  <si>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</si>
  <si>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</si>
  <si>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</si>
  <si>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</si>
  <si>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</si>
  <si>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</si>
  <si>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</si>
  <si>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</si>
  <si>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</si>
  <si>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</si>
  <si>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</si>
  <si>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</si>
  <si>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</si>
  <si>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</si>
  <si>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</si>
  <si>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</si>
  <si>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</si>
  <si>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</si>
  <si>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</si>
  <si>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</si>
  <si>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</si>
  <si>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</si>
  <si>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</si>
  <si>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</si>
  <si>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</si>
  <si>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</si>
  <si>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</si>
  <si>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</si>
  <si>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</si>
  <si>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</si>
  <si>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</si>
  <si>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</si>
  <si>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</si>
  <si>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</si>
  <si>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</si>
  <si>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</si>
  <si>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</si>
  <si>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</si>
  <si>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</si>
  <si>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</si>
  <si>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</si>
  <si>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</si>
  <si>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</si>
  <si>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</si>
  <si>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</si>
  <si>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</si>
  <si>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</si>
  <si>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</si>
  <si>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</si>
  <si>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</si>
  <si>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</si>
  <si>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</si>
  <si>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</si>
  <si>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</si>
  <si>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</si>
  <si>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</si>
  <si>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</si>
  <si>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</si>
  <si>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</si>
  <si>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</si>
  <si>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</si>
  <si>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</si>
  <si>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</si>
  <si>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</si>
  <si>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</si>
  <si>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</si>
  <si>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</si>
  <si>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</si>
  <si>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</si>
  <si>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</si>
  <si>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</si>
  <si>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</si>
  <si>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</si>
  <si>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</si>
  <si>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</si>
  <si>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</si>
  <si>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</si>
  <si>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</si>
  <si>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</si>
  <si>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</si>
  <si>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</si>
  <si>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</si>
  <si>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</si>
  <si>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</si>
  <si>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</si>
  <si>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</si>
  <si>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</si>
  <si>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</si>
  <si>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</si>
  <si>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</si>
  <si>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</si>
  <si>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</si>
  <si>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</si>
  <si>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</si>
  <si>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</si>
  <si>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</si>
  <si>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</si>
  <si>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</si>
  <si>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</si>
  <si>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</si>
  <si>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</si>
  <si>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</si>
  <si>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</si>
  <si>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</si>
  <si>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</si>
  <si>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</si>
  <si>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</si>
  <si>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</si>
  <si>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</si>
  <si>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</si>
  <si>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</si>
  <si>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</si>
  <si>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</si>
  <si>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</si>
  <si>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</si>
  <si>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</si>
  <si>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</si>
  <si>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</si>
  <si>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</si>
  <si>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</si>
  <si>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</si>
  <si>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</si>
  <si>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</si>
  <si>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</si>
  <si>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</si>
  <si>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</si>
  <si>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</si>
  <si>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</si>
  <si>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</si>
  <si>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</si>
  <si>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</si>
  <si>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</si>
  <si>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</si>
  <si>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</si>
  <si>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</si>
  <si>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</si>
  <si>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</si>
  <si>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</si>
  <si>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</si>
  <si>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</si>
  <si>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</si>
  <si>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</si>
  <si>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</si>
  <si>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</si>
  <si>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</si>
  <si>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</si>
  <si>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</si>
  <si>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</si>
  <si>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</si>
  <si>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</si>
  <si>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</si>
  <si>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</si>
  <si>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</si>
  <si>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</si>
  <si>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</si>
  <si>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</si>
  <si>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</si>
  <si>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</si>
  <si>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</si>
  <si>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</si>
  <si>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</si>
  <si>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</si>
  <si>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</si>
  <si>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</si>
  <si>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</si>
  <si>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</si>
  <si>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</si>
  <si>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</si>
  <si>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</si>
  <si>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</si>
  <si>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</si>
  <si>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</si>
  <si>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</si>
  <si>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</si>
  <si>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</si>
  <si>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</si>
  <si>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</si>
  <si>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</si>
  <si>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</si>
  <si>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</si>
  <si>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</si>
  <si>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</si>
  <si>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</si>
  <si>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</si>
  <si>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</si>
  <si>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</si>
  <si>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</si>
  <si>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</si>
  <si>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</si>
  <si>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</si>
  <si>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</si>
  <si>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</si>
  <si>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</si>
  <si>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</si>
  <si>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</si>
  <si>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</si>
  <si>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</si>
  <si>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</si>
  <si>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</si>
  <si>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</si>
  <si>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</si>
  <si>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</si>
  <si>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</si>
  <si>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</si>
  <si>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</si>
  <si>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</si>
  <si>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</si>
  <si>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</si>
  <si>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</si>
  <si>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</si>
  <si>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</si>
  <si>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</si>
  <si>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</si>
  <si>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</si>
  <si>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</si>
  <si>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</si>
  <si>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</si>
  <si>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</si>
  <si>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</si>
  <si>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</si>
  <si>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</si>
  <si>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</si>
  <si>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</si>
  <si>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</si>
  <si>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</si>
  <si>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</si>
  <si>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</si>
  <si>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</si>
  <si>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</si>
  <si>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</si>
  <si>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</si>
  <si>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</si>
  <si>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</si>
  <si>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</si>
  <si>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</si>
  <si>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</si>
  <si>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</si>
  <si>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</si>
  <si>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</si>
  <si>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</si>
  <si>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</si>
  <si>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</si>
  <si>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</si>
  <si>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</si>
  <si>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</si>
  <si>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</si>
  <si>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</si>
  <si>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</si>
  <si>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</si>
  <si>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</si>
  <si>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</si>
  <si>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</si>
  <si>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</si>
  <si>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</si>
  <si>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</si>
  <si>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</si>
  <si>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</si>
  <si>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</si>
  <si>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</si>
  <si>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</si>
  <si>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</si>
  <si>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</si>
  <si>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</si>
  <si>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</si>
  <si>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</si>
  <si>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</si>
  <si>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</si>
  <si>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</si>
  <si>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</si>
  <si>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</si>
  <si>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</si>
  <si>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</si>
  <si>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</si>
  <si>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</si>
  <si>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</si>
  <si>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</si>
  <si>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</si>
  <si>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</si>
  <si>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</si>
  <si>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</si>
  <si>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</si>
  <si>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</si>
  <si>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</si>
  <si>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</si>
  <si>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</si>
  <si>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</si>
  <si>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</si>
  <si>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</si>
  <si>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</si>
  <si>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</si>
  <si>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</si>
  <si>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</si>
  <si>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</si>
  <si>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</si>
  <si>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</si>
  <si>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</si>
  <si>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</si>
  <si>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</si>
  <si>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</si>
  <si>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</si>
  <si>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</si>
  <si>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</si>
  <si>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</si>
  <si>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</si>
  <si>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</si>
  <si>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</si>
  <si>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</si>
  <si>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</si>
  <si>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</si>
  <si>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</si>
  <si>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</si>
  <si>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</si>
  <si>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</si>
  <si>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</si>
  <si>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</si>
  <si>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</si>
  <si>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</si>
  <si>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</si>
  <si>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</si>
  <si>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</si>
  <si>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</si>
  <si>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</si>
  <si>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</si>
  <si>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</si>
  <si>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</si>
  <si>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</si>
  <si>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</si>
  <si>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</si>
  <si>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</si>
  <si>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</si>
  <si>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</si>
  <si>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</si>
  <si>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</si>
  <si>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</si>
  <si>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</si>
  <si>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</si>
  <si>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</si>
  <si>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</si>
  <si>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</si>
  <si>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</si>
  <si>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</si>
  <si>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</si>
  <si>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</si>
  <si>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</si>
  <si>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</si>
  <si>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</si>
  <si>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</si>
  <si>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</si>
  <si>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</si>
  <si>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</si>
  <si>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</si>
  <si>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</si>
  <si>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</si>
  <si>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</si>
  <si>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</si>
  <si>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</si>
  <si>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</si>
  <si>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</si>
  <si>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</si>
  <si>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</si>
  <si>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</si>
  <si>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</si>
  <si>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</si>
  <si>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</si>
  <si>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</si>
  <si>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</si>
  <si>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</si>
  <si>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</si>
  <si>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</si>
  <si>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</si>
  <si>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</si>
  <si>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</si>
  <si>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</si>
  <si>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</si>
  <si>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</si>
  <si>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</si>
  <si>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</si>
  <si>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</si>
  <si>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</si>
  <si>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</si>
  <si>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</si>
  <si>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</si>
  <si>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</si>
  <si>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</si>
  <si>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</si>
  <si>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</si>
  <si>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</si>
  <si>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</si>
  <si>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</si>
  <si>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</si>
  <si>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</si>
  <si>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</si>
  <si>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</si>
  <si>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</si>
  <si>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</si>
  <si>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</si>
  <si>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</si>
  <si>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</si>
  <si>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</si>
  <si>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</si>
  <si>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</si>
  <si>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</si>
  <si>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</si>
  <si>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</si>
  <si>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</si>
  <si>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</si>
  <si>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</si>
  <si>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</si>
  <si>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</si>
  <si>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</si>
  <si>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</si>
  <si>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</si>
  <si>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</si>
  <si>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</si>
  <si>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</si>
  <si>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</si>
  <si>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</si>
  <si>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</si>
  <si>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</si>
  <si>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</si>
  <si>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</si>
  <si>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</si>
  <si>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</si>
  <si>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</si>
  <si>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</si>
  <si>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</si>
  <si>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</si>
  <si>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</si>
  <si>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</si>
  <si>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</si>
  <si>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</si>
  <si>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</si>
  <si>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</si>
  <si>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</si>
  <si>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</si>
  <si>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</si>
  <si>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</si>
  <si>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</si>
  <si>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</si>
  <si>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</si>
  <si>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</si>
  <si>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</si>
  <si>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</si>
  <si>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</si>
  <si>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</si>
  <si>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</si>
  <si>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</si>
  <si>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</si>
  <si>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</si>
  <si>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</si>
  <si>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</si>
  <si>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</si>
  <si>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</si>
  <si>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</si>
  <si>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</si>
  <si>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</si>
  <si>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</si>
  <si>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</si>
  <si>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</si>
  <si>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</si>
  <si>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</si>
  <si>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</si>
  <si>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</si>
  <si>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</si>
  <si>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</si>
  <si>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</si>
  <si>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</si>
  <si>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</si>
  <si>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</si>
  <si>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</si>
  <si>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</si>
  <si>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</si>
  <si>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</si>
  <si>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</si>
  <si>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</si>
  <si>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</si>
  <si>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</si>
  <si>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</si>
  <si>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</si>
  <si>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</si>
  <si>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</si>
  <si>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</si>
  <si>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</si>
  <si>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</si>
  <si>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</si>
  <si>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</si>
  <si>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</si>
  <si>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</si>
  <si>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</si>
  <si>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</si>
  <si>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核定资产</t>
  </si>
  <si>
    <t>市场价格</t>
  </si>
  <si>
    <t>企业</t>
  </si>
  <si>
    <t>北京市朝阳区十里堡1号</t>
    <phoneticPr fontId="6" type="noConversion"/>
  </si>
  <si>
    <t>是</t>
  </si>
  <si>
    <t>地上</t>
  </si>
  <si>
    <t>自定义容积率</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</si>
  <si>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</si>
  <si>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</si>
  <si>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</si>
  <si>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</si>
  <si>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</si>
  <si>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</si>
  <si>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</si>
  <si>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</si>
  <si>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</si>
  <si>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</si>
  <si>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</si>
  <si>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</si>
  <si>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</si>
  <si>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</si>
  <si>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</si>
  <si>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</si>
  <si>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征地补偿及相关税费（万元）</t>
    <phoneticPr fontId="224" type="noConversion"/>
  </si>
  <si>
    <t>拆迁补偿及相关税费（万元）</t>
    <phoneticPr fontId="224" type="noConversion"/>
  </si>
  <si>
    <t>收储</t>
    <phoneticPr fontId="224" type="noConversion"/>
  </si>
  <si>
    <t>单价</t>
    <phoneticPr fontId="224" type="noConversion"/>
  </si>
  <si>
    <t>总用地面积（公顷）</t>
  </si>
  <si>
    <t>建设用地面积（公顷）</t>
  </si>
  <si>
    <t>石景山区</t>
  </si>
  <si>
    <t>公开出让</t>
  </si>
  <si>
    <t>石景山区1609街区新首钢核心区1609-014、018、019、032地块</t>
  </si>
  <si>
    <t>北京市土地储备中心</t>
  </si>
  <si>
    <t>收储</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</si>
  <si>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</si>
  <si>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</si>
  <si>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1.增加电力费用前：87758.33；
2.增加电力费用后：
89422.94。</t>
  </si>
  <si>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phoneticPr fontId="224" type="noConversion"/>
  </si>
  <si>
    <t xml:space="preserve">本次提请研究地块不涉及征地；1609-014、018、019地块已完成拆除工作，032地块北侧原首钢烧结厂车间进入项目红线0.24平方米正在拆除，预计5月22日完成拆除工作。
</t>
  </si>
  <si>
    <t>丰台区</t>
  </si>
  <si>
    <t>丰台区丽泽金融商务区南区土地一级开发项目FT00-0612-0016等地块</t>
  </si>
  <si>
    <t>北京丽泽开发建设有限公司</t>
  </si>
  <si>
    <t>一级开发</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</si>
  <si>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</si>
  <si>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</si>
  <si>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</si>
  <si>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本次提请研究地块已取得征地批复及征地结案，拆迁工作全部完成。</t>
  </si>
  <si>
    <t>朝阳区</t>
  </si>
  <si>
    <t>朝阳区小红门乡剩余土地一级开发项目11号地</t>
  </si>
  <si>
    <t>北京市朝阳区规划和自然资源综合事务中心</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</si>
  <si>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</si>
  <si>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</si>
  <si>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</si>
  <si>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</si>
  <si>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</si>
  <si>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</si>
  <si>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</si>
  <si>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</si>
  <si>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</si>
  <si>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</si>
  <si>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</si>
  <si>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</si>
  <si>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</si>
  <si>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</si>
  <si>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</si>
  <si>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</si>
  <si>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</si>
  <si>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丰台区青龙湖国际文化会都核心区土地一级开发项目C地块（北侧）FT00-0503-L01、03、04、06</t>
    <phoneticPr fontId="224" type="noConversion"/>
  </si>
  <si>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</si>
  <si>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</si>
  <si>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</si>
  <si>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</si>
  <si>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</si>
  <si>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</si>
  <si>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</si>
  <si>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</si>
  <si>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</si>
  <si>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</si>
  <si>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</si>
  <si>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</si>
  <si>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</si>
  <si>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</si>
  <si>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</si>
  <si>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</si>
  <si>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</si>
  <si>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</si>
  <si>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</si>
  <si>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</si>
  <si>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石景山区五里坨建设组团土地一级开发项目03A、04C地块</t>
  </si>
  <si>
    <t>北京市土地储备中心及北京市土地整理储备中心石景山区分中心</t>
  </si>
  <si>
    <t xml:space="preserve">R2二类居住用地、F3多功能用地
</t>
  </si>
  <si>
    <r>
      <rPr>
        <sz val="10"/>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0"/>
        <color theme="1"/>
        <rFont val="宋体"/>
        <family val="3"/>
        <charset val="134"/>
      </rPr>
      <t>通电（管沟）</t>
    </r>
    <r>
      <rPr>
        <sz val="10"/>
        <color rgb="FF000000"/>
        <rFont val="宋体"/>
        <family val="3"/>
        <charset val="134"/>
      </rPr>
      <t>，通燃气，通热力]和场地自然平整，以上工作由区土地储备分中心负责于二级竣工验收前完成。</t>
    </r>
  </si>
  <si>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</si>
  <si>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石景山区中关村科技园石景山园北Ⅱ区西井地块土地一级开发项目1606-605地块</t>
    <phoneticPr fontId="224" type="noConversion"/>
  </si>
  <si>
    <t>北京市土地整理储备中心石景山区分中心</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</si>
  <si>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</si>
  <si>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</si>
  <si>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</si>
  <si>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丰台</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</si>
  <si>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</si>
  <si>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</si>
  <si>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</si>
  <si>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</si>
  <si>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</si>
  <si>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</si>
  <si>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</si>
  <si>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</si>
  <si>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</si>
  <si>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本次审核地块已取得征地批复及征地结案，拆迁工作全部完成。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</si>
  <si>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</si>
  <si>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</si>
  <si>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</si>
  <si>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</si>
  <si>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石景山</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</si>
  <si>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</si>
  <si>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</si>
  <si>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</si>
  <si>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</si>
  <si>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</si>
  <si>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</si>
  <si>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</si>
  <si>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</si>
  <si>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</si>
  <si>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</si>
  <si>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</si>
  <si>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</si>
  <si>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</si>
  <si>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</si>
  <si>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</si>
  <si>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</si>
  <si>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</si>
  <si>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石景山首钢园区东南区土地一级开发项目
1612-763、824、830、831地块</t>
  </si>
  <si>
    <t>北京首钢建设投资有限公司</t>
  </si>
  <si>
    <t>R2二类居住用地、F2公建混合住宅用地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</si>
  <si>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phoneticPr fontId="224" type="noConversion"/>
  </si>
  <si>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</si>
  <si>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本次审核地块已取得征地结案</t>
  </si>
  <si>
    <t>刘娘府综合改造项目1604-654-1、654-2、696、728-1地块</t>
  </si>
  <si>
    <t>R2二类居住用地、B4综合性商业金融服务业用地、A334基础教育用地</t>
  </si>
  <si>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phoneticPr fontId="224" type="noConversion"/>
  </si>
  <si>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</si>
  <si>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</si>
  <si>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</si>
  <si>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</si>
  <si>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</si>
  <si>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</si>
  <si>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海淀区</t>
  </si>
  <si>
    <t>海淀区建工四建企业利用自用地建设共有产权房项目</t>
  </si>
  <si>
    <t>北京市土地整理储备中心</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</si>
  <si>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</si>
  <si>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</si>
  <si>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</si>
  <si>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</si>
  <si>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</si>
  <si>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 xml:space="preserve">丰台区城乡一体化周庄子村旧村改造项目二期（ZZZ-06等地块） </t>
    <phoneticPr fontId="224" type="noConversion"/>
  </si>
  <si>
    <t>北京市土地整理储备中心丰台区分中心</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</si>
  <si>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</si>
  <si>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phoneticPr fontId="224" type="noConversion"/>
  </si>
  <si>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</si>
  <si>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</si>
  <si>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朝阳区王四营乡土地一级开发项目一期1304-L04地块</t>
  </si>
  <si>
    <t xml:space="preserve">北京市土地整理储备中心朝阳分中心 </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</si>
  <si>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4" type="noConversion"/>
  </si>
  <si>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</si>
  <si>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</si>
  <si>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</si>
  <si>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4" type="noConversion"/>
  </si>
  <si>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</si>
  <si>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</si>
  <si>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丰台区万泉寺住宅小区土地一级开发项目A地块</t>
  </si>
  <si>
    <t>北京市土地整理储备中心丰台分中心</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</si>
  <si>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</si>
  <si>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phoneticPr fontId="224" type="noConversion"/>
  </si>
  <si>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</si>
  <si>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</si>
  <si>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</si>
  <si>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</si>
  <si>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</si>
  <si>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</si>
  <si>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</si>
  <si>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</si>
  <si>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phoneticPr fontId="224" type="noConversion"/>
  </si>
  <si>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</si>
  <si>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</si>
  <si>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4"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</si>
  <si>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4" type="noConversion"/>
  </si>
  <si>
    <t>本次审核地块已取得征地批复，拆迁工作基本完成。</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</si>
  <si>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</si>
  <si>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phoneticPr fontId="224" type="noConversion"/>
  </si>
  <si>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phoneticPr fontId="224" type="noConversion"/>
  </si>
  <si>
    <t>丰台区青龙湖国际文化会都核心区土地一级开发项目C地块（北侧）FT00-0503-L01、FT00-0503-L04、FT00-0503-L06、FT00-0503-L03和B地块FT00-0503-L32、34、35</t>
    <phoneticPr fontId="224" type="noConversion"/>
  </si>
  <si>
    <t>正常</t>
  </si>
  <si>
    <t>2021-3</t>
  </si>
  <si>
    <t>2021-3</t>
    <phoneticPr fontId="224" type="noConversion"/>
  </si>
  <si>
    <t>2021-2</t>
  </si>
  <si>
    <t>2021-2</t>
    <phoneticPr fontId="224" type="noConversion"/>
  </si>
  <si>
    <t>2021-1</t>
  </si>
  <si>
    <t>2021-1</t>
    <phoneticPr fontId="224" type="noConversion"/>
  </si>
  <si>
    <t>划拨</t>
  </si>
  <si>
    <t>不临65条商业街</t>
  </si>
  <si>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</si>
  <si>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</si>
  <si>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</si>
  <si>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</si>
  <si>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</si>
  <si>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</si>
  <si>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</si>
  <si>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</si>
  <si>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</si>
  <si>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</si>
  <si>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</si>
  <si>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</si>
  <si>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</si>
  <si>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</si>
  <si>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</si>
  <si>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</si>
  <si>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B</t>
    </r>
    <phoneticPr fontId="3" type="noConversion"/>
  </si>
  <si>
    <r>
      <rPr>
        <sz val="11"/>
        <color theme="9" tint="-0.249977111117893"/>
        <rFont val="仿宋_GB2312"/>
        <family val="3"/>
        <charset val="134"/>
      </rPr>
      <t>项目位置</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</si>
  <si>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</si>
  <si>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</si>
  <si>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</si>
  <si>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</si>
  <si>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</si>
  <si>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</si>
  <si>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</si>
  <si>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</si>
  <si>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</si>
  <si>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</si>
  <si>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t>100/</t>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</si>
  <si>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</si>
  <si>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</si>
  <si>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</si>
  <si>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</si>
  <si>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</si>
  <si>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</si>
  <si>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r>
      <rPr>
        <sz val="11"/>
        <rFont val="仿宋_GB2312"/>
        <family val="3"/>
        <charset val="134"/>
      </rPr>
      <t>区位状况</t>
    </r>
    <phoneticPr fontId="3" type="noConversion"/>
  </si>
  <si>
    <t>一般</t>
  </si>
  <si>
    <t>较好</t>
  </si>
  <si>
    <r>
      <rPr>
        <sz val="11"/>
        <color indexed="8"/>
        <rFont val="仿宋_GB2312"/>
        <family val="3"/>
        <charset val="134"/>
      </rPr>
      <t>交通便捷度</t>
    </r>
    <phoneticPr fontId="3" type="noConversion"/>
  </si>
  <si>
    <t>100/</t>
    <phoneticPr fontId="3" type="noConversion"/>
  </si>
  <si>
    <t>较差</t>
  </si>
  <si>
    <r>
      <rPr>
        <sz val="11"/>
        <color indexed="8"/>
        <rFont val="仿宋_GB2312"/>
        <family val="3"/>
        <charset val="134"/>
      </rPr>
      <t>环境状况</t>
    </r>
    <phoneticPr fontId="3" type="noConversion"/>
  </si>
  <si>
    <t>基础设施水平</t>
    <phoneticPr fontId="3" type="noConversion"/>
  </si>
  <si>
    <t>七通</t>
  </si>
  <si>
    <t>单面临街</t>
  </si>
  <si>
    <r>
      <rPr>
        <sz val="11"/>
        <color indexed="8"/>
        <rFont val="仿宋_GB2312"/>
        <family val="3"/>
        <charset val="134"/>
      </rPr>
      <t>土地级别</t>
    </r>
    <phoneticPr fontId="3" type="noConversion"/>
  </si>
  <si>
    <t>个别因素</t>
    <phoneticPr fontId="3" type="noConversion"/>
  </si>
  <si>
    <t>较规则，无影响</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</si>
  <si>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</si>
  <si>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</si>
  <si>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</si>
  <si>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</si>
  <si>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</si>
  <si>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</si>
  <si>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</si>
  <si>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</si>
  <si>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</si>
  <si>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</si>
  <si>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</si>
  <si>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</si>
  <si>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</si>
  <si>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</si>
  <si>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</si>
  <si>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</si>
  <si>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</si>
  <si>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</si>
  <si>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</si>
  <si>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</si>
  <si>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</si>
  <si>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</si>
  <si>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</si>
  <si>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t>工业</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</si>
  <si>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</si>
  <si>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</si>
  <si>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</si>
  <si>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</si>
  <si>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</si>
  <si>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</si>
  <si>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</si>
  <si>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</si>
  <si>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</si>
  <si>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</si>
  <si>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</si>
  <si>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一般</t>
    </r>
    <phoneticPr fontId="3" type="noConversion"/>
  </si>
  <si>
    <r>
      <rPr>
        <sz val="11"/>
        <color indexed="8"/>
        <rFont val="仿宋_GB2312"/>
        <family val="3"/>
        <charset val="134"/>
      </rPr>
      <t>自然及人文环境状况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</si>
  <si>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</si>
  <si>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</si>
  <si>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</si>
  <si>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</si>
  <si>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</si>
  <si>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</si>
  <si>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</si>
  <si>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</si>
  <si>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</si>
  <si>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</si>
  <si>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</si>
  <si>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</si>
  <si>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</si>
  <si>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</si>
  <si>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</si>
  <si>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t>快速路</t>
    <phoneticPr fontId="224" type="noConversion"/>
  </si>
  <si>
    <t>主干道</t>
    <phoneticPr fontId="224" type="noConversion"/>
  </si>
  <si>
    <t>次干道</t>
    <phoneticPr fontId="224" type="noConversion"/>
  </si>
  <si>
    <t>支路</t>
    <phoneticPr fontId="224" type="noConversion"/>
  </si>
  <si>
    <r>
      <rPr>
        <sz val="11"/>
        <color indexed="8"/>
        <rFont val="仿宋_GB2312"/>
        <family val="3"/>
        <charset val="134"/>
      </rPr>
      <t>土地级别</t>
    </r>
    <phoneticPr fontId="3" type="noConversion"/>
  </si>
  <si>
    <t>六级</t>
    <phoneticPr fontId="224" type="noConversion"/>
  </si>
  <si>
    <t>七级</t>
    <phoneticPr fontId="224" type="noConversion"/>
  </si>
  <si>
    <t>八级</t>
    <phoneticPr fontId="224" type="noConversion"/>
  </si>
  <si>
    <t>九级</t>
    <phoneticPr fontId="224"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</si>
  <si>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</si>
  <si>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</si>
  <si>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</si>
  <si>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较规则，无影响</t>
    <phoneticPr fontId="224" type="noConversion"/>
  </si>
  <si>
    <t>宗地开发程度</t>
    <phoneticPr fontId="3" type="noConversion"/>
  </si>
  <si>
    <t>七通</t>
    <phoneticPr fontId="224" type="noConversion"/>
  </si>
  <si>
    <t>六通</t>
    <phoneticPr fontId="224" type="noConversion"/>
  </si>
  <si>
    <t>五通</t>
    <phoneticPr fontId="224" type="noConversion"/>
  </si>
  <si>
    <r>
      <rPr>
        <sz val="11"/>
        <color indexed="8"/>
        <rFont val="仿宋_GB2312"/>
        <family val="3"/>
        <charset val="134"/>
      </rPr>
      <t>工程地质条件</t>
    </r>
    <phoneticPr fontId="3" type="noConversion"/>
  </si>
  <si>
    <t>序号</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</si>
  <si>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</si>
  <si>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</si>
  <si>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</si>
  <si>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</si>
  <si>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</si>
  <si>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</si>
  <si>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</si>
  <si>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</si>
  <si>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</si>
  <si>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</si>
  <si>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</si>
  <si>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</si>
  <si>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</si>
  <si>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</si>
  <si>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</si>
  <si>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</si>
  <si>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</si>
  <si>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</si>
  <si>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</si>
  <si>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</si>
  <si>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</si>
  <si>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</si>
  <si>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</si>
  <si>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</si>
  <si>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</si>
  <si>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</si>
  <si>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</si>
  <si>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</si>
  <si>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</si>
  <si>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</si>
  <si>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</si>
  <si>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</si>
  <si>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</si>
  <si>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</si>
  <si>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</si>
  <si>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</si>
  <si>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</si>
  <si>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2021-3</t>
    <phoneticPr fontId="224" type="noConversion"/>
  </si>
  <si>
    <t>宗地形状不规则，但对宗地利用影响较小</t>
    <phoneticPr fontId="224" type="noConversion"/>
  </si>
  <si>
    <t>较规则，但对宗地利用影响较小</t>
    <phoneticPr fontId="224" type="noConversion"/>
  </si>
  <si>
    <t>较不规则，对宗地利用影响较小</t>
  </si>
  <si>
    <t>较不规则，对宗地利用影响较小</t>
    <phoneticPr fontId="224" type="noConversion"/>
  </si>
  <si>
    <t>利息：取LPR加浮动点数</t>
  </si>
  <si>
    <r>
      <rPr>
        <b/>
        <sz val="12"/>
        <rFont val="仿宋_GB2312"/>
        <family val="3"/>
        <charset val="134"/>
      </rPr>
      <t>总价</t>
    </r>
    <phoneticPr fontId="3" type="noConversion"/>
  </si>
  <si>
    <t>较不规则</t>
  </si>
  <si>
    <t>较规则</t>
  </si>
  <si>
    <t>七通一平</t>
  </si>
  <si>
    <t>五通一平</t>
  </si>
  <si>
    <t>地下办公（含物业）</t>
    <phoneticPr fontId="3" type="noConversion"/>
  </si>
  <si>
    <t>2020-2</t>
  </si>
  <si>
    <t>2020-1</t>
  </si>
  <si>
    <t>2019-2</t>
  </si>
  <si>
    <t>2019-1</t>
  </si>
  <si>
    <t>2018-2</t>
  </si>
  <si>
    <t>2018-1</t>
  </si>
  <si>
    <r>
      <rPr>
        <sz val="11"/>
        <color indexed="8"/>
        <rFont val="仿宋_GB2312"/>
        <family val="3"/>
        <charset val="134"/>
      </rPr>
      <t>好</t>
    </r>
    <phoneticPr fontId="3" type="noConversion"/>
  </si>
  <si>
    <t>较不规则</t>
    <phoneticPr fontId="3" type="noConversion"/>
  </si>
  <si>
    <t>七通一平</t>
    <phoneticPr fontId="3" type="noConversion"/>
  </si>
  <si>
    <t>六通一平</t>
    <phoneticPr fontId="3" type="noConversion"/>
  </si>
  <si>
    <t>五通一平</t>
    <phoneticPr fontId="3" type="noConversion"/>
  </si>
  <si>
    <t>较好</t>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</si>
  <si>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</si>
  <si>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</si>
  <si>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</si>
  <si>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</si>
  <si>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100/</t>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</si>
  <si>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</si>
  <si>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</si>
  <si>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 type="noConversion"/>
  </si>
  <si>
    <r>
      <rPr>
        <b/>
        <sz val="11"/>
        <rFont val="仿宋_GB2312"/>
        <family val="3"/>
        <charset val="134"/>
      </rPr>
      <t>总修正幅度不超过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</si>
  <si>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</si>
  <si>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</si>
  <si>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</si>
  <si>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</si>
  <si>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</si>
  <si>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</si>
  <si>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</si>
  <si>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</si>
  <si>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</si>
  <si>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</si>
  <si>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</si>
  <si>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</si>
  <si>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</si>
  <si>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</si>
  <si>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</si>
  <si>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t>2020-3</t>
    <phoneticPr fontId="3" type="noConversion"/>
  </si>
  <si>
    <t>2018-3</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</si>
  <si>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</si>
  <si>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</si>
  <si>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</si>
  <si>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收储</t>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</si>
  <si>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</si>
  <si>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</si>
  <si>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b/>
        <sz val="11"/>
        <rFont val="仿宋_GB2312"/>
        <family val="3"/>
        <charset val="134"/>
      </rPr>
      <t>区位状况</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</si>
  <si>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</si>
  <si>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</si>
  <si>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</si>
  <si>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</si>
  <si>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t>公共配套设施</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</si>
  <si>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</si>
  <si>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</si>
  <si>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</si>
  <si>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</si>
  <si>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</si>
  <si>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宗地开发程度</t>
    <phoneticPr fontId="3" type="noConversion"/>
  </si>
  <si>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</si>
  <si>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</si>
  <si>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</si>
  <si>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</si>
  <si>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</si>
  <si>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</si>
  <si>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</si>
  <si>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</si>
  <si>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</si>
  <si>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交易/出报告日期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</si>
  <si>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</si>
  <si>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</si>
  <si>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</si>
  <si>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</si>
  <si>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</si>
  <si>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</si>
  <si>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</si>
  <si>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</si>
  <si>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</si>
  <si>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海淀区清河安宁庄东路1号</t>
    <phoneticPr fontId="224" type="noConversion"/>
  </si>
  <si>
    <t>北京金隅股份有限公司</t>
    <phoneticPr fontId="224" type="noConversion"/>
  </si>
  <si>
    <t>划拨</t>
    <phoneticPr fontId="224" type="noConversion"/>
  </si>
  <si>
    <t>丰台区南四环中路10号</t>
    <phoneticPr fontId="224" type="noConversion"/>
  </si>
  <si>
    <t>北京环境卫生工程集团有限公司</t>
    <phoneticPr fontId="224" type="noConversion"/>
  </si>
  <si>
    <t>顺义区南法信地区刘家河村顺余东路1号</t>
    <phoneticPr fontId="224" type="noConversion"/>
  </si>
  <si>
    <t>广播器材厂</t>
    <phoneticPr fontId="224" type="noConversion"/>
  </si>
  <si>
    <t>丰台区大红门西后街甲1号“鸿都国际轻纺城”项目</t>
    <phoneticPr fontId="224" type="noConversion"/>
  </si>
  <si>
    <t>北京铁路局工电重点维修处</t>
    <phoneticPr fontId="224" type="noConversion"/>
  </si>
  <si>
    <t>搬迁</t>
    <phoneticPr fontId="224" type="noConversion"/>
  </si>
  <si>
    <t>仓储</t>
    <phoneticPr fontId="224" type="noConversion"/>
  </si>
  <si>
    <t>kz</t>
    <phoneticPr fontId="224" type="noConversion"/>
  </si>
  <si>
    <t>成本逼近法</t>
  </si>
  <si>
    <t>比较法-工业</t>
  </si>
  <si>
    <t>评估结果一览表</t>
    <phoneticPr fontId="224" type="noConversion"/>
  </si>
  <si>
    <t>序号</t>
    <phoneticPr fontId="224" type="noConversion"/>
  </si>
  <si>
    <t>项目名称</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</si>
  <si>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</si>
  <si>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</si>
  <si>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</si>
  <si>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</si>
  <si>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</si>
  <si>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</si>
  <si>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</si>
  <si>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</si>
  <si>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</si>
  <si>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</si>
  <si>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亩</t>
    <phoneticPr fontId="224" type="noConversion"/>
  </si>
  <si>
    <t>无</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</si>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</sst>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 numFmtId="197" formatCode="0.0000"/>
    <numFmt numFmtId="198" formatCode="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10"/>
      <name val="宋体"/>
      <family val="3"/>
      <charset val="134"/>
      <scheme val="minor"/>
    </font>
    <font>
      <b/>
      <sz val="9"/>
      <name val="宋体"/>
      <family val="3"/>
      <charset val="134"/>
      <scheme val="major"/>
    </font>
    <font>
      <sz val="10"/>
      <color indexed="8"/>
      <name val="宋体"/>
      <family val="3"/>
      <charset val="134"/>
      <scheme val="minor"/>
    </font>
    <font>
      <sz val="11"/>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141" fillId="0" borderId="0">
      <alignment vertical="center"/>
    </xf>
    <xf numFmtId="195" fontId="141" fillId="0" borderId="0">
      <alignment vertical="center"/>
    </xf>
    <xf numFmtId="0" fontId="250" fillId="0" borderId="0"/>
  </cellStyleXfs>
  <cellXfs count="4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95" fontId="300" fillId="0" borderId="2" xfId="17" applyFont="1" applyFill="1" applyBorder="1" applyAlignment="1">
      <alignment horizontal="center" vertical="center"/>
    </xf>
    <xf numFmtId="195" fontId="300" fillId="0" borderId="2" xfId="17" applyFont="1" applyFill="1" applyBorder="1" applyAlignment="1">
      <alignment horizontal="center" vertical="center" wrapText="1"/>
    </xf>
    <xf numFmtId="195" fontId="160" fillId="0" borderId="0" xfId="17" applyFont="1" applyAlignment="1"/>
    <xf numFmtId="195" fontId="160" fillId="0" borderId="0" xfId="17" applyFont="1" applyFill="1" applyBorder="1" applyAlignment="1"/>
    <xf numFmtId="195" fontId="160" fillId="0" borderId="0" xfId="17" applyFont="1" applyFill="1" applyAlignment="1"/>
    <xf numFmtId="195" fontId="253" fillId="8" borderId="2" xfId="19" applyFont="1" applyFill="1" applyBorder="1" applyAlignment="1">
      <alignment horizontal="justify" vertical="center" wrapText="1"/>
    </xf>
    <xf numFmtId="195" fontId="253" fillId="8" borderId="21" xfId="19" applyFont="1" applyFill="1" applyBorder="1" applyAlignment="1">
      <alignment horizontal="justify" vertical="center" wrapText="1"/>
    </xf>
    <xf numFmtId="195" fontId="253" fillId="8" borderId="21" xfId="19" applyFont="1" applyFill="1" applyBorder="1" applyAlignment="1">
      <alignment horizontal="justify" vertical="center"/>
    </xf>
    <xf numFmtId="195" fontId="253" fillId="24" borderId="2" xfId="19" applyFont="1" applyFill="1" applyBorder="1" applyAlignment="1">
      <alignment horizontal="justify" vertical="center" wrapText="1"/>
    </xf>
    <xf numFmtId="195" fontId="253" fillId="24" borderId="21" xfId="19" applyFont="1" applyFill="1" applyBorder="1" applyAlignment="1">
      <alignment horizontal="justify" vertical="center" wrapText="1"/>
    </xf>
    <xf numFmtId="195" fontId="253" fillId="24" borderId="21" xfId="19" applyFont="1" applyFill="1" applyBorder="1" applyAlignment="1">
      <alignment horizontal="justify" vertical="center"/>
    </xf>
    <xf numFmtId="177" fontId="123" fillId="0" borderId="2" xfId="17" applyNumberFormat="1" applyFont="1" applyFill="1" applyBorder="1" applyAlignment="1">
      <alignment horizontal="center" vertical="center" wrapText="1"/>
    </xf>
    <xf numFmtId="195" fontId="78" fillId="0" borderId="2" xfId="17" applyFont="1" applyFill="1" applyBorder="1" applyAlignment="1">
      <alignment vertical="center" wrapText="1"/>
    </xf>
    <xf numFmtId="177" fontId="78" fillId="0" borderId="2" xfId="17" applyNumberFormat="1" applyFont="1" applyFill="1" applyBorder="1" applyAlignment="1">
      <alignment horizontal="center" vertical="center" wrapText="1"/>
    </xf>
    <xf numFmtId="177" fontId="123" fillId="0" borderId="2" xfId="17" applyNumberFormat="1" applyFont="1" applyFill="1" applyBorder="1" applyAlignment="1">
      <alignment horizontal="left" vertical="center" wrapText="1"/>
    </xf>
    <xf numFmtId="195" fontId="123" fillId="8" borderId="2" xfId="19" applyFont="1" applyFill="1" applyBorder="1" applyAlignment="1">
      <alignment horizontal="justify" vertical="center"/>
    </xf>
    <xf numFmtId="195" fontId="253" fillId="0" borderId="2" xfId="19" applyFont="1" applyFill="1" applyBorder="1" applyAlignment="1">
      <alignment horizontal="center" vertical="center" wrapText="1"/>
    </xf>
    <xf numFmtId="195" fontId="253" fillId="0" borderId="2" xfId="19" applyFont="1" applyFill="1" applyBorder="1" applyAlignment="1">
      <alignment vertical="center" wrapText="1"/>
    </xf>
    <xf numFmtId="177" fontId="78" fillId="0" borderId="2" xfId="17" applyNumberFormat="1" applyFont="1" applyFill="1" applyBorder="1" applyAlignment="1">
      <alignment horizontal="left" vertical="center" wrapText="1"/>
    </xf>
    <xf numFmtId="195" fontId="253" fillId="8" borderId="2" xfId="19" applyFont="1" applyFill="1" applyBorder="1" applyAlignment="1">
      <alignment horizontal="justify" vertical="center"/>
    </xf>
    <xf numFmtId="195" fontId="78" fillId="0" borderId="2" xfId="19" applyFont="1" applyFill="1" applyBorder="1" applyAlignment="1">
      <alignment horizontal="center" vertical="center" wrapText="1"/>
    </xf>
    <xf numFmtId="195" fontId="78" fillId="0" borderId="0" xfId="17" applyFont="1" applyFill="1" applyAlignment="1">
      <alignment vertical="center"/>
    </xf>
    <xf numFmtId="195" fontId="160" fillId="0" borderId="0" xfId="17" applyFont="1" applyFill="1" applyAlignment="1">
      <alignment vertical="center"/>
    </xf>
    <xf numFmtId="177" fontId="78" fillId="24" borderId="2" xfId="17" applyNumberFormat="1" applyFont="1" applyFill="1" applyBorder="1" applyAlignment="1">
      <alignment horizontal="center" vertical="center" wrapText="1"/>
    </xf>
    <xf numFmtId="177" fontId="78" fillId="24" borderId="2" xfId="17" applyNumberFormat="1" applyFont="1" applyFill="1" applyBorder="1" applyAlignment="1">
      <alignment horizontal="left" vertical="center" wrapText="1"/>
    </xf>
    <xf numFmtId="195" fontId="253" fillId="24" borderId="2" xfId="19" applyFont="1" applyFill="1" applyBorder="1" applyAlignment="1">
      <alignment horizontal="justify" vertical="center"/>
    </xf>
    <xf numFmtId="195" fontId="78" fillId="24" borderId="2" xfId="19" applyFont="1" applyFill="1" applyBorder="1" applyAlignment="1">
      <alignment horizontal="center" vertical="center" wrapText="1"/>
    </xf>
    <xf numFmtId="195" fontId="123" fillId="0" borderId="2" xfId="19" applyFont="1" applyFill="1" applyBorder="1" applyAlignment="1">
      <alignment vertical="center" wrapText="1"/>
    </xf>
    <xf numFmtId="195" fontId="123" fillId="0" borderId="2" xfId="19" applyFont="1" applyFill="1" applyBorder="1" applyAlignment="1">
      <alignment horizontal="center" vertical="center" wrapText="1"/>
    </xf>
    <xf numFmtId="195" fontId="78" fillId="0" borderId="2" xfId="19" applyFont="1" applyFill="1" applyBorder="1" applyAlignment="1">
      <alignment horizontal="justify" vertical="center"/>
    </xf>
    <xf numFmtId="196" fontId="78" fillId="0" borderId="2" xfId="19" applyNumberFormat="1" applyFont="1" applyFill="1" applyBorder="1" applyAlignment="1">
      <alignment horizontal="center" vertical="center" wrapText="1"/>
    </xf>
    <xf numFmtId="180" fontId="253" fillId="0" borderId="2" xfId="17" applyNumberFormat="1" applyFont="1" applyFill="1" applyBorder="1" applyAlignment="1">
      <alignment horizontal="left" vertical="center" wrapText="1" readingOrder="1"/>
    </xf>
    <xf numFmtId="180" fontId="196" fillId="0" borderId="2" xfId="17" applyNumberFormat="1" applyFont="1" applyFill="1" applyBorder="1" applyAlignment="1">
      <alignment horizontal="center" vertical="center" wrapText="1" readingOrder="1"/>
    </xf>
    <xf numFmtId="195" fontId="78" fillId="0" borderId="0" xfId="17" applyFont="1" applyFill="1" applyAlignment="1">
      <alignment horizontal="center" vertical="center"/>
    </xf>
    <xf numFmtId="195" fontId="78" fillId="0" borderId="2" xfId="19" applyFont="1" applyFill="1" applyBorder="1" applyAlignment="1">
      <alignment vertical="center" wrapText="1"/>
    </xf>
    <xf numFmtId="196" fontId="78" fillId="24" borderId="2" xfId="19" applyNumberFormat="1" applyFont="1" applyFill="1" applyBorder="1" applyAlignment="1">
      <alignment horizontal="center" vertical="center" wrapText="1"/>
    </xf>
    <xf numFmtId="195" fontId="253" fillId="24" borderId="2" xfId="19" applyFont="1" applyFill="1" applyBorder="1" applyAlignment="1">
      <alignment horizontal="center" vertical="center" wrapText="1"/>
    </xf>
    <xf numFmtId="195" fontId="78" fillId="24" borderId="2" xfId="19" applyFont="1" applyFill="1" applyBorder="1" applyAlignment="1">
      <alignment vertical="center" wrapText="1"/>
    </xf>
    <xf numFmtId="195" fontId="253" fillId="0" borderId="2" xfId="19" applyFont="1" applyFill="1" applyBorder="1" applyAlignment="1">
      <alignment horizontal="justify" vertical="center" wrapText="1"/>
    </xf>
    <xf numFmtId="177" fontId="123" fillId="24" borderId="2" xfId="17" applyNumberFormat="1" applyFont="1" applyFill="1" applyBorder="1" applyAlignment="1">
      <alignment horizontal="left" vertical="center" wrapText="1"/>
    </xf>
    <xf numFmtId="195" fontId="78" fillId="24" borderId="2" xfId="19" applyFont="1" applyFill="1" applyBorder="1" applyAlignment="1">
      <alignment horizontal="left" vertical="center" wrapText="1"/>
    </xf>
    <xf numFmtId="195" fontId="160" fillId="0" borderId="0" xfId="17" applyFont="1">
      <alignment vertical="center"/>
    </xf>
    <xf numFmtId="0" fontId="253" fillId="24" borderId="21" xfId="19" applyNumberFormat="1" applyFont="1" applyFill="1" applyBorder="1" applyAlignment="1">
      <alignment horizontal="center" vertical="center" wrapText="1"/>
    </xf>
    <xf numFmtId="0" fontId="301" fillId="0" borderId="10" xfId="19" applyNumberFormat="1" applyFont="1" applyFill="1" applyBorder="1" applyAlignment="1">
      <alignment horizontal="center" vertical="center" wrapText="1"/>
    </xf>
    <xf numFmtId="0" fontId="301" fillId="0" borderId="21" xfId="19" applyNumberFormat="1" applyFont="1" applyFill="1" applyBorder="1" applyAlignment="1">
      <alignment horizontal="center" vertical="center" wrapText="1"/>
    </xf>
    <xf numFmtId="0" fontId="160" fillId="0" borderId="2" xfId="17" applyNumberFormat="1" applyFont="1" applyFill="1" applyBorder="1" applyAlignment="1">
      <alignment horizontal="center" vertical="center"/>
    </xf>
    <xf numFmtId="0" fontId="160" fillId="24" borderId="2" xfId="17" applyNumberFormat="1" applyFont="1" applyFill="1" applyBorder="1" applyAlignment="1">
      <alignment horizontal="center" vertical="center"/>
    </xf>
    <xf numFmtId="0" fontId="253" fillId="0" borderId="2" xfId="19" applyNumberFormat="1" applyFont="1" applyFill="1" applyBorder="1" applyAlignment="1">
      <alignment horizontal="center" vertical="center" wrapText="1"/>
    </xf>
    <xf numFmtId="0" fontId="78" fillId="0" borderId="2" xfId="17" applyNumberFormat="1" applyFont="1" applyFill="1" applyBorder="1" applyAlignment="1">
      <alignment horizontal="center" vertical="center" wrapText="1"/>
    </xf>
    <xf numFmtId="0" fontId="78" fillId="0" borderId="2" xfId="17" applyNumberFormat="1" applyFont="1" applyFill="1" applyBorder="1" applyAlignment="1">
      <alignment horizontal="center" vertical="center"/>
    </xf>
    <xf numFmtId="0" fontId="253" fillId="8" borderId="2" xfId="19" applyNumberFormat="1" applyFont="1" applyFill="1" applyBorder="1" applyAlignment="1">
      <alignment horizontal="center" vertical="center" wrapText="1"/>
    </xf>
    <xf numFmtId="0" fontId="123" fillId="0" borderId="2" xfId="17" applyNumberFormat="1" applyFont="1" applyFill="1" applyBorder="1" applyAlignment="1">
      <alignment horizontal="center" vertical="center" wrapText="1"/>
    </xf>
    <xf numFmtId="0" fontId="196" fillId="0" borderId="2" xfId="17" applyNumberFormat="1" applyFont="1" applyFill="1" applyBorder="1" applyAlignment="1">
      <alignment horizontal="center" vertical="center"/>
    </xf>
    <xf numFmtId="0" fontId="123" fillId="0" borderId="2" xfId="19" applyNumberFormat="1" applyFont="1" applyFill="1" applyBorder="1" applyAlignment="1">
      <alignment horizontal="center" vertical="center" wrapText="1"/>
    </xf>
    <xf numFmtId="0" fontId="160" fillId="0" borderId="0" xfId="17" applyNumberFormat="1" applyFont="1">
      <alignment vertical="center"/>
    </xf>
    <xf numFmtId="0" fontId="217" fillId="0" borderId="19" xfId="18" applyNumberFormat="1" applyFont="1" applyFill="1" applyBorder="1" applyAlignment="1">
      <alignment horizontal="center" vertical="center" wrapText="1"/>
    </xf>
    <xf numFmtId="0" fontId="300" fillId="0" borderId="2" xfId="17" applyNumberFormat="1" applyFont="1" applyFill="1" applyBorder="1" applyAlignment="1">
      <alignment horizontal="center" vertical="center" wrapText="1"/>
    </xf>
    <xf numFmtId="0" fontId="217" fillId="0" borderId="19" xfId="18" applyNumberFormat="1" applyFont="1" applyFill="1" applyBorder="1" applyAlignment="1">
      <alignment horizontal="center" vertical="center" wrapText="1"/>
    </xf>
    <xf numFmtId="0" fontId="300" fillId="0" borderId="2" xfId="17" applyNumberFormat="1" applyFont="1" applyFill="1" applyBorder="1" applyAlignment="1">
      <alignment horizontal="center" vertical="center"/>
    </xf>
    <xf numFmtId="0" fontId="253" fillId="8" borderId="21" xfId="19" applyNumberFormat="1" applyFont="1" applyFill="1" applyBorder="1" applyAlignment="1">
      <alignment horizontal="center" vertical="center" wrapText="1"/>
    </xf>
    <xf numFmtId="0" fontId="196" fillId="0" borderId="2" xfId="17" applyNumberFormat="1" applyFont="1" applyFill="1" applyBorder="1" applyAlignment="1">
      <alignment horizontal="center" vertical="center" wrapText="1"/>
    </xf>
    <xf numFmtId="0" fontId="78" fillId="24" borderId="2" xfId="17" applyNumberFormat="1" applyFont="1" applyFill="1" applyBorder="1" applyAlignment="1">
      <alignment horizontal="center" vertical="center" wrapText="1"/>
    </xf>
    <xf numFmtId="0" fontId="196" fillId="24" borderId="2" xfId="17" applyNumberFormat="1" applyFont="1" applyFill="1" applyBorder="1" applyAlignment="1">
      <alignment horizontal="center" vertical="center" wrapText="1"/>
    </xf>
    <xf numFmtId="0" fontId="253" fillId="0" borderId="2" xfId="17" applyNumberFormat="1" applyFont="1" applyFill="1" applyBorder="1" applyAlignment="1">
      <alignment horizontal="center" vertical="center" readingOrder="1"/>
    </xf>
    <xf numFmtId="0" fontId="253" fillId="24" borderId="2" xfId="17" applyNumberFormat="1" applyFont="1" applyFill="1" applyBorder="1" applyAlignment="1">
      <alignment horizontal="center" vertical="center" readingOrder="1"/>
    </xf>
    <xf numFmtId="0" fontId="78" fillId="0" borderId="2" xfId="17" applyNumberFormat="1" applyFont="1" applyFill="1" applyBorder="1" applyAlignment="1">
      <alignment horizontal="center" vertical="center" wrapText="1" readingOrder="1"/>
    </xf>
    <xf numFmtId="0" fontId="302" fillId="0" borderId="2" xfId="17" applyNumberFormat="1" applyFont="1" applyFill="1" applyBorder="1" applyAlignment="1">
      <alignment horizontal="center" vertical="center" wrapText="1"/>
    </xf>
    <xf numFmtId="0" fontId="196" fillId="0" borderId="2" xfId="17" applyNumberFormat="1" applyFont="1" applyFill="1" applyBorder="1" applyAlignment="1">
      <alignment horizontal="center" vertical="center" wrapText="1" readingOrder="1"/>
    </xf>
    <xf numFmtId="0" fontId="78" fillId="0" borderId="2" xfId="17" applyNumberFormat="1" applyFont="1" applyFill="1" applyBorder="1" applyAlignment="1">
      <alignment vertical="center"/>
    </xf>
    <xf numFmtId="0" fontId="160" fillId="0" borderId="2" xfId="17" applyNumberFormat="1" applyFont="1" applyFill="1" applyBorder="1" applyAlignment="1">
      <alignment vertical="center"/>
    </xf>
    <xf numFmtId="0" fontId="253" fillId="8" borderId="2" xfId="19" applyNumberFormat="1" applyFont="1" applyFill="1" applyBorder="1" applyAlignment="1">
      <alignment horizontal="justify" vertical="center" wrapText="1"/>
    </xf>
    <xf numFmtId="0" fontId="78" fillId="24" borderId="2" xfId="17" applyNumberFormat="1" applyFont="1" applyFill="1" applyBorder="1" applyAlignment="1">
      <alignment vertical="center"/>
    </xf>
    <xf numFmtId="0" fontId="160" fillId="24" borderId="2" xfId="17" applyNumberFormat="1" applyFont="1" applyFill="1" applyBorder="1" applyAlignment="1">
      <alignment vertical="center"/>
    </xf>
    <xf numFmtId="0" fontId="78" fillId="24" borderId="2" xfId="17" applyNumberFormat="1" applyFont="1" applyFill="1" applyBorder="1" applyAlignment="1">
      <alignment horizontal="center" vertical="center"/>
    </xf>
    <xf numFmtId="0" fontId="253" fillId="24" borderId="2" xfId="19" applyNumberFormat="1" applyFont="1" applyFill="1" applyBorder="1" applyAlignment="1">
      <alignment horizontal="justify" vertical="center" wrapText="1"/>
    </xf>
    <xf numFmtId="0" fontId="78" fillId="8" borderId="2" xfId="17" applyNumberFormat="1" applyFont="1" applyFill="1" applyBorder="1" applyAlignment="1">
      <alignment horizontal="center" vertical="center" wrapText="1"/>
    </xf>
    <xf numFmtId="0" fontId="160" fillId="0" borderId="2" xfId="17" applyNumberFormat="1" applyFont="1" applyBorder="1" applyAlignment="1">
      <alignment horizontal="center" vertical="center"/>
    </xf>
    <xf numFmtId="0" fontId="78" fillId="0" borderId="2" xfId="19" applyNumberFormat="1" applyFont="1" applyFill="1" applyBorder="1" applyAlignment="1">
      <alignment horizontal="center" vertical="center" wrapText="1"/>
    </xf>
    <xf numFmtId="0" fontId="78" fillId="24" borderId="2" xfId="19" applyNumberFormat="1" applyFont="1" applyFill="1" applyBorder="1" applyAlignment="1">
      <alignment horizontal="center" vertical="center" wrapText="1"/>
    </xf>
    <xf numFmtId="180" fontId="67" fillId="0" borderId="55" xfId="0" applyNumberFormat="1" applyFont="1" applyFill="1" applyBorder="1" applyAlignment="1" applyProtection="1">
      <alignment horizontal="center" vertical="center" wrapText="1"/>
      <protection locked="0"/>
    </xf>
    <xf numFmtId="0" fontId="147" fillId="5" borderId="4" xfId="1" applyFont="1" applyFill="1" applyBorder="1" applyAlignment="1" applyProtection="1">
      <alignment vertical="center"/>
    </xf>
    <xf numFmtId="0" fontId="97" fillId="5" borderId="14" xfId="1" applyFont="1" applyFill="1" applyBorder="1" applyAlignment="1" applyProtection="1">
      <alignment horizontal="right" vertical="center"/>
    </xf>
    <xf numFmtId="0" fontId="97" fillId="5" borderId="0" xfId="1" applyFont="1" applyFill="1" applyAlignment="1" applyProtection="1">
      <alignment horizontal="center" vertical="center"/>
    </xf>
    <xf numFmtId="0" fontId="64" fillId="5" borderId="14" xfId="1" applyFont="1" applyFill="1" applyBorder="1" applyAlignment="1" applyProtection="1">
      <alignment vertical="center"/>
    </xf>
    <xf numFmtId="0" fontId="107" fillId="5" borderId="14" xfId="1" applyFont="1" applyFill="1" applyBorder="1" applyAlignment="1" applyProtection="1">
      <alignment vertical="center"/>
    </xf>
    <xf numFmtId="0" fontId="108" fillId="5" borderId="0" xfId="1" applyFont="1" applyFill="1" applyAlignment="1" applyProtection="1">
      <alignment horizontal="center" vertical="center"/>
    </xf>
    <xf numFmtId="188" fontId="107" fillId="5" borderId="14" xfId="1" applyNumberFormat="1" applyFont="1" applyFill="1" applyBorder="1" applyAlignment="1" applyProtection="1">
      <alignment horizontal="center" vertical="center"/>
    </xf>
    <xf numFmtId="182" fontId="97" fillId="5" borderId="14" xfId="1" applyNumberFormat="1" applyFont="1" applyFill="1" applyBorder="1" applyAlignment="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4" fillId="5" borderId="0" xfId="1" applyFont="1" applyFill="1" applyBorder="1" applyAlignment="1" applyProtection="1">
      <alignment horizontal="center" vertical="center"/>
      <protection locked="0"/>
    </xf>
    <xf numFmtId="0" fontId="94" fillId="0" borderId="0" xfId="1" applyFont="1" applyFill="1" applyAlignment="1" applyProtection="1">
      <alignment horizontal="center" vertical="center"/>
    </xf>
    <xf numFmtId="178" fontId="93" fillId="5" borderId="2" xfId="1" applyNumberFormat="1" applyFont="1" applyFill="1" applyBorder="1" applyAlignment="1" applyProtection="1">
      <alignment horizontal="right" vertical="center"/>
    </xf>
    <xf numFmtId="0" fontId="97" fillId="12" borderId="0" xfId="1" applyFont="1" applyFill="1" applyBorder="1" applyAlignment="1" applyProtection="1">
      <alignment vertical="center"/>
      <protection locked="0"/>
    </xf>
    <xf numFmtId="0" fontId="98" fillId="12" borderId="0" xfId="1" applyFont="1" applyFill="1" applyBorder="1" applyAlignment="1" applyProtection="1">
      <alignment vertical="center"/>
      <protection locked="0"/>
    </xf>
    <xf numFmtId="188" fontId="97" fillId="12"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185" fontId="93" fillId="5" borderId="10" xfId="1" applyNumberFormat="1" applyFont="1" applyFill="1" applyBorder="1" applyAlignment="1" applyProtection="1">
      <alignment horizontal="right" vertical="center"/>
    </xf>
    <xf numFmtId="0" fontId="94" fillId="12"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3" fillId="5" borderId="10" xfId="1" applyFont="1" applyFill="1" applyBorder="1" applyAlignment="1" applyProtection="1">
      <alignment vertical="center"/>
    </xf>
    <xf numFmtId="0" fontId="93" fillId="5" borderId="2" xfId="1" applyFont="1" applyFill="1" applyBorder="1" applyAlignment="1" applyProtection="1">
      <alignment vertical="center"/>
    </xf>
    <xf numFmtId="0" fontId="93" fillId="5" borderId="4" xfId="1" applyFont="1" applyFill="1" applyBorder="1" applyAlignment="1" applyProtection="1">
      <alignment vertical="center"/>
    </xf>
    <xf numFmtId="0" fontId="150" fillId="5" borderId="32" xfId="1" applyFont="1" applyFill="1" applyBorder="1" applyAlignment="1" applyProtection="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pplyProtection="1">
      <alignment vertical="center" wrapText="1"/>
    </xf>
    <xf numFmtId="0" fontId="79" fillId="5" borderId="28" xfId="1" applyFont="1" applyFill="1" applyBorder="1" applyAlignment="1" applyProtection="1">
      <alignment vertical="center" wrapText="1"/>
    </xf>
    <xf numFmtId="0" fontId="80" fillId="5" borderId="1" xfId="1" applyFont="1" applyFill="1" applyBorder="1" applyAlignment="1" applyProtection="1">
      <alignment horizontal="center" vertical="center" wrapText="1"/>
    </xf>
    <xf numFmtId="0" fontId="80" fillId="5" borderId="7" xfId="1" applyFont="1" applyFill="1" applyBorder="1" applyAlignment="1" applyProtection="1">
      <alignment horizontal="center" vertical="center" wrapText="1"/>
    </xf>
    <xf numFmtId="0" fontId="80" fillId="5" borderId="42" xfId="1" applyFont="1" applyFill="1" applyBorder="1" applyAlignment="1" applyProtection="1">
      <alignment horizontal="center" vertical="center" wrapText="1"/>
    </xf>
    <xf numFmtId="0" fontId="80" fillId="5" borderId="29" xfId="1" applyFont="1" applyFill="1" applyBorder="1" applyAlignment="1" applyProtection="1">
      <alignment horizontal="center" vertical="center" wrapText="1"/>
    </xf>
    <xf numFmtId="188" fontId="67" fillId="5" borderId="9"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vertical="center" wrapText="1"/>
      <protection locked="0"/>
    </xf>
    <xf numFmtId="0" fontId="80" fillId="5" borderId="0" xfId="1" applyFont="1" applyFill="1" applyBorder="1" applyAlignment="1" applyProtection="1">
      <alignment horizontal="center" vertical="center"/>
      <protection locked="0"/>
    </xf>
    <xf numFmtId="0" fontId="80" fillId="5" borderId="4" xfId="1" applyFont="1" applyFill="1" applyBorder="1" applyAlignment="1" applyProtection="1">
      <alignment horizontal="center" vertical="center" wrapText="1"/>
    </xf>
    <xf numFmtId="0" fontId="80" fillId="5" borderId="32" xfId="1" applyFont="1" applyFill="1" applyBorder="1" applyAlignment="1" applyProtection="1">
      <alignment horizontal="center" vertical="center" wrapText="1"/>
    </xf>
    <xf numFmtId="0" fontId="80" fillId="5" borderId="4" xfId="1" applyFont="1" applyFill="1" applyBorder="1" applyAlignment="1" applyProtection="1">
      <alignment horizontal="center" vertical="center"/>
    </xf>
    <xf numFmtId="0" fontId="80" fillId="5" borderId="32"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10"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79" fillId="5" borderId="31" xfId="1" applyFont="1" applyFill="1" applyBorder="1" applyAlignment="1" applyProtection="1">
      <alignment vertical="center" wrapText="1"/>
    </xf>
    <xf numFmtId="0" fontId="79" fillId="5" borderId="0" xfId="1" applyFont="1" applyFill="1" applyBorder="1" applyAlignment="1" applyProtection="1">
      <alignment vertical="center" wrapText="1"/>
    </xf>
    <xf numFmtId="0" fontId="256" fillId="0" borderId="11" xfId="1" applyFont="1" applyFill="1" applyBorder="1" applyAlignment="1" applyProtection="1">
      <alignment horizontal="center" vertical="center" wrapText="1"/>
      <protection locked="0"/>
    </xf>
    <xf numFmtId="0" fontId="256" fillId="0" borderId="12" xfId="1" applyFont="1" applyFill="1" applyBorder="1" applyAlignment="1" applyProtection="1">
      <alignment horizontal="center" vertical="center" wrapText="1"/>
      <protection locked="0"/>
    </xf>
    <xf numFmtId="0" fontId="256" fillId="0" borderId="9" xfId="1" applyFont="1" applyFill="1" applyBorder="1" applyAlignment="1" applyProtection="1">
      <alignment horizontal="center" vertical="center" wrapText="1"/>
      <protection locked="0"/>
    </xf>
    <xf numFmtId="0" fontId="256" fillId="0" borderId="5"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xf>
    <xf numFmtId="0" fontId="80" fillId="5" borderId="18" xfId="1" applyFont="1" applyFill="1" applyBorder="1" applyAlignment="1" applyProtection="1">
      <alignment horizontal="center" vertical="center" wrapText="1"/>
    </xf>
    <xf numFmtId="0" fontId="80" fillId="5" borderId="13" xfId="1" applyFont="1" applyFill="1" applyBorder="1" applyAlignment="1" applyProtection="1">
      <alignment horizontal="center" vertical="center"/>
    </xf>
    <xf numFmtId="0" fontId="80" fillId="5" borderId="18" xfId="1" applyFont="1" applyFill="1" applyBorder="1" applyAlignment="1" applyProtection="1">
      <alignment horizontal="center" vertical="center"/>
    </xf>
    <xf numFmtId="0" fontId="79" fillId="5" borderId="54" xfId="1" applyFont="1" applyFill="1" applyBorder="1" applyAlignment="1" applyProtection="1">
      <alignment vertical="center" wrapText="1"/>
    </xf>
    <xf numFmtId="0" fontId="79" fillId="5" borderId="61" xfId="1" applyFont="1" applyFill="1" applyBorder="1" applyAlignment="1" applyProtection="1">
      <alignment vertical="center" wrapText="1"/>
    </xf>
    <xf numFmtId="0" fontId="256" fillId="0" borderId="22" xfId="1" applyFont="1" applyFill="1" applyBorder="1" applyAlignment="1" applyProtection="1">
      <alignment horizontal="center" vertical="center" wrapText="1"/>
      <protection locked="0"/>
    </xf>
    <xf numFmtId="0" fontId="256" fillId="0" borderId="25" xfId="1" applyFont="1" applyFill="1" applyBorder="1" applyAlignment="1" applyProtection="1">
      <alignment horizontal="center" vertical="center" wrapText="1"/>
      <protection locked="0"/>
    </xf>
    <xf numFmtId="0" fontId="256" fillId="0" borderId="32" xfId="1" applyFont="1" applyFill="1" applyBorder="1" applyAlignment="1" applyProtection="1">
      <alignment horizontal="center" vertical="center" wrapText="1"/>
      <protection locked="0"/>
    </xf>
    <xf numFmtId="0" fontId="256" fillId="0" borderId="4" xfId="1" applyFont="1" applyFill="1" applyBorder="1" applyAlignment="1" applyProtection="1">
      <alignment horizontal="center" vertical="center" wrapText="1"/>
      <protection locked="0"/>
    </xf>
    <xf numFmtId="0" fontId="80" fillId="5" borderId="17" xfId="1" applyFont="1" applyFill="1" applyBorder="1" applyAlignment="1" applyProtection="1">
      <alignment horizontal="center" vertical="center" wrapText="1"/>
    </xf>
    <xf numFmtId="0" fontId="80" fillId="5" borderId="20" xfId="1" applyFont="1" applyFill="1" applyBorder="1" applyAlignment="1" applyProtection="1">
      <alignment horizontal="center" vertical="center" wrapText="1"/>
    </xf>
    <xf numFmtId="0" fontId="80" fillId="5" borderId="17" xfId="1" applyFont="1" applyFill="1" applyBorder="1" applyAlignment="1" applyProtection="1">
      <alignment horizontal="center" vertical="center"/>
    </xf>
    <xf numFmtId="0" fontId="80" fillId="5" borderId="20" xfId="1" applyFont="1" applyFill="1" applyBorder="1" applyAlignment="1" applyProtection="1">
      <alignment horizontal="center" vertical="center"/>
    </xf>
    <xf numFmtId="0" fontId="80" fillId="5" borderId="21" xfId="1" applyFont="1" applyFill="1" applyBorder="1" applyAlignment="1" applyProtection="1">
      <alignment horizontal="center" vertical="center"/>
    </xf>
    <xf numFmtId="0" fontId="71" fillId="5" borderId="59" xfId="1" applyFont="1" applyFill="1" applyBorder="1" applyAlignment="1" applyProtection="1">
      <alignment vertical="center" wrapText="1"/>
    </xf>
    <xf numFmtId="0" fontId="71" fillId="5" borderId="57" xfId="1" applyFont="1" applyFill="1" applyBorder="1" applyAlignment="1" applyProtection="1">
      <alignment horizontal="left" vertical="center" wrapText="1"/>
    </xf>
    <xf numFmtId="184" fontId="67" fillId="5" borderId="33" xfId="1" applyNumberFormat="1" applyFont="1" applyFill="1" applyBorder="1" applyAlignment="1" applyProtection="1">
      <alignment horizontal="center" vertical="center" wrapText="1"/>
    </xf>
    <xf numFmtId="0" fontId="67" fillId="5" borderId="34" xfId="1" applyNumberFormat="1" applyFont="1" applyFill="1" applyBorder="1" applyAlignment="1" applyProtection="1">
      <alignment horizontal="center" vertical="center" wrapText="1"/>
    </xf>
    <xf numFmtId="184" fontId="67" fillId="0" borderId="62" xfId="1" applyNumberFormat="1" applyFont="1" applyFill="1" applyBorder="1" applyAlignment="1" applyProtection="1">
      <alignment horizontal="center" vertical="center" wrapText="1"/>
      <protection locked="0"/>
    </xf>
    <xf numFmtId="0" fontId="67" fillId="5" borderId="49" xfId="1" applyNumberFormat="1" applyFont="1" applyFill="1" applyBorder="1" applyAlignment="1" applyProtection="1">
      <alignment horizontal="center" vertical="center" wrapText="1"/>
    </xf>
    <xf numFmtId="184" fontId="67" fillId="0" borderId="33" xfId="1" applyNumberFormat="1" applyFont="1" applyFill="1" applyBorder="1" applyAlignment="1" applyProtection="1">
      <alignment horizontal="center" vertical="center" wrapText="1"/>
      <protection locked="0"/>
    </xf>
    <xf numFmtId="0" fontId="67" fillId="5" borderId="9"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horizontal="center" vertical="center" wrapText="1"/>
      <protection locked="0"/>
    </xf>
    <xf numFmtId="0" fontId="67" fillId="5" borderId="0" xfId="1" applyFont="1" applyFill="1" applyBorder="1" applyAlignment="1" applyProtection="1">
      <alignment horizontal="center" vertical="center"/>
      <protection locked="0"/>
    </xf>
    <xf numFmtId="0" fontId="67" fillId="5" borderId="5" xfId="1" applyFont="1" applyFill="1" applyBorder="1" applyAlignment="1" applyProtection="1">
      <alignment horizontal="center" vertical="center"/>
    </xf>
    <xf numFmtId="0" fontId="67" fillId="5" borderId="8" xfId="1" applyFont="1" applyFill="1" applyBorder="1" applyAlignment="1" applyProtection="1">
      <alignment horizontal="center" vertical="center"/>
    </xf>
    <xf numFmtId="187" fontId="67" fillId="5" borderId="5" xfId="1" applyNumberFormat="1" applyFont="1" applyFill="1" applyBorder="1" applyAlignment="1" applyProtection="1">
      <alignment horizontal="center" vertical="center"/>
    </xf>
    <xf numFmtId="49" fontId="67" fillId="5" borderId="9" xfId="1" applyNumberFormat="1" applyFont="1" applyFill="1" applyBorder="1" applyAlignment="1" applyProtection="1">
      <alignment horizontal="center" vertical="center"/>
    </xf>
    <xf numFmtId="0" fontId="67" fillId="5" borderId="3" xfId="1" applyFont="1" applyFill="1" applyBorder="1" applyAlignment="1" applyProtection="1">
      <alignment horizontal="center" vertical="center"/>
    </xf>
    <xf numFmtId="0" fontId="67" fillId="5" borderId="9" xfId="1" applyFont="1" applyFill="1" applyBorder="1" applyAlignment="1" applyProtection="1">
      <alignment horizontal="center" vertical="center"/>
    </xf>
    <xf numFmtId="0" fontId="67" fillId="5" borderId="2" xfId="1" applyNumberFormat="1" applyFont="1" applyFill="1" applyBorder="1" applyAlignment="1" applyProtection="1">
      <alignment horizontal="center" vertical="center"/>
    </xf>
    <xf numFmtId="0" fontId="67" fillId="0" borderId="0" xfId="1" applyFont="1" applyFill="1" applyAlignment="1" applyProtection="1">
      <alignment horizontal="center" vertical="center"/>
    </xf>
    <xf numFmtId="0" fontId="71" fillId="5" borderId="64" xfId="1" applyFont="1" applyFill="1" applyBorder="1" applyAlignment="1" applyProtection="1">
      <alignment vertical="center" wrapText="1"/>
    </xf>
    <xf numFmtId="0" fontId="71" fillId="5" borderId="16" xfId="1" applyFont="1" applyFill="1" applyBorder="1" applyAlignment="1" applyProtection="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pplyProtection="1">
      <alignment vertical="center" wrapText="1"/>
    </xf>
    <xf numFmtId="0" fontId="71" fillId="5" borderId="63" xfId="1" applyFont="1" applyFill="1" applyBorder="1" applyAlignment="1" applyProtection="1">
      <alignment horizontal="left" vertical="center" wrapText="1"/>
    </xf>
    <xf numFmtId="0" fontId="67" fillId="2" borderId="59" xfId="1" applyNumberFormat="1" applyFont="1" applyFill="1" applyBorder="1" applyAlignment="1" applyProtection="1">
      <alignment horizontal="center" vertical="center" wrapText="1"/>
      <protection locked="0"/>
    </xf>
    <xf numFmtId="0" fontId="67" fillId="5" borderId="7" xfId="1" applyNumberFormat="1" applyFont="1" applyFill="1" applyBorder="1" applyAlignment="1" applyProtection="1">
      <alignment horizontal="center" vertical="center" wrapText="1"/>
    </xf>
    <xf numFmtId="0" fontId="67"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0" fontId="67" fillId="5" borderId="2" xfId="1" applyFont="1" applyFill="1" applyBorder="1" applyAlignment="1" applyProtection="1">
      <alignment horizontal="center" vertical="center" wrapText="1"/>
    </xf>
    <xf numFmtId="0" fontId="67" fillId="5" borderId="2" xfId="1" applyFont="1" applyFill="1" applyBorder="1" applyAlignment="1" applyProtection="1">
      <alignment horizontal="center" vertical="center" wrapText="1"/>
    </xf>
    <xf numFmtId="0" fontId="67" fillId="5" borderId="2" xfId="1" applyFont="1" applyFill="1" applyBorder="1" applyAlignment="1" applyProtection="1">
      <alignment horizontal="center" vertical="center"/>
    </xf>
    <xf numFmtId="0" fontId="99" fillId="5" borderId="64" xfId="1" applyFont="1" applyFill="1" applyBorder="1" applyAlignment="1" applyProtection="1">
      <alignment vertical="center" wrapText="1"/>
    </xf>
    <xf numFmtId="0" fontId="67" fillId="0" borderId="50" xfId="1" applyNumberFormat="1" applyFont="1" applyFill="1" applyBorder="1" applyAlignment="1" applyProtection="1">
      <alignment horizontal="center" vertical="center" wrapText="1"/>
      <protection locked="0"/>
    </xf>
    <xf numFmtId="0" fontId="67" fillId="5" borderId="12" xfId="1" applyNumberFormat="1" applyFont="1" applyFill="1" applyBorder="1" applyAlignment="1" applyProtection="1">
      <alignment horizontal="center" vertical="center" wrapText="1"/>
    </xf>
    <xf numFmtId="0" fontId="88" fillId="5" borderId="9" xfId="1" applyNumberFormat="1" applyFont="1" applyFill="1" applyBorder="1" applyAlignment="1" applyProtection="1">
      <alignment horizontal="center" vertical="center" wrapText="1"/>
    </xf>
    <xf numFmtId="182" fontId="100" fillId="5" borderId="0" xfId="1" applyNumberFormat="1" applyFont="1" applyFill="1" applyBorder="1" applyAlignment="1" applyProtection="1">
      <alignment horizontal="center" vertical="center" wrapText="1"/>
      <protection locked="0"/>
    </xf>
    <xf numFmtId="0" fontId="100" fillId="5" borderId="0" xfId="1" applyFont="1" applyFill="1" applyBorder="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Fill="1" applyAlignment="1" applyProtection="1">
      <alignment horizontal="center" vertical="center"/>
    </xf>
    <xf numFmtId="0" fontId="79" fillId="5" borderId="64" xfId="1" applyFont="1" applyFill="1" applyBorder="1" applyAlignment="1" applyProtection="1">
      <alignment vertical="center" wrapText="1"/>
    </xf>
    <xf numFmtId="0" fontId="67" fillId="0" borderId="11" xfId="1" applyNumberFormat="1" applyFont="1" applyFill="1" applyBorder="1" applyAlignment="1" applyProtection="1">
      <alignment horizontal="center" vertical="center" wrapText="1"/>
      <protection locked="0"/>
    </xf>
    <xf numFmtId="0" fontId="67" fillId="0" borderId="9" xfId="1" applyNumberFormat="1" applyFont="1" applyFill="1" applyBorder="1" applyAlignment="1" applyProtection="1">
      <alignment horizontal="center" vertical="center" wrapText="1"/>
      <protection locked="0"/>
    </xf>
    <xf numFmtId="0" fontId="88" fillId="0" borderId="9" xfId="1" applyNumberFormat="1" applyFont="1" applyFill="1" applyBorder="1" applyAlignment="1" applyProtection="1">
      <alignment horizontal="center" vertical="center" wrapText="1"/>
      <protection locked="0"/>
    </xf>
    <xf numFmtId="182" fontId="76" fillId="5" borderId="0"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pplyProtection="1">
      <alignment vertical="center" wrapText="1"/>
    </xf>
    <xf numFmtId="0" fontId="71" fillId="8" borderId="63" xfId="1" applyFont="1" applyFill="1" applyBorder="1" applyAlignment="1" applyProtection="1">
      <alignment horizontal="left" vertical="center" wrapText="1"/>
      <protection locked="0"/>
    </xf>
    <xf numFmtId="0" fontId="67" fillId="5" borderId="63" xfId="1" applyNumberFormat="1" applyFont="1" applyFill="1" applyBorder="1" applyAlignment="1" applyProtection="1">
      <alignment horizontal="center" vertical="center" wrapText="1"/>
    </xf>
    <xf numFmtId="0" fontId="80" fillId="0" borderId="2" xfId="1" applyNumberFormat="1" applyFont="1" applyFill="1" applyBorder="1" applyAlignment="1" applyProtection="1">
      <alignment horizontal="center" vertical="center" wrapText="1"/>
      <protection locked="0"/>
    </xf>
    <xf numFmtId="0" fontId="80" fillId="0" borderId="11" xfId="1" applyNumberFormat="1" applyFont="1" applyFill="1" applyBorder="1" applyAlignment="1" applyProtection="1">
      <alignment horizontal="center" vertical="center" wrapText="1"/>
      <protection locked="0"/>
    </xf>
    <xf numFmtId="0" fontId="80" fillId="0" borderId="64" xfId="1" applyNumberFormat="1" applyFont="1" applyFill="1" applyBorder="1" applyAlignment="1" applyProtection="1">
      <alignment horizontal="center" vertical="center" wrapText="1"/>
      <protection locked="0"/>
    </xf>
    <xf numFmtId="0" fontId="80" fillId="5" borderId="12" xfId="1" applyNumberFormat="1" applyFont="1" applyFill="1" applyBorder="1" applyAlignment="1" applyProtection="1">
      <alignment horizontal="center" vertical="center" wrapText="1"/>
    </xf>
    <xf numFmtId="182" fontId="101" fillId="5" borderId="0" xfId="1" applyNumberFormat="1" applyFont="1" applyFill="1" applyBorder="1" applyAlignment="1" applyProtection="1">
      <alignment horizontal="center" vertical="center" wrapText="1"/>
      <protection locked="0"/>
    </xf>
    <xf numFmtId="0" fontId="79" fillId="8" borderId="54" xfId="1" applyFont="1" applyFill="1" applyBorder="1" applyAlignment="1" applyProtection="1">
      <alignment vertical="center" wrapText="1"/>
    </xf>
    <xf numFmtId="0" fontId="71" fillId="8" borderId="66" xfId="1" applyFont="1" applyFill="1" applyBorder="1" applyAlignment="1" applyProtection="1">
      <alignment horizontal="left" vertical="center" wrapText="1"/>
      <protection locked="0"/>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243" fillId="5" borderId="24" xfId="1" applyFont="1" applyFill="1" applyBorder="1" applyAlignment="1" applyProtection="1">
      <alignment vertical="center" wrapText="1"/>
    </xf>
    <xf numFmtId="0" fontId="67" fillId="5" borderId="40" xfId="1" applyFont="1" applyFill="1" applyBorder="1" applyAlignment="1" applyProtection="1">
      <alignment horizontal="center" vertical="center" wrapText="1"/>
    </xf>
    <xf numFmtId="0" fontId="80" fillId="5" borderId="53" xfId="1" applyNumberFormat="1" applyFont="1" applyFill="1" applyBorder="1" applyAlignment="1" applyProtection="1">
      <alignment horizontal="center" vertical="center" wrapText="1"/>
    </xf>
    <xf numFmtId="0" fontId="80" fillId="5" borderId="41" xfId="1" applyNumberFormat="1" applyFont="1" applyFill="1" applyBorder="1" applyAlignment="1" applyProtection="1">
      <alignment horizontal="center" vertical="center" wrapText="1"/>
    </xf>
    <xf numFmtId="49" fontId="80" fillId="0" borderId="58" xfId="1" applyNumberFormat="1" applyFont="1" applyFill="1" applyBorder="1" applyAlignment="1" applyProtection="1">
      <alignment horizontal="center" vertical="center" wrapText="1"/>
      <protection locked="0"/>
    </xf>
    <xf numFmtId="49" fontId="80" fillId="0" borderId="53" xfId="1" applyNumberFormat="1" applyFont="1" applyFill="1" applyBorder="1" applyAlignment="1" applyProtection="1">
      <alignment horizontal="center" vertical="center" wrapText="1"/>
      <protection locked="0"/>
    </xf>
    <xf numFmtId="0" fontId="80" fillId="5" borderId="10" xfId="1" applyFont="1" applyFill="1" applyBorder="1" applyAlignment="1" applyProtection="1">
      <alignment horizontal="center" vertical="center" wrapText="1"/>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5" borderId="2" xfId="1" applyNumberFormat="1" applyFont="1" applyFill="1" applyBorder="1" applyAlignment="1" applyProtection="1">
      <alignment horizontal="center" vertical="center"/>
    </xf>
    <xf numFmtId="0" fontId="79" fillId="5" borderId="24" xfId="1" applyFont="1" applyFill="1" applyBorder="1" applyAlignment="1" applyProtection="1">
      <alignment vertical="center" wrapText="1"/>
    </xf>
    <xf numFmtId="0" fontId="80" fillId="5" borderId="0" xfId="1" applyFont="1" applyFill="1" applyBorder="1" applyAlignment="1" applyProtection="1">
      <alignment horizontal="center" vertical="center"/>
    </xf>
    <xf numFmtId="0" fontId="80" fillId="2" borderId="50" xfId="1" applyNumberFormat="1" applyFont="1" applyFill="1" applyBorder="1" applyAlignment="1" applyProtection="1">
      <alignment horizontal="center" vertical="center" wrapText="1"/>
      <protection locked="0"/>
    </xf>
    <xf numFmtId="0" fontId="80" fillId="5" borderId="51" xfId="1" applyNumberFormat="1" applyFont="1" applyFill="1" applyBorder="1" applyAlignment="1" applyProtection="1">
      <alignment horizontal="center" vertical="center" wrapText="1"/>
    </xf>
    <xf numFmtId="0" fontId="80" fillId="2" borderId="20" xfId="1" applyNumberFormat="1" applyFont="1" applyFill="1" applyBorder="1" applyAlignment="1" applyProtection="1">
      <alignment horizontal="center" vertical="center" wrapText="1"/>
      <protection locked="0"/>
    </xf>
    <xf numFmtId="0" fontId="80" fillId="5" borderId="52" xfId="1" applyNumberFormat="1" applyFont="1" applyFill="1" applyBorder="1" applyAlignment="1" applyProtection="1">
      <alignment horizontal="center" vertical="center" wrapText="1"/>
    </xf>
    <xf numFmtId="0" fontId="80" fillId="5" borderId="3" xfId="1" applyFont="1" applyFill="1" applyBorder="1" applyAlignment="1" applyProtection="1">
      <alignment horizontal="center" vertical="center" wrapText="1"/>
    </xf>
    <xf numFmtId="0" fontId="67" fillId="5" borderId="4" xfId="1" applyFont="1" applyFill="1" applyBorder="1" applyAlignment="1" applyProtection="1">
      <alignment horizontal="center" vertical="center" wrapText="1"/>
    </xf>
    <xf numFmtId="0" fontId="80" fillId="5" borderId="22" xfId="1" applyNumberFormat="1" applyFont="1" applyFill="1" applyBorder="1" applyAlignment="1" applyProtection="1">
      <alignment horizontal="center" vertical="center" wrapText="1"/>
    </xf>
    <xf numFmtId="49" fontId="80" fillId="0" borderId="18" xfId="1" applyNumberFormat="1" applyFont="1" applyFill="1" applyBorder="1" applyAlignment="1" applyProtection="1">
      <alignment horizontal="center" vertical="center" wrapText="1"/>
      <protection locked="0"/>
    </xf>
    <xf numFmtId="0" fontId="80" fillId="5" borderId="25" xfId="1" applyNumberFormat="1" applyFont="1" applyFill="1" applyBorder="1" applyAlignment="1" applyProtection="1">
      <alignment horizontal="center" vertical="center" wrapText="1"/>
    </xf>
    <xf numFmtId="49" fontId="80" fillId="0" borderId="24" xfId="1" applyNumberFormat="1" applyFont="1" applyFill="1" applyBorder="1" applyAlignment="1" applyProtection="1">
      <alignment horizontal="center" vertical="center" wrapText="1"/>
      <protection locked="0"/>
    </xf>
    <xf numFmtId="0" fontId="67" fillId="5" borderId="13" xfId="1" applyFont="1" applyFill="1" applyBorder="1" applyAlignment="1" applyProtection="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NumberFormat="1" applyFont="1" applyFill="1" applyBorder="1" applyAlignment="1" applyProtection="1">
      <alignment horizontal="center" vertical="center" wrapText="1"/>
    </xf>
    <xf numFmtId="0" fontId="88" fillId="0" borderId="11" xfId="1" applyNumberFormat="1" applyFont="1" applyFill="1" applyBorder="1" applyAlignment="1" applyProtection="1">
      <alignment horizontal="center" vertical="center" wrapText="1"/>
      <protection locked="0"/>
    </xf>
    <xf numFmtId="0" fontId="67" fillId="5" borderId="17" xfId="1" applyFont="1" applyFill="1" applyBorder="1" applyAlignment="1" applyProtection="1">
      <alignment horizontal="center" vertical="center" wrapText="1"/>
    </xf>
    <xf numFmtId="0" fontId="80" fillId="5" borderId="17" xfId="1" applyNumberFormat="1" applyFont="1" applyFill="1" applyBorder="1" applyAlignment="1" applyProtection="1">
      <alignment horizontal="center" vertical="center" wrapText="1"/>
    </xf>
    <xf numFmtId="0" fontId="88" fillId="5" borderId="11" xfId="1" applyNumberFormat="1" applyFont="1" applyFill="1" applyBorder="1" applyAlignment="1" applyProtection="1">
      <alignment horizontal="center" vertical="center" wrapText="1"/>
    </xf>
    <xf numFmtId="0" fontId="71" fillId="5" borderId="31" xfId="1" applyFont="1" applyFill="1" applyBorder="1" applyAlignment="1" applyProtection="1">
      <alignment vertical="center" wrapText="1"/>
    </xf>
    <xf numFmtId="0" fontId="48" fillId="5" borderId="13" xfId="1" applyFont="1" applyFill="1" applyBorder="1" applyAlignment="1" applyProtection="1">
      <alignment horizontal="center" vertical="center" wrapText="1"/>
    </xf>
    <xf numFmtId="0" fontId="67" fillId="2" borderId="87" xfId="1" applyNumberFormat="1" applyFont="1" applyFill="1" applyBorder="1" applyAlignment="1" applyProtection="1">
      <alignment horizontal="center" vertical="center" wrapText="1"/>
      <protection locked="0"/>
    </xf>
    <xf numFmtId="0" fontId="67" fillId="2" borderId="19" xfId="1" applyNumberFormat="1" applyFont="1" applyFill="1" applyBorder="1" applyAlignment="1" applyProtection="1">
      <alignment horizontal="center" vertical="center" wrapText="1"/>
      <protection locked="0"/>
    </xf>
    <xf numFmtId="0" fontId="80" fillId="2" borderId="64" xfId="1" applyNumberFormat="1" applyFont="1" applyFill="1" applyBorder="1" applyAlignment="1" applyProtection="1">
      <alignment horizontal="center" vertical="center" wrapText="1"/>
      <protection locked="0"/>
    </xf>
    <xf numFmtId="0" fontId="80" fillId="2" borderId="8" xfId="1" applyNumberFormat="1" applyFont="1" applyFill="1" applyBorder="1" applyAlignment="1" applyProtection="1">
      <alignment horizontal="center" vertical="center" wrapText="1"/>
      <protection locked="0"/>
    </xf>
    <xf numFmtId="0" fontId="80" fillId="5" borderId="24" xfId="1" applyNumberFormat="1" applyFont="1" applyFill="1" applyBorder="1" applyAlignment="1" applyProtection="1">
      <alignment horizontal="center" vertical="center" wrapText="1"/>
    </xf>
    <xf numFmtId="0" fontId="102" fillId="5" borderId="9" xfId="1" applyNumberFormat="1" applyFont="1" applyFill="1" applyBorder="1" applyAlignment="1" applyProtection="1">
      <alignment horizontal="center" vertical="center" wrapText="1"/>
    </xf>
    <xf numFmtId="0" fontId="67" fillId="5" borderId="5" xfId="1" applyFont="1" applyFill="1" applyBorder="1" applyAlignment="1" applyProtection="1">
      <alignment horizontal="center" vertical="center" wrapText="1"/>
    </xf>
    <xf numFmtId="0" fontId="80" fillId="5" borderId="64" xfId="1" applyNumberFormat="1" applyFont="1" applyFill="1" applyBorder="1" applyAlignment="1" applyProtection="1">
      <alignment horizontal="center" vertical="center" wrapText="1"/>
    </xf>
    <xf numFmtId="0" fontId="102" fillId="0" borderId="9" xfId="1" applyNumberFormat="1" applyFont="1" applyFill="1" applyBorder="1" applyAlignment="1" applyProtection="1">
      <alignment horizontal="center" vertical="center" wrapText="1"/>
      <protection locked="0"/>
    </xf>
    <xf numFmtId="0" fontId="67" fillId="0" borderId="5" xfId="1" applyFont="1" applyFill="1" applyBorder="1" applyAlignment="1" applyProtection="1">
      <alignment horizontal="center" vertical="center" wrapText="1"/>
      <protection locked="0"/>
    </xf>
    <xf numFmtId="0" fontId="80" fillId="0" borderId="9" xfId="1" applyNumberFormat="1" applyFont="1" applyFill="1" applyBorder="1" applyAlignment="1" applyProtection="1">
      <alignment horizontal="center" vertical="center" wrapText="1"/>
      <protection locked="0"/>
    </xf>
    <xf numFmtId="0" fontId="80" fillId="5" borderId="31" xfId="1" applyFont="1" applyFill="1" applyBorder="1" applyAlignment="1" applyProtection="1">
      <alignment horizontal="center" vertical="center"/>
    </xf>
    <xf numFmtId="0" fontId="80" fillId="0" borderId="5" xfId="1" applyFont="1" applyFill="1" applyBorder="1" applyAlignment="1" applyProtection="1">
      <alignment horizontal="center" vertical="center"/>
      <protection locked="0"/>
    </xf>
    <xf numFmtId="0" fontId="80" fillId="5" borderId="10" xfId="1" applyFont="1" applyFill="1" applyBorder="1" applyAlignment="1" applyProtection="1">
      <alignment horizontal="center" vertical="center" textRotation="255" wrapText="1"/>
    </xf>
    <xf numFmtId="0" fontId="80" fillId="5" borderId="3" xfId="1" applyFont="1" applyFill="1" applyBorder="1" applyAlignment="1" applyProtection="1">
      <alignment horizontal="center" vertical="center" textRotation="255" wrapText="1"/>
    </xf>
    <xf numFmtId="0" fontId="96" fillId="5" borderId="54" xfId="1" applyFont="1" applyFill="1" applyBorder="1" applyAlignment="1" applyProtection="1">
      <alignment vertical="center" textRotation="255" wrapText="1"/>
    </xf>
    <xf numFmtId="0" fontId="76" fillId="0" borderId="45" xfId="1" applyFont="1" applyFill="1" applyBorder="1" applyAlignment="1" applyProtection="1">
      <alignment horizontal="center" vertical="center"/>
      <protection locked="0"/>
    </xf>
    <xf numFmtId="0" fontId="80" fillId="0" borderId="43" xfId="1" applyNumberFormat="1" applyFont="1" applyFill="1" applyBorder="1" applyAlignment="1" applyProtection="1">
      <alignment horizontal="center" vertical="center" wrapText="1"/>
      <protection locked="0"/>
    </xf>
    <xf numFmtId="0" fontId="67" fillId="5" borderId="46" xfId="1" applyNumberFormat="1" applyFont="1" applyFill="1" applyBorder="1" applyAlignment="1" applyProtection="1">
      <alignment horizontal="center" vertical="center" wrapText="1"/>
    </xf>
    <xf numFmtId="0" fontId="80" fillId="0" borderId="47"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pplyProtection="1">
      <alignment horizontal="center" vertical="center"/>
    </xf>
    <xf numFmtId="49" fontId="76" fillId="5" borderId="9" xfId="1" applyNumberFormat="1" applyFont="1" applyFill="1" applyBorder="1" applyAlignment="1" applyProtection="1">
      <alignment horizontal="center" vertical="center"/>
    </xf>
    <xf numFmtId="0" fontId="76" fillId="5" borderId="3" xfId="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0" borderId="0" xfId="1" applyFont="1" applyFill="1" applyAlignment="1" applyProtection="1">
      <alignment horizontal="center" vertical="center"/>
    </xf>
    <xf numFmtId="0" fontId="243" fillId="5" borderId="53" xfId="1" applyFont="1" applyFill="1" applyBorder="1" applyAlignment="1" applyProtection="1">
      <alignment vertical="center" wrapText="1"/>
    </xf>
    <xf numFmtId="0" fontId="80" fillId="0" borderId="1" xfId="1" applyNumberFormat="1" applyFont="1" applyFill="1" applyBorder="1" applyAlignment="1" applyProtection="1">
      <alignment horizontal="center" vertical="center" wrapText="1"/>
      <protection locked="0"/>
    </xf>
    <xf numFmtId="0" fontId="80" fillId="5" borderId="7" xfId="1" applyNumberFormat="1" applyFont="1" applyFill="1" applyBorder="1" applyAlignment="1" applyProtection="1">
      <alignment horizontal="center" vertical="center" wrapText="1"/>
    </xf>
    <xf numFmtId="0" fontId="80" fillId="0" borderId="6" xfId="1" applyNumberFormat="1" applyFont="1" applyFill="1" applyBorder="1" applyAlignment="1" applyProtection="1">
      <alignment horizontal="center" vertical="center" wrapText="1"/>
      <protection locked="0"/>
    </xf>
    <xf numFmtId="0" fontId="79" fillId="5" borderId="24" xfId="1" applyFont="1" applyFill="1" applyBorder="1" applyAlignment="1" applyProtection="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pplyProtection="1">
      <alignment vertical="center" textRotation="255" wrapText="1"/>
    </xf>
    <xf numFmtId="0" fontId="48" fillId="5" borderId="5" xfId="1" applyFont="1" applyFill="1" applyBorder="1" applyAlignment="1" applyProtection="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pplyProtection="1">
      <alignment vertical="center" textRotation="255" wrapText="1"/>
    </xf>
    <xf numFmtId="0" fontId="76" fillId="0" borderId="60" xfId="1" applyNumberFormat="1" applyFont="1" applyFill="1" applyBorder="1" applyAlignment="1" applyProtection="1">
      <alignment horizontal="center" vertical="center" wrapText="1"/>
      <protection locked="0"/>
    </xf>
    <xf numFmtId="0" fontId="103" fillId="5" borderId="9" xfId="1" applyNumberFormat="1" applyFont="1" applyFill="1" applyBorder="1" applyAlignment="1" applyProtection="1">
      <alignment horizontal="center" vertical="center" wrapText="1"/>
    </xf>
    <xf numFmtId="49" fontId="79" fillId="5" borderId="59" xfId="1" applyNumberFormat="1" applyFont="1" applyFill="1" applyBorder="1" applyAlignment="1" applyProtection="1">
      <alignment vertical="center"/>
    </xf>
    <xf numFmtId="49" fontId="79" fillId="2" borderId="7" xfId="1" applyNumberFormat="1" applyFont="1" applyFill="1" applyBorder="1" applyAlignment="1" applyProtection="1">
      <alignment vertical="center"/>
      <protection locked="0"/>
    </xf>
    <xf numFmtId="0" fontId="79" fillId="5" borderId="30" xfId="1" applyFont="1" applyFill="1" applyBorder="1" applyAlignment="1" applyProtection="1">
      <alignment horizontal="right" vertical="center" wrapText="1"/>
    </xf>
    <xf numFmtId="0" fontId="79" fillId="5" borderId="57" xfId="1" applyFont="1" applyFill="1" applyBorder="1" applyAlignment="1" applyProtection="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pplyProtection="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pplyProtection="1">
      <alignment vertical="center" wrapText="1"/>
    </xf>
    <xf numFmtId="188" fontId="80" fillId="3" borderId="9" xfId="1" applyNumberFormat="1" applyFont="1" applyFill="1" applyBorder="1" applyAlignment="1" applyProtection="1">
      <alignment horizontal="center" vertical="center"/>
    </xf>
    <xf numFmtId="182" fontId="80" fillId="5" borderId="0" xfId="1" applyNumberFormat="1" applyFont="1" applyFill="1" applyBorder="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0" xfId="1" applyFont="1" applyFill="1" applyAlignment="1" applyProtection="1">
      <alignment horizontal="center" vertical="center"/>
    </xf>
    <xf numFmtId="0" fontId="80" fillId="5" borderId="21" xfId="1" applyFont="1" applyFill="1" applyBorder="1" applyAlignment="1" applyProtection="1">
      <alignment vertical="center" textRotation="255" wrapText="1"/>
    </xf>
    <xf numFmtId="49" fontId="79" fillId="5" borderId="60" xfId="1" applyNumberFormat="1" applyFont="1" applyFill="1" applyBorder="1" applyAlignment="1" applyProtection="1">
      <alignment vertical="center"/>
    </xf>
    <xf numFmtId="49" fontId="79" fillId="5" borderId="48" xfId="1" applyNumberFormat="1" applyFont="1" applyFill="1" applyBorder="1" applyAlignment="1" applyProtection="1">
      <alignment vertical="center"/>
    </xf>
    <xf numFmtId="185" fontId="79" fillId="5" borderId="56" xfId="1" applyNumberFormat="1" applyFont="1" applyFill="1" applyBorder="1" applyAlignment="1" applyProtection="1">
      <alignment vertical="center" wrapText="1"/>
    </xf>
    <xf numFmtId="0" fontId="91" fillId="16" borderId="48" xfId="1" applyNumberFormat="1" applyFont="1" applyFill="1" applyBorder="1" applyAlignment="1" applyProtection="1">
      <alignment horizontal="left" vertical="center" wrapText="1"/>
      <protection locked="0"/>
    </xf>
    <xf numFmtId="182" fontId="79" fillId="16"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pplyProtection="1">
      <alignment vertical="center" wrapText="1"/>
    </xf>
    <xf numFmtId="177" fontId="80" fillId="5" borderId="16" xfId="1" applyNumberFormat="1" applyFont="1" applyFill="1" applyBorder="1" applyAlignment="1" applyProtection="1">
      <alignment horizontal="left" vertical="center" wrapText="1"/>
    </xf>
    <xf numFmtId="185" fontId="80" fillId="5" borderId="2" xfId="1" applyNumberFormat="1" applyFont="1" applyFill="1" applyBorder="1" applyAlignment="1" applyProtection="1">
      <alignment horizontal="center" vertical="center"/>
    </xf>
    <xf numFmtId="49" fontId="79" fillId="0" borderId="54" xfId="1" applyNumberFormat="1" applyFont="1" applyFill="1" applyBorder="1" applyAlignment="1" applyProtection="1">
      <alignment vertical="center"/>
      <protection locked="0"/>
    </xf>
    <xf numFmtId="49" fontId="79" fillId="0" borderId="66" xfId="1" applyNumberFormat="1" applyFont="1" applyFill="1" applyBorder="1" applyAlignment="1" applyProtection="1">
      <alignment vertical="center"/>
      <protection locked="0"/>
    </xf>
    <xf numFmtId="185" fontId="79" fillId="5" borderId="61" xfId="1" applyNumberFormat="1" applyFont="1" applyFill="1" applyBorder="1" applyAlignment="1" applyProtection="1">
      <alignment vertical="center" wrapText="1"/>
    </xf>
    <xf numFmtId="188" fontId="80" fillId="3" borderId="2" xfId="1" applyNumberFormat="1" applyFont="1" applyFill="1" applyBorder="1" applyAlignment="1" applyProtection="1">
      <alignment horizontal="center" vertical="center" wrapText="1"/>
    </xf>
    <xf numFmtId="0" fontId="80" fillId="5" borderId="5" xfId="1" applyFont="1" applyFill="1" applyBorder="1" applyAlignment="1" applyProtection="1">
      <alignment horizontal="center" vertical="center" wrapText="1"/>
    </xf>
    <xf numFmtId="0" fontId="80" fillId="5" borderId="9" xfId="1" applyFont="1" applyFill="1" applyBorder="1" applyAlignment="1" applyProtection="1">
      <alignment horizontal="center" vertical="center" wrapText="1"/>
    </xf>
    <xf numFmtId="185" fontId="79" fillId="5" borderId="2" xfId="1" applyNumberFormat="1" applyFont="1" applyFill="1" applyBorder="1" applyAlignment="1" applyProtection="1">
      <alignment horizontal="center" vertical="center"/>
    </xf>
    <xf numFmtId="0" fontId="80" fillId="12" borderId="0" xfId="1" applyFont="1" applyFill="1" applyAlignment="1" applyProtection="1">
      <alignment horizontal="center" vertical="center"/>
      <protection locked="0"/>
    </xf>
    <xf numFmtId="9" fontId="80" fillId="12" borderId="0" xfId="1" applyNumberFormat="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pplyProtection="1">
      <alignment horizontal="left" vertical="center"/>
    </xf>
    <xf numFmtId="0" fontId="79" fillId="5" borderId="2" xfId="1" applyFont="1" applyFill="1" applyBorder="1" applyAlignment="1" applyProtection="1">
      <alignment horizontal="center" vertical="center" wrapText="1"/>
    </xf>
    <xf numFmtId="182" fontId="80" fillId="5" borderId="5" xfId="1" applyNumberFormat="1" applyFont="1" applyFill="1" applyBorder="1" applyAlignment="1" applyProtection="1">
      <alignment horizontal="center" vertical="center"/>
    </xf>
    <xf numFmtId="182" fontId="80" fillId="5" borderId="9" xfId="1" applyNumberFormat="1" applyFont="1" applyFill="1" applyBorder="1" applyAlignment="1" applyProtection="1">
      <alignment vertical="center"/>
    </xf>
    <xf numFmtId="0" fontId="79" fillId="5" borderId="9" xfId="1" applyFont="1" applyFill="1" applyBorder="1" applyAlignment="1" applyProtection="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Fill="1" applyAlignment="1" applyProtection="1">
      <alignment horizontal="center" vertical="center"/>
    </xf>
    <xf numFmtId="14" fontId="80" fillId="12"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pplyProtection="1">
      <alignment horizontal="left" vertical="center"/>
    </xf>
    <xf numFmtId="177" fontId="80"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pplyProtection="1">
      <alignment horizontal="center" vertical="center"/>
    </xf>
    <xf numFmtId="0" fontId="80" fillId="5" borderId="29" xfId="1" applyFont="1" applyFill="1" applyBorder="1" applyAlignment="1" applyProtection="1">
      <alignment horizontal="center" vertical="center"/>
    </xf>
    <xf numFmtId="0" fontId="145" fillId="5" borderId="26" xfId="1" applyFont="1" applyFill="1" applyBorder="1" applyAlignment="1" applyProtection="1">
      <alignment horizontal="center" vertical="center" wrapText="1"/>
    </xf>
    <xf numFmtId="0" fontId="145" fillId="5" borderId="39" xfId="1" applyFont="1" applyFill="1" applyBorder="1" applyAlignment="1" applyProtection="1">
      <alignment horizontal="center" vertical="center" wrapText="1"/>
    </xf>
    <xf numFmtId="0" fontId="155" fillId="5" borderId="9" xfId="1" applyFont="1" applyFill="1" applyBorder="1" applyAlignment="1" applyProtection="1">
      <alignment horizontal="center" vertical="center"/>
    </xf>
    <xf numFmtId="0" fontId="155" fillId="5" borderId="2" xfId="1" applyFont="1" applyFill="1" applyBorder="1" applyAlignment="1" applyProtection="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applyProtection="1"/>
    <xf numFmtId="0" fontId="82" fillId="5" borderId="2" xfId="1" applyFont="1" applyFill="1" applyBorder="1" applyAlignment="1" applyProtection="1">
      <alignment horizontal="center"/>
    </xf>
    <xf numFmtId="0" fontId="105" fillId="5" borderId="2" xfId="1" applyFont="1" applyFill="1" applyBorder="1" applyAlignment="1" applyProtection="1">
      <alignment horizontal="center" vertical="center"/>
      <protection locked="0"/>
    </xf>
    <xf numFmtId="0" fontId="145" fillId="5" borderId="87" xfId="1" applyFont="1" applyFill="1" applyBorder="1" applyAlignment="1" applyProtection="1">
      <alignment horizontal="center" vertical="center" wrapText="1"/>
    </xf>
    <xf numFmtId="0" fontId="145" fillId="5" borderId="63" xfId="1" applyFont="1" applyFill="1" applyBorder="1" applyAlignment="1" applyProtection="1">
      <alignment horizontal="center" vertical="center" wrapText="1"/>
    </xf>
    <xf numFmtId="0" fontId="148" fillId="5" borderId="9" xfId="1" applyFont="1" applyFill="1" applyBorder="1" applyAlignment="1" applyProtection="1">
      <alignment horizontal="center" vertical="center"/>
    </xf>
    <xf numFmtId="0" fontId="148" fillId="5" borderId="2" xfId="1" applyFont="1" applyFill="1" applyBorder="1" applyAlignment="1" applyProtection="1">
      <alignment horizontal="center" vertical="center"/>
    </xf>
    <xf numFmtId="0" fontId="105" fillId="12"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Fill="1" applyAlignment="1" applyProtection="1">
      <alignment horizontal="center" vertical="center"/>
    </xf>
    <xf numFmtId="0" fontId="82" fillId="5" borderId="2" xfId="1" applyFont="1" applyFill="1" applyBorder="1" applyAlignment="1" applyProtection="1">
      <alignment horizontal="center" vertical="center" wrapText="1"/>
    </xf>
    <xf numFmtId="9" fontId="105" fillId="6" borderId="2" xfId="1" applyNumberFormat="1" applyFont="1" applyFill="1" applyBorder="1" applyAlignment="1" applyProtection="1">
      <alignment horizontal="center" vertical="center"/>
      <protection locked="0"/>
    </xf>
    <xf numFmtId="0" fontId="148" fillId="5" borderId="22" xfId="1" applyFont="1" applyFill="1" applyBorder="1" applyAlignment="1" applyProtection="1">
      <alignment vertical="center"/>
    </xf>
    <xf numFmtId="0" fontId="148" fillId="5" borderId="12" xfId="1" applyNumberFormat="1" applyFont="1" applyFill="1" applyBorder="1" applyAlignment="1" applyProtection="1">
      <alignment horizontal="center" vertical="center"/>
    </xf>
    <xf numFmtId="0" fontId="148" fillId="0" borderId="2" xfId="1" applyFont="1" applyFill="1" applyBorder="1" applyAlignment="1" applyProtection="1">
      <alignment horizontal="center" vertical="center"/>
      <protection locked="0"/>
    </xf>
    <xf numFmtId="0" fontId="148" fillId="5" borderId="24" xfId="1" applyFont="1" applyFill="1" applyBorder="1" applyAlignment="1" applyProtection="1">
      <alignment vertical="center"/>
    </xf>
    <xf numFmtId="49" fontId="148" fillId="5" borderId="12" xfId="1" applyNumberFormat="1" applyFont="1" applyFill="1" applyBorder="1" applyAlignment="1" applyProtection="1">
      <alignment horizontal="center" vertical="center"/>
    </xf>
    <xf numFmtId="0" fontId="148" fillId="5" borderId="11" xfId="1" applyFont="1" applyFill="1" applyBorder="1" applyAlignment="1" applyProtection="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pplyProtection="1">
      <alignment horizontal="center" vertical="center"/>
    </xf>
    <xf numFmtId="49" fontId="148" fillId="5" borderId="46" xfId="1" applyNumberFormat="1" applyFont="1" applyFill="1" applyBorder="1" applyAlignment="1" applyProtection="1">
      <alignment horizontal="center" vertical="center"/>
    </xf>
    <xf numFmtId="0" fontId="82" fillId="5" borderId="44" xfId="1" applyFont="1" applyFill="1" applyBorder="1" applyAlignment="1" applyProtection="1">
      <alignment horizontal="center"/>
    </xf>
    <xf numFmtId="178" fontId="91" fillId="5" borderId="46" xfId="1" applyNumberFormat="1" applyFont="1" applyFill="1" applyBorder="1" applyAlignment="1" applyProtection="1">
      <alignment horizontal="center"/>
    </xf>
    <xf numFmtId="0" fontId="82" fillId="5" borderId="0" xfId="1" applyFont="1" applyFill="1" applyAlignment="1" applyProtection="1">
      <protection locked="0"/>
    </xf>
    <xf numFmtId="0" fontId="82" fillId="12"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xf>
    <xf numFmtId="14" fontId="80" fillId="5" borderId="0" xfId="1" applyNumberFormat="1" applyFont="1" applyFill="1" applyAlignment="1" applyProtection="1">
      <alignment horizontal="center" vertical="center"/>
    </xf>
    <xf numFmtId="0" fontId="106" fillId="5" borderId="0" xfId="1" applyFont="1" applyFill="1" applyBorder="1" applyAlignment="1" applyProtection="1"/>
    <xf numFmtId="0" fontId="80" fillId="5" borderId="0" xfId="1" applyFont="1" applyFill="1" applyBorder="1" applyAlignment="1" applyProtection="1"/>
    <xf numFmtId="0" fontId="80" fillId="5" borderId="0" xfId="1" applyFont="1" applyFill="1" applyBorder="1" applyAlignment="1" applyProtection="1">
      <alignment horizontal="center"/>
    </xf>
    <xf numFmtId="188" fontId="80" fillId="5" borderId="0" xfId="1" applyNumberFormat="1" applyFont="1" applyFill="1" applyBorder="1" applyAlignment="1" applyProtection="1">
      <alignment horizontal="center"/>
    </xf>
    <xf numFmtId="182" fontId="80" fillId="5" borderId="0" xfId="1" applyNumberFormat="1" applyFont="1" applyFill="1" applyBorder="1" applyAlignment="1" applyProtection="1"/>
    <xf numFmtId="0" fontId="80" fillId="5" borderId="0" xfId="1" applyFont="1" applyFill="1" applyBorder="1" applyAlignment="1" applyProtection="1">
      <protection locked="0"/>
    </xf>
    <xf numFmtId="9" fontId="67" fillId="5" borderId="0" xfId="1" applyNumberFormat="1" applyFont="1" applyFill="1" applyBorder="1" applyAlignment="1" applyProtection="1">
      <alignment horizontal="center" vertical="center" wrapText="1"/>
      <protection locked="0"/>
    </xf>
    <xf numFmtId="0" fontId="45" fillId="5" borderId="26" xfId="1" applyNumberFormat="1" applyFont="1" applyFill="1" applyBorder="1" applyAlignment="1" applyProtection="1">
      <alignment vertical="center"/>
    </xf>
    <xf numFmtId="0" fontId="71" fillId="5" borderId="58" xfId="1" applyNumberFormat="1" applyFont="1" applyFill="1" applyBorder="1" applyAlignment="1" applyProtection="1">
      <alignment vertical="center" wrapText="1"/>
    </xf>
    <xf numFmtId="0" fontId="67" fillId="5" borderId="42" xfId="1" applyNumberFormat="1" applyFont="1" applyFill="1" applyBorder="1" applyAlignment="1" applyProtection="1">
      <alignment horizontal="center" vertical="center" wrapText="1"/>
    </xf>
    <xf numFmtId="49" fontId="67" fillId="5" borderId="0" xfId="1" applyNumberFormat="1" applyFont="1" applyFill="1" applyBorder="1" applyAlignment="1" applyProtection="1">
      <alignment horizontal="center" vertical="center" wrapText="1"/>
      <protection locked="0"/>
    </xf>
    <xf numFmtId="49" fontId="67" fillId="5" borderId="0" xfId="1" applyNumberFormat="1" applyFont="1" applyFill="1" applyBorder="1" applyAlignment="1" applyProtection="1">
      <alignment horizontal="center" vertical="center"/>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Fill="1" applyAlignment="1" applyProtection="1">
      <alignment horizontal="center" vertical="center"/>
    </xf>
    <xf numFmtId="0" fontId="45" fillId="5" borderId="11" xfId="1" applyNumberFormat="1" applyFont="1" applyFill="1" applyBorder="1" applyAlignment="1" applyProtection="1">
      <alignment horizontal="center" vertical="center" wrapText="1"/>
    </xf>
    <xf numFmtId="10" fontId="71" fillId="5" borderId="2" xfId="1" applyNumberFormat="1" applyFont="1" applyFill="1" applyBorder="1" applyAlignment="1" applyProtection="1">
      <alignment horizontal="center" vertical="center" wrapText="1"/>
    </xf>
    <xf numFmtId="0" fontId="67" fillId="5" borderId="2" xfId="1" applyNumberFormat="1" applyFont="1" applyFill="1" applyBorder="1" applyAlignment="1" applyProtection="1">
      <alignment horizontal="center" vertical="center" wrapText="1"/>
    </xf>
    <xf numFmtId="0" fontId="67" fillId="0" borderId="2" xfId="1" applyNumberFormat="1" applyFont="1" applyFill="1" applyBorder="1" applyAlignment="1" applyProtection="1">
      <alignment horizontal="center" vertical="center" wrapText="1"/>
      <protection locked="0"/>
    </xf>
    <xf numFmtId="0" fontId="67" fillId="5" borderId="0" xfId="1" applyNumberFormat="1" applyFont="1" applyFill="1" applyBorder="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0" fontId="71" fillId="5" borderId="54" xfId="1" applyNumberFormat="1" applyFont="1" applyFill="1" applyBorder="1" applyAlignment="1" applyProtection="1">
      <alignment vertical="center"/>
    </xf>
    <xf numFmtId="0" fontId="71" fillId="5" borderId="67" xfId="1" applyNumberFormat="1" applyFont="1" applyFill="1" applyBorder="1" applyAlignment="1" applyProtection="1">
      <alignment vertical="center" wrapText="1"/>
    </xf>
    <xf numFmtId="178" fontId="67" fillId="0" borderId="67" xfId="1" applyNumberFormat="1" applyFont="1" applyFill="1" applyBorder="1" applyAlignment="1" applyProtection="1">
      <alignment horizontal="center" vertical="center" wrapText="1"/>
      <protection locked="0"/>
    </xf>
    <xf numFmtId="180" fontId="67" fillId="0" borderId="67" xfId="1" applyNumberFormat="1" applyFont="1" applyBorder="1" applyAlignment="1" applyProtection="1">
      <alignment horizontal="center" vertical="center" wrapText="1"/>
      <protection locked="0"/>
    </xf>
    <xf numFmtId="180" fontId="67" fillId="0" borderId="55" xfId="1" applyNumberFormat="1" applyFont="1" applyBorder="1" applyAlignment="1" applyProtection="1">
      <alignment horizontal="center" vertical="center" wrapText="1"/>
      <protection locked="0"/>
    </xf>
    <xf numFmtId="0" fontId="232" fillId="12" borderId="128" xfId="13" applyFont="1" applyFill="1" applyBorder="1" applyAlignment="1" applyProtection="1">
      <alignment horizontal="left" vertical="center" wrapText="1"/>
      <protection locked="0"/>
    </xf>
    <xf numFmtId="0" fontId="71" fillId="5" borderId="13" xfId="1" applyNumberFormat="1" applyFont="1" applyFill="1" applyBorder="1" applyAlignment="1" applyProtection="1">
      <alignment vertical="center" wrapText="1"/>
    </xf>
    <xf numFmtId="0" fontId="71" fillId="5" borderId="18" xfId="1" applyNumberFormat="1" applyFont="1" applyFill="1" applyBorder="1" applyAlignment="1" applyProtection="1">
      <alignment vertical="center" wrapText="1"/>
    </xf>
    <xf numFmtId="0" fontId="67" fillId="5" borderId="20" xfId="1" applyNumberFormat="1" applyFont="1" applyFill="1" applyBorder="1" applyAlignment="1" applyProtection="1">
      <alignment horizontal="center" vertical="center" wrapText="1"/>
    </xf>
    <xf numFmtId="0" fontId="67" fillId="0" borderId="21" xfId="1" applyNumberFormat="1" applyFont="1" applyFill="1" applyBorder="1" applyAlignment="1" applyProtection="1">
      <alignment horizontal="center" vertical="center" wrapText="1"/>
      <protection locked="0"/>
    </xf>
    <xf numFmtId="0" fontId="67" fillId="0" borderId="21" xfId="1" applyNumberFormat="1" applyFont="1" applyFill="1" applyBorder="1" applyAlignment="1" applyProtection="1">
      <alignment horizontal="left" vertical="center" wrapText="1"/>
      <protection locked="0"/>
    </xf>
    <xf numFmtId="0" fontId="67" fillId="0" borderId="51" xfId="1" applyNumberFormat="1" applyFont="1" applyFill="1" applyBorder="1" applyAlignment="1" applyProtection="1">
      <alignment horizontal="center" vertical="center" wrapText="1"/>
      <protection locked="0"/>
    </xf>
    <xf numFmtId="0" fontId="67" fillId="12" borderId="0" xfId="1" applyNumberFormat="1" applyFont="1" applyFill="1" applyBorder="1" applyAlignment="1" applyProtection="1">
      <alignment horizontal="center" vertical="center" wrapText="1"/>
      <protection locked="0"/>
    </xf>
    <xf numFmtId="0" fontId="145" fillId="5" borderId="0" xfId="1" applyFont="1" applyFill="1" applyBorder="1" applyAlignment="1" applyProtection="1">
      <alignment vertical="center"/>
      <protection locked="0"/>
    </xf>
    <xf numFmtId="0" fontId="67" fillId="5" borderId="32" xfId="1" applyNumberFormat="1" applyFont="1" applyFill="1" applyBorder="1" applyAlignment="1" applyProtection="1">
      <alignment horizontal="center" vertical="center" wrapText="1"/>
    </xf>
    <xf numFmtId="0" fontId="67" fillId="0" borderId="10" xfId="1" applyNumberFormat="1" applyFont="1" applyFill="1" applyBorder="1" applyAlignment="1" applyProtection="1">
      <alignment horizontal="center" vertical="center" wrapText="1"/>
      <protection locked="0"/>
    </xf>
    <xf numFmtId="0" fontId="67" fillId="0" borderId="25" xfId="1" applyNumberFormat="1" applyFont="1" applyFill="1" applyBorder="1" applyAlignment="1" applyProtection="1">
      <alignment horizontal="center" vertical="center" wrapText="1"/>
      <protection locked="0"/>
    </xf>
    <xf numFmtId="0" fontId="79" fillId="5" borderId="53" xfId="1" applyNumberFormat="1" applyFont="1" applyFill="1" applyBorder="1" applyAlignment="1" applyProtection="1">
      <alignment vertical="center" wrapText="1"/>
    </xf>
    <xf numFmtId="0" fontId="67" fillId="5" borderId="27" xfId="1" applyNumberFormat="1" applyFont="1" applyFill="1" applyBorder="1" applyAlignment="1" applyProtection="1">
      <alignment horizontal="center" vertical="center" wrapText="1"/>
    </xf>
    <xf numFmtId="0" fontId="101" fillId="0" borderId="6" xfId="1" applyNumberFormat="1" applyFont="1" applyFill="1" applyBorder="1" applyAlignment="1" applyProtection="1">
      <alignment horizontal="center" vertical="center" wrapText="1"/>
      <protection locked="0"/>
    </xf>
    <xf numFmtId="0" fontId="101" fillId="0" borderId="6" xfId="1" applyNumberFormat="1" applyFont="1" applyFill="1" applyBorder="1" applyAlignment="1" applyProtection="1">
      <alignment horizontal="left" vertical="center" wrapText="1"/>
      <protection locked="0"/>
    </xf>
    <xf numFmtId="0" fontId="101" fillId="0" borderId="7" xfId="1" applyNumberFormat="1" applyFont="1" applyFill="1" applyBorder="1" applyAlignment="1" applyProtection="1">
      <alignment horizontal="center" vertical="center" wrapText="1"/>
      <protection locked="0"/>
    </xf>
    <xf numFmtId="0" fontId="101" fillId="12" borderId="0" xfId="1" applyNumberFormat="1" applyFont="1" applyFill="1" applyBorder="1" applyAlignment="1" applyProtection="1">
      <alignment horizontal="center" vertical="center" wrapText="1"/>
      <protection locked="0"/>
    </xf>
    <xf numFmtId="0" fontId="101" fillId="5" borderId="0" xfId="1" applyNumberFormat="1" applyFont="1" applyFill="1" applyBorder="1" applyAlignment="1" applyProtection="1">
      <alignment horizontal="center" vertical="center" wrapText="1"/>
      <protection locked="0"/>
    </xf>
    <xf numFmtId="0" fontId="67" fillId="5" borderId="0" xfId="1" applyFont="1" applyFill="1" applyBorder="1" applyAlignment="1" applyProtection="1">
      <alignment horizontal="center" vertical="center" wrapText="1"/>
      <protection locked="0"/>
    </xf>
    <xf numFmtId="0" fontId="79" fillId="5" borderId="24" xfId="1" applyNumberFormat="1" applyFont="1" applyFill="1" applyBorder="1" applyAlignment="1" applyProtection="1">
      <alignment vertical="center" wrapText="1"/>
    </xf>
    <xf numFmtId="0" fontId="76" fillId="5" borderId="70" xfId="1" applyNumberFormat="1" applyFont="1" applyFill="1" applyBorder="1" applyAlignment="1" applyProtection="1">
      <alignment horizontal="center" vertical="center" wrapText="1"/>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12" borderId="0"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67"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101" fillId="5" borderId="74" xfId="1" applyNumberFormat="1" applyFont="1" applyFill="1" applyBorder="1" applyAlignment="1" applyProtection="1">
      <alignment horizontal="center" vertical="center" wrapText="1"/>
    </xf>
    <xf numFmtId="0" fontId="101" fillId="5" borderId="74" xfId="1" applyNumberFormat="1" applyFont="1" applyFill="1" applyBorder="1" applyAlignment="1" applyProtection="1">
      <alignment horizontal="left" vertical="center" wrapText="1"/>
    </xf>
    <xf numFmtId="0" fontId="101" fillId="5" borderId="75" xfId="1" applyNumberFormat="1" applyFont="1" applyFill="1" applyBorder="1" applyAlignment="1" applyProtection="1">
      <alignment horizontal="center" vertical="center" wrapText="1"/>
    </xf>
    <xf numFmtId="0" fontId="67" fillId="5" borderId="70"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67" fillId="5" borderId="3" xfId="1" applyNumberFormat="1" applyFont="1" applyFill="1" applyBorder="1" applyAlignment="1" applyProtection="1">
      <alignment horizontal="center" vertical="center" wrapText="1"/>
    </xf>
    <xf numFmtId="0" fontId="80" fillId="5" borderId="21" xfId="1" applyNumberFormat="1" applyFont="1" applyFill="1" applyBorder="1" applyAlignment="1" applyProtection="1">
      <alignment horizontal="center" vertical="center" wrapText="1"/>
    </xf>
    <xf numFmtId="0" fontId="76" fillId="5" borderId="3" xfId="1" applyNumberFormat="1" applyFont="1" applyFill="1" applyBorder="1" applyAlignment="1" applyProtection="1">
      <alignment horizontal="center" vertical="center" wrapText="1"/>
    </xf>
    <xf numFmtId="0" fontId="101" fillId="0" borderId="2" xfId="1" applyNumberFormat="1" applyFont="1" applyFill="1" applyBorder="1" applyAlignment="1" applyProtection="1">
      <alignment horizontal="center" vertical="center" wrapText="1"/>
      <protection locked="0"/>
    </xf>
    <xf numFmtId="0" fontId="101" fillId="0" borderId="2" xfId="1" applyNumberFormat="1" applyFont="1" applyFill="1" applyBorder="1" applyAlignment="1" applyProtection="1">
      <alignment horizontal="left" vertical="center" wrapText="1"/>
      <protection locked="0"/>
    </xf>
    <xf numFmtId="0" fontId="101" fillId="0" borderId="12" xfId="1" applyNumberFormat="1" applyFont="1" applyFill="1" applyBorder="1" applyAlignment="1" applyProtection="1">
      <alignment horizontal="center" vertical="center" wrapText="1"/>
      <protection locked="0"/>
    </xf>
    <xf numFmtId="0" fontId="96" fillId="5" borderId="24" xfId="1" applyNumberFormat="1" applyFont="1" applyFill="1" applyBorder="1" applyAlignment="1" applyProtection="1">
      <alignment vertical="center" wrapText="1"/>
    </xf>
    <xf numFmtId="0" fontId="67" fillId="0" borderId="74" xfId="1" applyNumberFormat="1" applyFont="1" applyFill="1" applyBorder="1" applyAlignment="1" applyProtection="1">
      <alignment horizontal="center" vertical="center" wrapText="1"/>
      <protection locked="0"/>
    </xf>
    <xf numFmtId="0" fontId="76" fillId="0" borderId="74" xfId="1" applyNumberFormat="1" applyFont="1" applyFill="1" applyBorder="1" applyAlignment="1" applyProtection="1">
      <alignment horizontal="center" vertical="center" wrapText="1"/>
      <protection locked="0"/>
    </xf>
    <xf numFmtId="0" fontId="76" fillId="0" borderId="74" xfId="1" applyNumberFormat="1" applyFont="1" applyFill="1" applyBorder="1" applyAlignment="1" applyProtection="1">
      <alignment horizontal="left" vertical="center" wrapText="1"/>
      <protection locked="0"/>
    </xf>
    <xf numFmtId="0" fontId="76" fillId="0" borderId="75" xfId="1" applyNumberFormat="1" applyFont="1" applyFill="1" applyBorder="1" applyAlignment="1" applyProtection="1">
      <alignment horizontal="center" vertical="center" wrapText="1"/>
      <protection locked="0"/>
    </xf>
    <xf numFmtId="0" fontId="76" fillId="12" borderId="0" xfId="1" applyNumberFormat="1" applyFont="1" applyFill="1" applyBorder="1" applyAlignment="1" applyProtection="1">
      <alignment horizontal="center" vertical="center" wrapText="1"/>
      <protection locked="0"/>
    </xf>
    <xf numFmtId="0" fontId="76" fillId="5" borderId="0"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67" fillId="0" borderId="71" xfId="1" applyNumberFormat="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protection locked="0"/>
    </xf>
    <xf numFmtId="0" fontId="76" fillId="0" borderId="71" xfId="1" applyNumberFormat="1" applyFont="1" applyFill="1" applyBorder="1" applyAlignment="1" applyProtection="1">
      <alignment horizontal="center" vertical="center" wrapText="1"/>
      <protection locked="0"/>
    </xf>
    <xf numFmtId="0" fontId="76" fillId="0" borderId="72" xfId="1" applyNumberFormat="1" applyFont="1" applyFill="1" applyBorder="1" applyAlignment="1" applyProtection="1">
      <alignment horizontal="center" vertical="center" wrapText="1"/>
      <protection locked="0"/>
    </xf>
    <xf numFmtId="0" fontId="76" fillId="0" borderId="21" xfId="1" applyNumberFormat="1" applyFont="1" applyFill="1" applyBorder="1" applyAlignment="1" applyProtection="1">
      <alignment horizontal="center" vertical="center" wrapText="1"/>
      <protection locked="0"/>
    </xf>
    <xf numFmtId="0" fontId="76" fillId="0" borderId="21" xfId="1" applyNumberFormat="1" applyFont="1" applyFill="1" applyBorder="1" applyAlignment="1" applyProtection="1">
      <alignment horizontal="left" vertical="center" wrapText="1"/>
      <protection locked="0"/>
    </xf>
    <xf numFmtId="0" fontId="76" fillId="0" borderId="51"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vertical="center" wrapText="1"/>
      <protection locked="0"/>
    </xf>
    <xf numFmtId="0" fontId="96" fillId="5" borderId="23" xfId="1" applyNumberFormat="1" applyFont="1" applyFill="1" applyBorder="1" applyAlignment="1" applyProtection="1">
      <alignment vertical="center" wrapText="1"/>
    </xf>
    <xf numFmtId="0" fontId="67" fillId="5" borderId="55" xfId="1" applyNumberFormat="1" applyFont="1" applyFill="1" applyBorder="1" applyAlignment="1" applyProtection="1">
      <alignment horizontal="center" vertical="center" wrapText="1"/>
    </xf>
    <xf numFmtId="0" fontId="67" fillId="0" borderId="44" xfId="1" applyNumberFormat="1" applyFont="1" applyFill="1" applyBorder="1" applyAlignment="1" applyProtection="1">
      <alignment horizontal="center" vertical="center" wrapText="1"/>
      <protection locked="0"/>
    </xf>
    <xf numFmtId="0" fontId="76" fillId="0" borderId="44" xfId="1" applyNumberFormat="1" applyFont="1" applyFill="1" applyBorder="1" applyAlignment="1" applyProtection="1">
      <alignment horizontal="center" vertical="center" wrapText="1"/>
      <protection locked="0"/>
    </xf>
    <xf numFmtId="0" fontId="76" fillId="0" borderId="46" xfId="1" applyNumberFormat="1" applyFont="1" applyFill="1" applyBorder="1" applyAlignment="1" applyProtection="1">
      <alignment horizontal="center" vertical="center" wrapText="1"/>
      <protection locked="0"/>
    </xf>
    <xf numFmtId="0" fontId="67" fillId="5" borderId="6" xfId="1" applyNumberFormat="1" applyFont="1" applyFill="1" applyBorder="1" applyAlignment="1" applyProtection="1">
      <alignment horizontal="center" vertical="center" wrapText="1"/>
    </xf>
    <xf numFmtId="0" fontId="80" fillId="5" borderId="6" xfId="1" applyNumberFormat="1" applyFont="1" applyFill="1" applyBorder="1" applyAlignment="1" applyProtection="1">
      <alignment horizontal="center" vertical="center" wrapText="1"/>
    </xf>
    <xf numFmtId="0" fontId="101" fillId="5" borderId="6" xfId="1" applyNumberFormat="1" applyFont="1" applyFill="1" applyBorder="1" applyAlignment="1" applyProtection="1">
      <alignment horizontal="center" vertical="center" wrapText="1"/>
    </xf>
    <xf numFmtId="0" fontId="101" fillId="5" borderId="6" xfId="1" applyNumberFormat="1" applyFont="1" applyFill="1" applyBorder="1" applyAlignment="1" applyProtection="1">
      <alignment horizontal="left" vertical="center" wrapText="1"/>
    </xf>
    <xf numFmtId="0" fontId="101" fillId="5" borderId="7" xfId="1" applyNumberFormat="1" applyFont="1" applyFill="1" applyBorder="1" applyAlignment="1" applyProtection="1">
      <alignment horizontal="center" vertical="center" wrapText="1"/>
    </xf>
    <xf numFmtId="0" fontId="67" fillId="5" borderId="0" xfId="1" applyFont="1" applyFill="1" applyBorder="1" applyAlignment="1" applyProtection="1">
      <alignment vertical="center" wrapText="1"/>
      <protection locked="0"/>
    </xf>
    <xf numFmtId="0" fontId="67" fillId="5" borderId="74" xfId="1" applyNumberFormat="1" applyFont="1" applyFill="1" applyBorder="1" applyAlignment="1" applyProtection="1">
      <alignment horizontal="center" vertical="center" wrapText="1"/>
    </xf>
    <xf numFmtId="0" fontId="71" fillId="5" borderId="24" xfId="1" applyNumberFormat="1" applyFont="1" applyFill="1" applyBorder="1" applyAlignment="1" applyProtection="1">
      <alignment vertical="center" wrapText="1"/>
    </xf>
    <xf numFmtId="0" fontId="67" fillId="5" borderId="74" xfId="1" applyNumberFormat="1" applyFont="1" applyFill="1" applyBorder="1" applyAlignment="1" applyProtection="1">
      <alignment horizontal="left" vertical="center" wrapText="1"/>
    </xf>
    <xf numFmtId="0" fontId="67" fillId="5" borderId="75" xfId="1" applyNumberFormat="1" applyFont="1" applyFill="1" applyBorder="1" applyAlignment="1" applyProtection="1">
      <alignment horizontal="center" vertical="center" wrapText="1"/>
    </xf>
    <xf numFmtId="0" fontId="67" fillId="5" borderId="71" xfId="1" applyNumberFormat="1" applyFont="1" applyFill="1" applyBorder="1" applyAlignment="1" applyProtection="1">
      <alignment horizontal="center" vertical="center" wrapText="1"/>
    </xf>
    <xf numFmtId="0" fontId="48" fillId="5" borderId="73" xfId="1" applyNumberFormat="1" applyFont="1" applyFill="1" applyBorder="1" applyAlignment="1" applyProtection="1">
      <alignment horizontal="center" vertical="center" wrapText="1"/>
    </xf>
    <xf numFmtId="0" fontId="76" fillId="5" borderId="74" xfId="1" applyNumberFormat="1" applyFont="1" applyFill="1" applyBorder="1" applyAlignment="1" applyProtection="1">
      <alignment horizontal="center" vertical="center" wrapText="1"/>
    </xf>
    <xf numFmtId="0" fontId="76" fillId="5" borderId="74" xfId="1" applyNumberFormat="1" applyFont="1" applyFill="1" applyBorder="1" applyAlignment="1" applyProtection="1">
      <alignment horizontal="left" vertical="center" wrapText="1"/>
    </xf>
    <xf numFmtId="0" fontId="76" fillId="5" borderId="75" xfId="1" applyNumberFormat="1" applyFont="1" applyFill="1" applyBorder="1" applyAlignment="1" applyProtection="1">
      <alignment horizontal="center" vertical="center" wrapText="1"/>
    </xf>
    <xf numFmtId="0" fontId="76" fillId="5" borderId="71" xfId="1" applyNumberFormat="1" applyFont="1" applyFill="1" applyBorder="1" applyAlignment="1" applyProtection="1">
      <alignment horizontal="center" vertical="center" wrapText="1"/>
    </xf>
    <xf numFmtId="0" fontId="76" fillId="5" borderId="72" xfId="1" applyNumberFormat="1" applyFont="1" applyFill="1" applyBorder="1" applyAlignment="1" applyProtection="1">
      <alignment horizontal="center" vertical="center" wrapText="1"/>
    </xf>
    <xf numFmtId="0" fontId="48" fillId="5" borderId="3" xfId="1" applyNumberFormat="1" applyFont="1" applyFill="1" applyBorder="1" applyAlignment="1" applyProtection="1">
      <alignment horizontal="center" vertical="center" wrapText="1"/>
    </xf>
    <xf numFmtId="0" fontId="54" fillId="5" borderId="3" xfId="1" applyNumberFormat="1" applyFont="1" applyFill="1" applyBorder="1" applyAlignment="1" applyProtection="1">
      <alignment horizontal="center" vertical="center" wrapText="1"/>
    </xf>
    <xf numFmtId="0" fontId="76" fillId="5" borderId="52" xfId="1" applyNumberFormat="1" applyFont="1" applyFill="1" applyBorder="1" applyAlignment="1" applyProtection="1">
      <alignment horizontal="center" vertical="center" wrapText="1"/>
    </xf>
    <xf numFmtId="0" fontId="77"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01" fillId="0" borderId="74" xfId="1" applyNumberFormat="1" applyFont="1" applyFill="1" applyBorder="1" applyAlignment="1" applyProtection="1">
      <alignment horizontal="center" vertical="center" wrapText="1"/>
      <protection locked="0"/>
    </xf>
    <xf numFmtId="0" fontId="101" fillId="0" borderId="74" xfId="1" applyNumberFormat="1" applyFont="1" applyFill="1" applyBorder="1" applyAlignment="1" applyProtection="1">
      <alignment horizontal="left" vertical="center" wrapText="1"/>
      <protection locked="0"/>
    </xf>
    <xf numFmtId="0" fontId="101" fillId="0" borderId="75" xfId="1" applyNumberFormat="1" applyFont="1" applyFill="1" applyBorder="1" applyAlignment="1" applyProtection="1">
      <alignment horizontal="center" vertical="center" wrapText="1"/>
      <protection locked="0"/>
    </xf>
    <xf numFmtId="0" fontId="140" fillId="0" borderId="74"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101" fillId="0" borderId="21" xfId="1" applyNumberFormat="1" applyFont="1" applyFill="1" applyBorder="1" applyAlignment="1" applyProtection="1">
      <alignment horizontal="center" vertical="center" wrapText="1"/>
      <protection locked="0"/>
    </xf>
    <xf numFmtId="0" fontId="101" fillId="0" borderId="21" xfId="1" applyNumberFormat="1" applyFont="1" applyFill="1" applyBorder="1" applyAlignment="1" applyProtection="1">
      <alignment horizontal="left" vertical="center" wrapText="1"/>
      <protection locked="0"/>
    </xf>
    <xf numFmtId="0" fontId="101" fillId="0" borderId="51"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96" fillId="5" borderId="24" xfId="1" applyNumberFormat="1" applyFont="1" applyFill="1" applyBorder="1" applyAlignment="1" applyProtection="1">
      <alignment vertical="center" textRotation="255" wrapText="1"/>
    </xf>
    <xf numFmtId="0" fontId="67" fillId="5" borderId="13" xfId="1" applyNumberFormat="1" applyFont="1" applyFill="1" applyBorder="1" applyAlignment="1" applyProtection="1">
      <alignment horizontal="center" vertical="center"/>
    </xf>
    <xf numFmtId="0" fontId="76" fillId="0" borderId="2" xfId="1" applyNumberFormat="1" applyFont="1" applyFill="1" applyBorder="1" applyAlignment="1" applyProtection="1">
      <alignment horizontal="center" vertical="center" wrapText="1"/>
      <protection locked="0"/>
    </xf>
    <xf numFmtId="0" fontId="76" fillId="0" borderId="2" xfId="1" applyNumberFormat="1" applyFont="1" applyFill="1" applyBorder="1" applyAlignment="1" applyProtection="1">
      <alignment horizontal="left" vertical="center" wrapText="1"/>
      <protection locked="0"/>
    </xf>
    <xf numFmtId="0" fontId="76" fillId="0" borderId="12" xfId="1" applyNumberFormat="1" applyFont="1" applyFill="1" applyBorder="1" applyAlignment="1" applyProtection="1">
      <alignment horizontal="center" vertical="center" wrapText="1"/>
      <protection locked="0"/>
    </xf>
    <xf numFmtId="0" fontId="80" fillId="0" borderId="10" xfId="1" applyNumberFormat="1" applyFont="1" applyFill="1" applyBorder="1" applyAlignment="1" applyProtection="1">
      <alignment horizontal="center" vertical="center" wrapText="1"/>
      <protection locked="0"/>
    </xf>
    <xf numFmtId="0" fontId="80" fillId="0" borderId="25" xfId="1" applyNumberFormat="1" applyFont="1" applyFill="1" applyBorder="1" applyAlignment="1" applyProtection="1">
      <alignment horizontal="center" vertical="center" wrapText="1"/>
      <protection locked="0"/>
    </xf>
    <xf numFmtId="0" fontId="145" fillId="5" borderId="6" xfId="1" applyNumberFormat="1" applyFont="1" applyFill="1" applyBorder="1" applyAlignment="1" applyProtection="1">
      <alignment horizontal="center" vertical="center" wrapText="1"/>
    </xf>
    <xf numFmtId="0" fontId="145" fillId="5" borderId="6" xfId="1" applyNumberFormat="1" applyFont="1" applyFill="1" applyBorder="1" applyAlignment="1" applyProtection="1">
      <alignment horizontal="left" vertical="center" wrapText="1"/>
    </xf>
    <xf numFmtId="0" fontId="145" fillId="5" borderId="7" xfId="1" applyNumberFormat="1" applyFont="1" applyFill="1" applyBorder="1" applyAlignment="1" applyProtection="1">
      <alignment horizontal="center" vertical="center" wrapText="1"/>
    </xf>
    <xf numFmtId="0" fontId="79" fillId="5" borderId="24" xfId="1" applyNumberFormat="1" applyFont="1" applyFill="1" applyBorder="1" applyAlignment="1" applyProtection="1">
      <alignment vertical="center" textRotation="255" wrapText="1"/>
    </xf>
    <xf numFmtId="0" fontId="48" fillId="0" borderId="74" xfId="1" applyNumberFormat="1" applyFont="1" applyFill="1" applyBorder="1" applyAlignment="1" applyProtection="1">
      <alignment horizontal="center" vertical="center" wrapText="1"/>
      <protection locked="0"/>
    </xf>
    <xf numFmtId="0" fontId="76" fillId="5" borderId="55" xfId="1" applyNumberFormat="1" applyFont="1" applyFill="1" applyBorder="1" applyAlignment="1" applyProtection="1">
      <alignment horizontal="center" vertical="center" wrapText="1"/>
    </xf>
    <xf numFmtId="0" fontId="80" fillId="0" borderId="0" xfId="1" applyFont="1" applyFill="1" applyAlignment="1" applyProtection="1">
      <alignment horizontal="center" vertical="center"/>
      <protection locked="0"/>
    </xf>
    <xf numFmtId="188" fontId="80" fillId="0" borderId="0" xfId="1" applyNumberFormat="1" applyFont="1" applyFill="1" applyAlignment="1" applyProtection="1">
      <alignment horizontal="center" vertical="center"/>
      <protection locked="0"/>
    </xf>
    <xf numFmtId="182" fontId="80" fillId="0" borderId="0" xfId="1" applyNumberFormat="1" applyFont="1" applyFill="1" applyAlignment="1" applyProtection="1">
      <alignment horizontal="center" vertical="center"/>
      <protection locked="0"/>
    </xf>
    <xf numFmtId="188" fontId="80" fillId="0" borderId="0" xfId="1" applyNumberFormat="1" applyFont="1" applyFill="1" applyAlignment="1" applyProtection="1">
      <alignment horizontal="center" vertical="center"/>
    </xf>
    <xf numFmtId="182" fontId="80" fillId="0" borderId="0" xfId="1" applyNumberFormat="1" applyFont="1" applyFill="1" applyAlignment="1" applyProtection="1">
      <alignment horizontal="center" vertical="center"/>
    </xf>
    <xf numFmtId="0" fontId="141" fillId="0" borderId="10" xfId="20" applyFont="1" applyBorder="1" applyAlignment="1">
      <alignment horizontal="center" vertical="center"/>
    </xf>
    <xf numFmtId="0" fontId="141" fillId="0" borderId="5" xfId="20" applyFont="1" applyBorder="1" applyAlignment="1">
      <alignment horizontal="center" vertical="center"/>
    </xf>
    <xf numFmtId="0" fontId="141" fillId="0" borderId="9" xfId="20" applyFont="1" applyBorder="1" applyAlignment="1">
      <alignment horizontal="center" vertical="center"/>
    </xf>
    <xf numFmtId="0" fontId="250" fillId="0" borderId="5" xfId="20" applyBorder="1" applyAlignment="1">
      <alignment horizontal="center" vertical="center"/>
    </xf>
    <xf numFmtId="0" fontId="250" fillId="0" borderId="9" xfId="20" applyBorder="1" applyAlignment="1">
      <alignment horizontal="center" vertical="center"/>
    </xf>
    <xf numFmtId="0" fontId="141" fillId="0" borderId="10" xfId="20" applyFont="1" applyBorder="1" applyAlignment="1">
      <alignment horizontal="center" vertical="center" wrapText="1"/>
    </xf>
    <xf numFmtId="0" fontId="250" fillId="0" borderId="0" xfId="20"/>
    <xf numFmtId="0" fontId="141" fillId="0" borderId="21" xfId="20" applyFont="1" applyBorder="1" applyAlignment="1">
      <alignment horizontal="center" vertical="center"/>
    </xf>
    <xf numFmtId="0" fontId="250" fillId="0" borderId="2" xfId="20" applyFont="1" applyBorder="1" applyAlignment="1">
      <alignment horizontal="center" vertical="center" wrapText="1"/>
    </xf>
    <xf numFmtId="0" fontId="141" fillId="0" borderId="2" xfId="20" applyFont="1" applyBorder="1" applyAlignment="1">
      <alignment horizontal="center" vertical="center" wrapText="1"/>
    </xf>
    <xf numFmtId="0" fontId="141" fillId="0" borderId="21" xfId="20" applyFont="1" applyBorder="1" applyAlignment="1">
      <alignment horizontal="center" vertical="center" wrapText="1"/>
    </xf>
    <xf numFmtId="0" fontId="141" fillId="0" borderId="2" xfId="20" applyNumberFormat="1" applyFont="1" applyBorder="1" applyAlignment="1">
      <alignment horizontal="center" vertical="center" wrapText="1"/>
    </xf>
    <xf numFmtId="0" fontId="250" fillId="0" borderId="2" xfId="20" applyBorder="1" applyAlignment="1">
      <alignment horizontal="center"/>
    </xf>
    <xf numFmtId="0" fontId="250" fillId="0" borderId="2" xfId="20" applyFont="1" applyBorder="1" applyAlignment="1">
      <alignment horizontal="center"/>
    </xf>
    <xf numFmtId="14" fontId="250" fillId="0" borderId="2" xfId="20" applyNumberFormat="1" applyBorder="1" applyAlignment="1">
      <alignment horizontal="center"/>
    </xf>
    <xf numFmtId="0" fontId="250" fillId="0" borderId="0" xfId="20" applyAlignment="1">
      <alignment horizontal="center"/>
    </xf>
    <xf numFmtId="0" fontId="250" fillId="0" borderId="0" xfId="20" applyAlignment="1">
      <alignment vertical="center"/>
    </xf>
    <xf numFmtId="0" fontId="82" fillId="8" borderId="2" xfId="13" applyFont="1" applyFill="1" applyBorder="1" applyAlignment="1">
      <alignment horizontal="left" vertical="center" wrapText="1"/>
    </xf>
    <xf numFmtId="0" fontId="232" fillId="8" borderId="124" xfId="13" applyFont="1" applyFill="1" applyBorder="1" applyAlignment="1" applyProtection="1">
      <alignment horizontal="left" vertical="center" wrapText="1"/>
      <protection locked="0"/>
    </xf>
    <xf numFmtId="0" fontId="91" fillId="8" borderId="2" xfId="13" applyFont="1" applyFill="1" applyBorder="1" applyAlignment="1">
      <alignment horizontal="left" vertical="center" wrapText="1"/>
    </xf>
    <xf numFmtId="0" fontId="284" fillId="8" borderId="133" xfId="13" applyFont="1" applyFill="1" applyBorder="1" applyAlignment="1" applyProtection="1">
      <alignment horizontal="left" vertical="center" wrapText="1"/>
      <protection locked="0"/>
    </xf>
    <xf numFmtId="0" fontId="232" fillId="8" borderId="133" xfId="13" applyFont="1" applyFill="1" applyBorder="1" applyAlignment="1" applyProtection="1">
      <alignment horizontal="left" vertical="center" wrapText="1"/>
      <protection locked="0"/>
    </xf>
    <xf numFmtId="0" fontId="82" fillId="8" borderId="159" xfId="13" applyFont="1" applyFill="1" applyBorder="1" applyAlignment="1">
      <alignment horizontal="left" vertical="center" wrapText="1"/>
    </xf>
    <xf numFmtId="0" fontId="232" fillId="8" borderId="162" xfId="13" applyFont="1" applyFill="1" applyBorder="1" applyAlignment="1" applyProtection="1">
      <alignment horizontal="left" vertical="center" wrapText="1"/>
      <protection locked="0"/>
    </xf>
    <xf numFmtId="49" fontId="82" fillId="8" borderId="2" xfId="13" applyNumberFormat="1" applyFont="1" applyFill="1" applyBorder="1" applyAlignment="1">
      <alignment horizontal="left" vertical="center" wrapText="1"/>
    </xf>
    <xf numFmtId="14" fontId="67" fillId="0" borderId="62" xfId="1" applyNumberFormat="1" applyFont="1" applyFill="1" applyBorder="1" applyAlignment="1" applyProtection="1">
      <alignment horizontal="center" vertical="center" wrapText="1"/>
      <protection locked="0"/>
    </xf>
    <xf numFmtId="14" fontId="67" fillId="0" borderId="33" xfId="1" applyNumberFormat="1" applyFont="1" applyFill="1" applyBorder="1" applyAlignment="1" applyProtection="1">
      <alignment horizontal="center" vertical="center" wrapText="1"/>
      <protection locked="0"/>
    </xf>
    <xf numFmtId="49" fontId="140" fillId="0" borderId="53" xfId="1" applyNumberFormat="1" applyFont="1" applyFill="1" applyBorder="1" applyAlignment="1" applyProtection="1">
      <alignment horizontal="center" vertical="center" wrapText="1"/>
      <protection locked="0"/>
    </xf>
    <xf numFmtId="49" fontId="303" fillId="0" borderId="24" xfId="1" applyNumberFormat="1" applyFont="1" applyFill="1" applyBorder="1" applyAlignment="1" applyProtection="1">
      <alignment horizontal="center" vertical="center" wrapText="1"/>
      <protection locked="0"/>
    </xf>
    <xf numFmtId="180" fontId="67" fillId="6" borderId="67" xfId="1" applyNumberFormat="1" applyFont="1" applyFill="1" applyBorder="1" applyAlignment="1" applyProtection="1">
      <alignment horizontal="center" vertical="center" wrapText="1"/>
      <protection locked="0"/>
    </xf>
    <xf numFmtId="0" fontId="232" fillId="11" borderId="121" xfId="13" applyFont="1" applyFill="1" applyBorder="1" applyAlignment="1" applyProtection="1">
      <alignment horizontal="left" vertical="center" wrapText="1"/>
      <protection locked="0"/>
    </xf>
    <xf numFmtId="0" fontId="77" fillId="0" borderId="21" xfId="1" applyNumberFormat="1" applyFont="1" applyFill="1" applyBorder="1" applyAlignment="1" applyProtection="1">
      <alignment horizontal="center" vertical="center" wrapText="1"/>
      <protection locked="0"/>
    </xf>
    <xf numFmtId="0" fontId="140" fillId="0" borderId="6" xfId="1" applyNumberFormat="1" applyFont="1" applyFill="1" applyBorder="1" applyAlignment="1" applyProtection="1">
      <alignment horizontal="center" vertical="center" wrapText="1"/>
      <protection locked="0"/>
    </xf>
    <xf numFmtId="0" fontId="141" fillId="0" borderId="0" xfId="1" applyFont="1" applyAlignment="1">
      <alignment horizontal="center" vertical="center"/>
    </xf>
    <xf numFmtId="0" fontId="141" fillId="0" borderId="0" xfId="1">
      <alignment vertical="center"/>
    </xf>
    <xf numFmtId="0" fontId="141" fillId="0" borderId="0" xfId="1" applyAlignment="1">
      <alignment horizontal="center" vertical="center"/>
    </xf>
    <xf numFmtId="0" fontId="141" fillId="0" borderId="0" xfId="1" applyFont="1" applyAlignment="1">
      <alignment horizontal="left" vertical="center"/>
    </xf>
    <xf numFmtId="0" fontId="141" fillId="0" borderId="0" xfId="1" applyAlignment="1">
      <alignment horizontal="left" vertical="center"/>
    </xf>
    <xf numFmtId="14" fontId="141" fillId="0" borderId="0" xfId="1" applyNumberFormat="1" applyAlignment="1">
      <alignment horizontal="center" vertical="center"/>
    </xf>
    <xf numFmtId="0" fontId="141" fillId="0" borderId="0" xfId="1" applyFont="1">
      <alignment vertical="center"/>
    </xf>
    <xf numFmtId="0" fontId="142" fillId="25" borderId="2" xfId="1" applyFont="1" applyFill="1" applyBorder="1" applyAlignment="1">
      <alignment horizontal="center" vertical="center"/>
    </xf>
    <xf numFmtId="0" fontId="141" fillId="0" borderId="2" xfId="1" applyBorder="1" applyAlignment="1">
      <alignment horizontal="center" vertical="center"/>
    </xf>
    <xf numFmtId="197" fontId="141" fillId="0" borderId="2" xfId="1" applyNumberFormat="1" applyBorder="1" applyAlignment="1">
      <alignment horizontal="center" vertical="center"/>
    </xf>
    <xf numFmtId="198" fontId="141" fillId="0" borderId="2" xfId="1" applyNumberFormat="1" applyBorder="1" applyAlignment="1">
      <alignment horizontal="center" vertical="center"/>
    </xf>
    <xf numFmtId="0" fontId="141" fillId="0" borderId="2" xfId="1" applyBorder="1" applyAlignment="1">
      <alignment horizontal="center" vertical="center"/>
    </xf>
  </cellXfs>
  <cellStyles count="21">
    <cellStyle name="百分比" xfId="16" builtinId="5"/>
    <cellStyle name="百分比 2" xfId="11"/>
    <cellStyle name="常规" xfId="0" builtinId="0"/>
    <cellStyle name="常规 10" xfId="20"/>
    <cellStyle name="常规 11" xfId="17"/>
    <cellStyle name="常规 16" xfId="1"/>
    <cellStyle name="常规 2" xfId="2"/>
    <cellStyle name="常规 2 2" xfId="3"/>
    <cellStyle name="常规 2 2 2" xfId="19"/>
    <cellStyle name="常规 2 2 2 2 3" xfId="12"/>
    <cellStyle name="常规 2 3" xfId="18"/>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95250</xdr:rowOff>
    </xdr:from>
    <xdr:to>
      <xdr:col>9</xdr:col>
      <xdr:colOff>37274</xdr:colOff>
      <xdr:row>35</xdr:row>
      <xdr:rowOff>94629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502920" y="1192530"/>
          <a:ext cx="5935154" cy="5302899"/>
        </a:xfrm>
        <a:prstGeom prst="rect">
          <a:avLst/>
        </a:prstGeom>
      </xdr:spPr>
    </xdr:pic>
    <xdr:clientData/>
  </xdr:twoCellAnchor>
  <xdr:twoCellAnchor editAs="oneCell">
    <xdr:from>
      <xdr:col>9</xdr:col>
      <xdr:colOff>38100</xdr:colOff>
      <xdr:row>6</xdr:row>
      <xdr:rowOff>95250</xdr:rowOff>
    </xdr:from>
    <xdr:to>
      <xdr:col>16</xdr:col>
      <xdr:colOff>18368</xdr:colOff>
      <xdr:row>28</xdr:row>
      <xdr:rowOff>170969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6438900" y="1192530"/>
          <a:ext cx="4872308" cy="40990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8</xdr:col>
      <xdr:colOff>213360</xdr:colOff>
      <xdr:row>56</xdr:row>
      <xdr:rowOff>123352</xdr:rowOff>
    </xdr:to>
    <xdr:pic>
      <xdr:nvPicPr>
        <xdr:cNvPr id="2" name="图片 1"/>
        <xdr:cNvPicPr>
          <a:picLocks noChangeAspect="1"/>
        </xdr:cNvPicPr>
      </xdr:nvPicPr>
      <xdr:blipFill rotWithShape="1">
        <a:blip xmlns:r="http://schemas.openxmlformats.org/officeDocument/2006/relationships" r:embed="rId1"/>
        <a:srcRect r="23998"/>
        <a:stretch/>
      </xdr:blipFill>
      <xdr:spPr>
        <a:xfrm>
          <a:off x="0" y="11094720"/>
          <a:ext cx="4564380" cy="3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1"/>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2"/>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3"/>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4"/>
        <a:stretch>
          <a:fillRect/>
        </a:stretch>
      </xdr:blipFill>
      <xdr:spPr>
        <a:xfrm>
          <a:off x="5781675" y="6570345"/>
          <a:ext cx="5838005" cy="45028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8686</xdr:colOff>
      <xdr:row>24</xdr:row>
      <xdr:rowOff>87070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4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5253;&#21578;&#20204;/&#22303;&#22320;/2024-1-0582&#21271;&#20140;&#24066;&#26397;&#38451;&#21306;&#19996;&#22365;&#31532;&#22235;&#20351;&#39302;&#21306;&#22806;&#20107;&#29992;&#22320;/&#27979;&#31639;&#8212;&#8212;&#31532;&#22235;&#20351;&#39302;&#21306;08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5253;&#21578;&#20204;/&#22303;&#22320;/2022/2022-1-0543&#21271;&#20140;&#24066;&#28023;&#28096;&#21306;&#24314;&#26448;&#22478;&#20013;&#36335;2&#21495;&#65288;&#21452;&#21512;&#30427;&#65289;/&#27979;&#31639;&#8212;&#8212;&#21452;&#21512;&#304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汇总表"/>
      <sheetName val="数据-基础表"/>
      <sheetName val="数据-取费表"/>
      <sheetName val="估价对象房地状况"/>
      <sheetName val="结果表"/>
      <sheetName val="系统读取表"/>
      <sheetName val="地块控制指标"/>
      <sheetName val="实际费用"/>
      <sheetName val="财务费用（旧）"/>
      <sheetName val="财务费用 0724"/>
      <sheetName val="结果"/>
      <sheetName val="成本逼近法-财务费用杨弋"/>
      <sheetName val="剩余法-待开发"/>
      <sheetName val="比较法-招拍挂"/>
      <sheetName val="地价-分区"/>
      <sheetName val="商办"/>
      <sheetName val="Sheet1"/>
      <sheetName val="剩余法-现房"/>
      <sheetName val="比较法-工业"/>
      <sheetName val="不动产收益法"/>
      <sheetName val="不动产比较法-办公"/>
      <sheetName val="基准地价-特殊"/>
      <sheetName val="修正"/>
      <sheetName val="区片价"/>
      <sheetName val="区片价-范围"/>
      <sheetName val="因素修正幅度"/>
      <sheetName val="地价"/>
      <sheetName val="基准地价-办公"/>
      <sheetName val="基准地价（汇总）"/>
      <sheetName val="成本逼近法-财务费用王帅"/>
      <sheetName val="成本逼近法-实际"/>
      <sheetName val="容积率修正"/>
      <sheetName val="收益还原法"/>
      <sheetName val="成本逼近法-一级开发"/>
      <sheetName val="比较法-一级开发丰台石景山"/>
      <sheetName val="不动产收益法-酒店模型"/>
      <sheetName val="成本逼近法-海淀"/>
      <sheetName val="比较法-海淀案例"/>
      <sheetName val="海淀案例"/>
      <sheetName val="不动产比较法-住宅"/>
      <sheetName val="不动产比较法-商业"/>
      <sheetName val="不动产比较法-工业"/>
      <sheetName val="不动产比较法-车位"/>
      <sheetName val="不动产比较法-仓储"/>
      <sheetName val="一级开发案例"/>
      <sheetName val="典型户型修正"/>
      <sheetName val="存贷款利率"/>
      <sheetName val="朝阳招拍挂商办"/>
      <sheetName val="朝阳招拍挂综合"/>
      <sheetName val="比较法-协议出让"/>
      <sheetName val="划拨y"/>
      <sheetName val="新建y"/>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成本逼近法-一级开发</v>
          </cell>
        </row>
        <row r="23">
          <cell r="A23" t="str">
            <v>非燃品库房</v>
          </cell>
          <cell r="B23" t="str">
            <v>成本逼近法-海淀</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ow r="17">
          <cell r="C17" t="str">
            <v>项目类型</v>
          </cell>
        </row>
        <row r="19">
          <cell r="C19" t="str">
            <v>外交馆舍</v>
          </cell>
        </row>
        <row r="20">
          <cell r="C20" t="str">
            <v>武警营房</v>
          </cell>
        </row>
      </sheetData>
      <sheetData sheetId="12" refreshError="1"/>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多层独栋</v>
          </cell>
          <cell r="D101" t="str">
            <v>高层塔楼</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efreshError="1"/>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49" refreshError="1"/>
      <sheetData sheetId="5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5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efreshError="1"/>
      <sheetData sheetId="5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昌平案例"/>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比较法-成本"/>
      <sheetName val="不动产比较法-工业"/>
      <sheetName val="案例（海淀）"/>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ow r="41">
          <cell r="F41">
            <v>0</v>
          </cell>
        </row>
        <row r="43">
          <cell r="E43" t="str">
            <v>六级</v>
          </cell>
        </row>
      </sheetData>
      <sheetData sheetId="11"/>
      <sheetData sheetId="12">
        <row r="3">
          <cell r="D3">
            <v>10738.85</v>
          </cell>
          <cell r="E3">
            <v>10738.85</v>
          </cell>
        </row>
        <row r="8">
          <cell r="E8">
            <v>10738.85</v>
          </cell>
        </row>
        <row r="9">
          <cell r="E9">
            <v>0</v>
          </cell>
        </row>
        <row r="11">
          <cell r="E11">
            <v>0</v>
          </cell>
        </row>
        <row r="12">
          <cell r="E12">
            <v>0</v>
          </cell>
        </row>
        <row r="13">
          <cell r="E13">
            <v>0</v>
          </cell>
        </row>
        <row r="14">
          <cell r="E14">
            <v>0</v>
          </cell>
        </row>
        <row r="15">
          <cell r="E15">
            <v>0</v>
          </cell>
        </row>
      </sheetData>
      <sheetData sheetId="13">
        <row r="16">
          <cell r="G16">
            <v>1</v>
          </cell>
        </row>
      </sheetData>
      <sheetData sheetId="14">
        <row r="15">
          <cell r="G15" t="str">
            <v>估价对象位于海淀区，区域工业成熟度一般，产业集聚程度一般</v>
          </cell>
        </row>
        <row r="16">
          <cell r="G16" t="str">
            <v>估价对象周边道路状况、公共交通通达情况、停车便捷程度，综合评价交通便捷度较好</v>
          </cell>
        </row>
        <row r="18">
          <cell r="G18" t="str">
            <v>该区域内没有污染型企业，绿化情况教好，卫生条件教好，整体环境状况较好</v>
          </cell>
        </row>
        <row r="19">
          <cell r="G19" t="str">
            <v>估价对象所在区域公共配套设施齐备情况好</v>
          </cell>
        </row>
        <row r="20">
          <cell r="G20" t="str">
            <v>七通</v>
          </cell>
        </row>
        <row r="23">
          <cell r="G23" t="str">
            <v>六级</v>
          </cell>
        </row>
      </sheetData>
      <sheetData sheetId="15" refreshError="1"/>
      <sheetData sheetId="16"/>
      <sheetData sheetId="17" refreshError="1"/>
      <sheetData sheetId="18" refreshError="1"/>
      <sheetData sheetId="19" refreshError="1"/>
      <sheetData sheetId="20"/>
      <sheetData sheetId="21"/>
      <sheetData sheetId="22" refreshError="1"/>
      <sheetData sheetId="23">
        <row r="28">
          <cell r="P28">
            <v>0</v>
          </cell>
        </row>
      </sheetData>
      <sheetData sheetId="24">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sheetData sheetId="44"/>
      <sheetData sheetId="45"/>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1937</v>
      </c>
      <c r="B1" s="2371" t="s">
        <v>2034</v>
      </c>
    </row>
    <row r="2" spans="1:55" s="2375" customFormat="1" ht="16.2" thickTop="1">
      <c r="A2" s="2373" t="s">
        <v>1941</v>
      </c>
      <c r="B2" s="2374" t="str">
        <f>'预评函-封皮'!B37</f>
        <v>北京市划拨国有建设用地使用权市场价格预评估</v>
      </c>
      <c r="AX2" s="2376"/>
      <c r="AZ2" s="2376"/>
      <c r="BA2" s="2377"/>
      <c r="BC2" s="2377"/>
    </row>
    <row r="3" spans="1:55" s="2378" customFormat="1">
      <c r="A3" s="2357" t="s">
        <v>1942</v>
      </c>
      <c r="B3" s="2360">
        <f>'预评函-封皮'!B40</f>
        <v>0</v>
      </c>
    </row>
    <row r="4" spans="1:55" s="2359" customFormat="1">
      <c r="A4" s="2357" t="s">
        <v>1943</v>
      </c>
      <c r="B4" s="2358" t="str">
        <f>'预评函-封皮'!B46</f>
        <v>土地估价师、土地估价师</v>
      </c>
      <c r="N4" s="2359" t="str">
        <f>'预评函-1'!A28</f>
        <v>——</v>
      </c>
    </row>
    <row r="5" spans="1:55" s="2372" customFormat="1" ht="16.2" thickBot="1">
      <c r="A5" s="2379" t="s">
        <v>1944</v>
      </c>
      <c r="B5" s="2380" t="str">
        <f>'预评函-封皮'!B49</f>
        <v>康正预评字号</v>
      </c>
    </row>
    <row r="6" spans="1:55" s="2381" customFormat="1" ht="16.2" thickTop="1">
      <c r="A6" s="2373" t="s">
        <v>1986</v>
      </c>
      <c r="B6" s="2374" t="str">
        <f>'预评函-1'!A4</f>
        <v>受贵公司委托，我公司对北京市划拨国有建设用地使用权市场价格进行了预评估。</v>
      </c>
      <c r="AM6" s="2382"/>
    </row>
    <row r="7" spans="1:55" s="2356" customFormat="1">
      <c r="A7" s="2357" t="s">
        <v>1938</v>
      </c>
      <c r="B7" s="2358" t="str">
        <f>'预评函-1'!A6</f>
        <v>估价对象为使用的、位于北京市划拨国有建设用地使用权。根据《国有土地使用证》[]，估价对象（分摊）划拨国有建设用地使用权面积为106677.19平方米。根据《建设工程规划许可证》[]、《出让合同》[]，估价对象规划建筑面积为35000平方米。</v>
      </c>
    </row>
    <row r="8" spans="1:55" s="2356" customFormat="1">
      <c r="A8" s="2357" t="s">
        <v>1939</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1989</v>
      </c>
      <c r="B9" s="2358" t="str">
        <f>'预评函-1'!A9</f>
        <v>本次评估为委托估价方了解标的物之市场价格提供参考依据而评估划拨国有建设用地使用权市场价格。</v>
      </c>
    </row>
    <row r="10" spans="1:55" s="2356" customFormat="1">
      <c r="A10" s="2357" t="s">
        <v>1940</v>
      </c>
      <c r="B10" s="2358" t="str">
        <f>'预评函-1'!A11</f>
        <v>2024年8月2日</v>
      </c>
    </row>
    <row r="11" spans="1:55" s="2356" customFormat="1">
      <c r="A11" s="2357" t="s">
        <v>1946</v>
      </c>
      <c r="B11" s="2358" t="str">
        <f>'预评函-1'!A14</f>
        <v>根据《国有土地使用证》[]，本次评估估价对象证载（地类）用途为。</v>
      </c>
    </row>
    <row r="12" spans="1:55" s="2356" customFormat="1">
      <c r="A12" s="2357" t="s">
        <v>1947</v>
      </c>
      <c r="B12" s="2358" t="str">
        <f>'预评函-1'!A15</f>
        <v>本次评估设定用途即为证载用途。</v>
      </c>
    </row>
    <row r="13" spans="1:55" s="2356" customFormat="1">
      <c r="A13" s="2357" t="s">
        <v>1948</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1949</v>
      </c>
      <c r="B14" s="2358" t="str">
        <f>'预评函-1'!A18</f>
        <v>。本次评估设定土地开发程度为红线外市政基础设施达“七通”、宗地红线内场地平整。</v>
      </c>
    </row>
    <row r="15" spans="1:55" s="2356" customFormat="1">
      <c r="A15" s="2357" t="s">
        <v>1945</v>
      </c>
      <c r="B15" s="2358" t="str">
        <f>'预评函-1'!A20</f>
        <v>根据《国有土地使用证》[]，估价对象（分摊）出让国有建设用地使用权面积为106677.19平方米。根据《建设工程规划许可证》[]、《出让合同》[]，估价对象规划建筑面积为35000平方米。</v>
      </c>
    </row>
    <row r="16" spans="1:55" s="2356" customFormat="1">
      <c r="A16" s="2357" t="s">
        <v>1950</v>
      </c>
      <c r="B16" s="2358" t="str">
        <f>'预评函-1'!A22</f>
        <v>本次估价对象国有建设用地使用权类型为划拨，无土地使用年限限制。</v>
      </c>
    </row>
    <row r="17" spans="1:48" s="2356" customFormat="1">
      <c r="A17" s="2357" t="s">
        <v>1951</v>
      </c>
      <c r="B17" s="2358" t="str">
        <f>'预评函-1'!A23</f>
        <v/>
      </c>
    </row>
    <row r="18" spans="1:48" s="2356" customFormat="1">
      <c r="A18" s="2357" t="s">
        <v>1952</v>
      </c>
      <c r="B18" s="2358" t="str">
        <f>'预评函-1'!A25</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row>
    <row r="19" spans="1:48" s="2356" customFormat="1">
      <c r="A19" s="2357" t="s">
        <v>1953</v>
      </c>
      <c r="B19" s="2358" t="str">
        <f>'预评函-1'!A26</f>
        <v>——</v>
      </c>
    </row>
    <row r="20" spans="1:48" s="2356" customFormat="1">
      <c r="A20" s="2357" t="s">
        <v>1954</v>
      </c>
      <c r="B20" s="2358" t="str">
        <f>'预评函-1'!A27</f>
        <v>——</v>
      </c>
    </row>
    <row r="21" spans="1:48" s="2372" customFormat="1" ht="16.2" thickBot="1">
      <c r="A21" s="2379" t="s">
        <v>1955</v>
      </c>
      <c r="B21" s="2380" t="str">
        <f>'预评函-1'!A28</f>
        <v>——</v>
      </c>
    </row>
    <row r="22" spans="1:48" ht="16.2" thickTop="1">
      <c r="A22" s="2368" t="s">
        <v>1956</v>
      </c>
      <c r="B22" s="2369"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23" spans="1:48">
      <c r="A23" s="2357" t="s">
        <v>1957</v>
      </c>
      <c r="B23" s="2358" t="str">
        <f>'预评函-2'!K2</f>
        <v>估价期日：2024年8月2日</v>
      </c>
    </row>
    <row r="24" spans="1:48">
      <c r="A24" s="2357" t="s">
        <v>1958</v>
      </c>
      <c r="B24" s="2358" t="str">
        <f>'预评函-2'!R2</f>
        <v>估价期日的国有建设用地使用权性质：划拨</v>
      </c>
    </row>
    <row r="25" spans="1:48">
      <c r="A25" s="2357" t="s">
        <v>2014</v>
      </c>
      <c r="B25" s="2358" t="str">
        <f>'预评函-2'!A3</f>
        <v>估价期日土地使用者</v>
      </c>
    </row>
    <row r="26" spans="1:48">
      <c r="A26" s="2357" t="s">
        <v>1990</v>
      </c>
      <c r="B26" s="2358" t="str">
        <f>'预评函-2'!A5</f>
        <v>中信开发</v>
      </c>
    </row>
    <row r="27" spans="1:48">
      <c r="A27" s="2357" t="s">
        <v>2015</v>
      </c>
      <c r="B27" s="2358" t="str">
        <f>'预评函-2'!B3</f>
        <v>宗地编号/不动产单元号</v>
      </c>
    </row>
    <row r="28" spans="1:48">
      <c r="A28" s="2357" t="s">
        <v>1991</v>
      </c>
      <c r="B28" s="2358" t="str">
        <f>'预评函-2'!B5</f>
        <v>11111111111</v>
      </c>
    </row>
    <row r="29" spans="1:48">
      <c r="A29" s="2357" t="s">
        <v>2017</v>
      </c>
      <c r="B29" s="2358">
        <f>'预评函-2'!C5</f>
        <v>22</v>
      </c>
    </row>
    <row r="30" spans="1:48">
      <c r="A30" s="2357" t="s">
        <v>2018</v>
      </c>
      <c r="B30" s="2358" t="str">
        <f>'预评函-2'!D3</f>
        <v>土地使用证编号/不动产权证书编号</v>
      </c>
    </row>
    <row r="31" spans="1:48">
      <c r="A31" s="2357" t="s">
        <v>1992</v>
      </c>
      <c r="B31" s="2358" t="str">
        <f>'预评函-2'!D5</f>
        <v>京国土字第111号</v>
      </c>
    </row>
    <row r="32" spans="1:48">
      <c r="A32" s="2357" t="s">
        <v>1993</v>
      </c>
      <c r="B32" s="2358">
        <f>'预评函-2'!E5</f>
        <v>0</v>
      </c>
      <c r="AV32" s="2362"/>
    </row>
    <row r="33" spans="1:2">
      <c r="A33" s="2357" t="s">
        <v>1994</v>
      </c>
      <c r="B33" s="2358">
        <f>'预评函-2'!F5</f>
        <v>258</v>
      </c>
    </row>
    <row r="34" spans="1:2">
      <c r="A34" s="2357" t="s">
        <v>1995</v>
      </c>
      <c r="B34" s="2358">
        <f>'预评函-2'!G5</f>
        <v>0</v>
      </c>
    </row>
    <row r="35" spans="1:2">
      <c r="A35" s="2357" t="s">
        <v>1996</v>
      </c>
      <c r="B35" s="2358">
        <f>'预评函-2'!H5</f>
        <v>1.5</v>
      </c>
    </row>
    <row r="36" spans="1:2">
      <c r="A36" s="2357" t="s">
        <v>1997</v>
      </c>
      <c r="B36" s="2358">
        <f>'预评函-2'!I5</f>
        <v>1.5</v>
      </c>
    </row>
    <row r="37" spans="1:2">
      <c r="A37" s="2357" t="s">
        <v>1998</v>
      </c>
      <c r="B37" s="2358">
        <f>'预评函-2'!J5</f>
        <v>1.5</v>
      </c>
    </row>
    <row r="38" spans="1:2">
      <c r="A38" s="2357" t="s">
        <v>1999</v>
      </c>
      <c r="B38" s="2358" t="str">
        <f>'预评函-2'!K5</f>
        <v>红线外七通、宗地红线内</v>
      </c>
    </row>
    <row r="39" spans="1:2">
      <c r="A39" s="2357" t="s">
        <v>2000</v>
      </c>
      <c r="B39" s="2358" t="str">
        <f>'预评函-2'!L5</f>
        <v>红线外七通、宗地红线内场地</v>
      </c>
    </row>
    <row r="40" spans="1:2">
      <c r="A40" s="2357" t="s">
        <v>2019</v>
      </c>
      <c r="B40" s="2358" t="str">
        <f>'预评函-2'!M3</f>
        <v>（剩余）土地使用年限/年</v>
      </c>
    </row>
    <row r="41" spans="1:2">
      <c r="A41" s="2357" t="s">
        <v>2001</v>
      </c>
      <c r="B41" s="2358" t="str">
        <f>'预评函-2'!M5</f>
        <v>——</v>
      </c>
    </row>
    <row r="42" spans="1:2">
      <c r="A42" s="2357" t="s">
        <v>2020</v>
      </c>
      <c r="B42" s="2358" t="str">
        <f>'预评函-2'!N3</f>
        <v>（分摊）划拨国有建设用地使用权面积/㎡</v>
      </c>
    </row>
    <row r="43" spans="1:2">
      <c r="A43" s="2357" t="s">
        <v>2002</v>
      </c>
      <c r="B43" s="2358">
        <f>'预评函-2'!N5</f>
        <v>106677.19</v>
      </c>
    </row>
    <row r="44" spans="1:2">
      <c r="A44" s="2357" t="s">
        <v>2021</v>
      </c>
      <c r="B44" s="2358" t="str">
        <f>'预评函-2'!O3</f>
        <v>规划建筑面积/㎡</v>
      </c>
    </row>
    <row r="45" spans="1:2">
      <c r="A45" s="2357" t="s">
        <v>2003</v>
      </c>
      <c r="B45" s="2358">
        <f>'预评函-2'!O5</f>
        <v>35000</v>
      </c>
    </row>
    <row r="46" spans="1:2">
      <c r="A46" s="2357" t="s">
        <v>2004</v>
      </c>
      <c r="B46" s="2358">
        <f ca="1">'预评函-2'!P5</f>
        <v>7859</v>
      </c>
    </row>
    <row r="47" spans="1:2">
      <c r="A47" s="2357" t="s">
        <v>2005</v>
      </c>
      <c r="B47" s="2358">
        <f ca="1">'预评函-2'!Q5</f>
        <v>23953</v>
      </c>
    </row>
    <row r="48" spans="1:2">
      <c r="A48" s="2357" t="s">
        <v>2006</v>
      </c>
      <c r="B48" s="2358">
        <f ca="1">'预评函-2'!R5</f>
        <v>83836</v>
      </c>
    </row>
    <row r="49" spans="1:2">
      <c r="A49" s="2357" t="s">
        <v>2022</v>
      </c>
      <c r="B49" s="2358" t="str">
        <f>'预评函-2'!A6</f>
        <v>——</v>
      </c>
    </row>
    <row r="50" spans="1:2">
      <c r="A50" s="2357" t="s">
        <v>2007</v>
      </c>
      <c r="B50" s="2358" t="str">
        <f>'预评函-2'!R6</f>
        <v>——</v>
      </c>
    </row>
    <row r="51" spans="1:2">
      <c r="A51" s="2357" t="s">
        <v>2023</v>
      </c>
      <c r="B51" s="2358" t="str">
        <f>'预评函-2'!A7</f>
        <v>——</v>
      </c>
    </row>
    <row r="52" spans="1:2">
      <c r="A52" s="2357" t="s">
        <v>2008</v>
      </c>
      <c r="B52" s="2358" t="str">
        <f>'预评函-2'!R7</f>
        <v>——</v>
      </c>
    </row>
    <row r="53" spans="1:2">
      <c r="A53" s="2357" t="s">
        <v>2024</v>
      </c>
      <c r="B53" s="2358" t="str">
        <f>'预评函-2'!A8</f>
        <v>——</v>
      </c>
    </row>
    <row r="54" spans="1:2" s="2372" customFormat="1" ht="16.2" thickBot="1">
      <c r="A54" s="2379" t="s">
        <v>2009</v>
      </c>
      <c r="B54" s="2380" t="str">
        <f>'预评函-2'!R8</f>
        <v>——</v>
      </c>
    </row>
    <row r="55" spans="1:2" ht="16.2" thickTop="1">
      <c r="A55" s="2368" t="s">
        <v>1959</v>
      </c>
      <c r="B55" s="2369" t="str">
        <f>'预评函-3'!A2</f>
        <v>1.权利限制：根据估价对象《不动产权证书》原件、《国有土地使用权》复印件，截至估价期日，估价对象抵押权未见登记。未设定租赁等其他他项权利。</v>
      </c>
    </row>
    <row r="56" spans="1:2">
      <c r="A56" s="2357" t="s">
        <v>1960</v>
      </c>
      <c r="B56" s="2358" t="str">
        <f>'预评函-3'!A3</f>
        <v>2.基础设施条件：估价对象实际开发程度为红线外七通、宗地红线内；本次评估设定开发程度为红线外七通、宗地红线内场地。</v>
      </c>
    </row>
    <row r="57" spans="1:2">
      <c r="A57" s="2357" t="s">
        <v>1961</v>
      </c>
      <c r="B57" s="2358" t="str">
        <f>'预评函-3'!A4</f>
        <v>3.估价规划限制条件：详见《建设工程规划许可证》[]、《出让合同》[]。</v>
      </c>
    </row>
    <row r="58" spans="1:2" s="2372" customFormat="1" ht="16.2" thickBot="1">
      <c r="A58" s="2379" t="s">
        <v>2010</v>
      </c>
      <c r="B58" s="2380" t="str">
        <f>'预评函-3'!A5</f>
        <v>4.影响价格的其他限定条件：无。</v>
      </c>
    </row>
    <row r="59" spans="1:2" ht="16.2" thickTop="1">
      <c r="A59" s="2368" t="s">
        <v>1962</v>
      </c>
      <c r="B59" s="2369" t="str">
        <f>'预评函-3'!A8</f>
        <v>2.本次评估设定估价对象宗地权属无争议，未被查封或者以其他形式限制其房地产权利，未设定抵押权等他项权利，不涉及第三方权利义务。</v>
      </c>
    </row>
    <row r="60" spans="1:2">
      <c r="A60" s="2357" t="s">
        <v>1963</v>
      </c>
      <c r="B60" s="2358" t="str">
        <f>'预评函-3'!A9</f>
        <v>——</v>
      </c>
    </row>
    <row r="61" spans="1:2">
      <c r="A61" s="2357" t="s">
        <v>1965</v>
      </c>
      <c r="B61" s="2358" t="str">
        <f>'预评函-3'!A10</f>
        <v>——</v>
      </c>
    </row>
    <row r="62" spans="1:2">
      <c r="A62" s="2357" t="s">
        <v>1964</v>
      </c>
      <c r="B62" s="2358" t="str">
        <f>'预评函-3'!A11</f>
        <v>——</v>
      </c>
    </row>
    <row r="63" spans="1:2">
      <c r="A63" s="2357" t="s">
        <v>1966</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1967</v>
      </c>
      <c r="B64" s="2363" t="str">
        <f>'预评函-3'!A13</f>
        <v>（3）。</v>
      </c>
    </row>
    <row r="65" spans="1:2">
      <c r="A65" s="2357" t="s">
        <v>1968</v>
      </c>
      <c r="B65" s="2364" t="str">
        <f>'预评函-3'!A14</f>
        <v>——</v>
      </c>
    </row>
    <row r="66" spans="1:2">
      <c r="A66" s="2357" t="s">
        <v>1969</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1970</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1973</v>
      </c>
      <c r="B68" s="2383">
        <f>'预评函-3'!D30</f>
        <v>42558</v>
      </c>
    </row>
    <row r="69" spans="1:2" ht="16.2" thickTop="1">
      <c r="A69" s="2368" t="s">
        <v>1971</v>
      </c>
      <c r="B69" s="2369" t="str">
        <f>'预评函-3'!A20</f>
        <v>土地估价师</v>
      </c>
    </row>
    <row r="70" spans="1:2">
      <c r="A70" s="2357" t="s">
        <v>1971</v>
      </c>
      <c r="B70" s="2364">
        <f>'预评函-3'!B20</f>
        <v>0</v>
      </c>
    </row>
    <row r="71" spans="1:2">
      <c r="A71" s="2357" t="s">
        <v>1972</v>
      </c>
      <c r="B71" s="2358" t="str">
        <f>'预评函-3'!A21</f>
        <v>土地估价师</v>
      </c>
    </row>
    <row r="72" spans="1:2" s="2372" customFormat="1" ht="16.2" thickBot="1">
      <c r="A72" s="2379" t="s">
        <v>1972</v>
      </c>
      <c r="B72" s="2385">
        <f>'预评函-3'!B21</f>
        <v>0</v>
      </c>
    </row>
    <row r="73" spans="1:2" ht="16.2" thickTop="1">
      <c r="A73" s="2368" t="s">
        <v>2031</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2032</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2033</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2063</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6"/>
  </cols>
  <sheetData>
    <row r="1" spans="1:6">
      <c r="A1" s="3283" t="s">
        <v>2673</v>
      </c>
      <c r="B1" s="3284"/>
      <c r="C1" s="3284"/>
      <c r="D1" s="3284"/>
      <c r="E1" s="3284"/>
      <c r="F1" s="3285"/>
    </row>
    <row r="2" spans="1:6">
      <c r="A2" s="3287"/>
      <c r="B2" s="3288"/>
      <c r="C2" s="3288"/>
      <c r="D2" s="3288"/>
      <c r="E2" s="3288"/>
      <c r="F2" s="3289"/>
    </row>
    <row r="3" spans="1:6">
      <c r="A3" s="3290" t="s">
        <v>2674</v>
      </c>
      <c r="B3" s="3291">
        <f>项目基本情况!D3</f>
        <v>45506</v>
      </c>
      <c r="C3" s="3292"/>
      <c r="D3" s="3292"/>
      <c r="E3" s="3292"/>
      <c r="F3" s="3289"/>
    </row>
    <row r="4" spans="1:6">
      <c r="A4" s="3290" t="s">
        <v>2675</v>
      </c>
      <c r="B4" s="3293" t="s">
        <v>2676</v>
      </c>
      <c r="C4" s="3293" t="s">
        <v>2677</v>
      </c>
      <c r="D4" s="3293" t="s">
        <v>2678</v>
      </c>
      <c r="E4" s="3293" t="s">
        <v>2679</v>
      </c>
      <c r="F4" s="3289"/>
    </row>
    <row r="5" spans="1:6">
      <c r="A5" s="3294"/>
      <c r="B5" s="3291"/>
      <c r="C5" s="3293">
        <f>ROUNDDOWN(MIN((B5-B3)/365,A5),2)</f>
        <v>-124.67</v>
      </c>
      <c r="D5" s="3295">
        <f>IF(ISERROR(ROUND(POWER(1+E5,A5-C5)*(POWER(1+E5,C5)-1)/(POWER(1+E5,A5)-1),3)),0,ROUND(POWER(1+E5,A5-C5)*(POWER(1+E5,C5)-1)/(POWER(1+E5,A5)-1),4))</f>
        <v>0</v>
      </c>
      <c r="E5" s="3296"/>
      <c r="F5" s="3289"/>
    </row>
    <row r="6" spans="1:6">
      <c r="A6" s="3294"/>
      <c r="B6" s="3291"/>
      <c r="C6" s="3293">
        <f>ROUNDDOWN(MIN((B6-B3)/365,A6),2)</f>
        <v>-124.67</v>
      </c>
      <c r="D6" s="3295">
        <f>IF(ISERROR(ROUND(POWER(1+E6,A6-C6)*(POWER(1+E6,C6)-1)/(POWER(1+E6,A6)-1),3)),0,ROUND(POWER(1+E6,A6-C6)*(POWER(1+E6,C6)-1)/(POWER(1+E6,A6)-1),4))</f>
        <v>0</v>
      </c>
      <c r="E6" s="3296"/>
      <c r="F6" s="3289"/>
    </row>
    <row r="7" spans="1:6">
      <c r="A7" s="3294"/>
      <c r="B7" s="3291"/>
      <c r="C7" s="3293">
        <f>ROUNDDOWN(MIN((B7-B3)/365,A7),2)</f>
        <v>-124.67</v>
      </c>
      <c r="D7" s="3295">
        <f>IF(ISERROR(ROUND(POWER(1+E7,A7-C7)*(POWER(1+E7,C7)-1)/(POWER(1+E7,A7)-1),3)),0,ROUND(POWER(1+E7,A7-C7)*(POWER(1+E7,C7)-1)/(POWER(1+E7,A7)-1),4))</f>
        <v>0</v>
      </c>
      <c r="E7" s="3296"/>
      <c r="F7" s="3289"/>
    </row>
    <row r="8" spans="1:6">
      <c r="A8" s="3287"/>
      <c r="B8" s="3288"/>
      <c r="C8" s="3288"/>
      <c r="D8" s="3288"/>
      <c r="E8" s="3288"/>
      <c r="F8" s="3289"/>
    </row>
    <row r="9" spans="1:6">
      <c r="A9" s="3290" t="s">
        <v>2680</v>
      </c>
      <c r="B9" s="3293"/>
      <c r="C9" s="3293"/>
      <c r="D9" s="3293"/>
      <c r="E9" s="3293"/>
      <c r="F9" s="3297"/>
    </row>
    <row r="10" spans="1:6">
      <c r="A10" s="3290" t="s">
        <v>2681</v>
      </c>
      <c r="B10" s="3293"/>
      <c r="C10" s="3293"/>
      <c r="D10" s="3293" t="s">
        <v>2679</v>
      </c>
      <c r="E10" s="3293"/>
      <c r="F10" s="3297" t="s">
        <v>2678</v>
      </c>
    </row>
    <row r="11" spans="1:6">
      <c r="A11" s="3290" t="s">
        <v>2682</v>
      </c>
      <c r="B11" s="3298"/>
      <c r="C11" s="3293" t="s">
        <v>2683</v>
      </c>
      <c r="D11" s="3299"/>
      <c r="E11" s="3293" t="s">
        <v>2684</v>
      </c>
      <c r="F11" s="3300">
        <f>ROUND(1-(1/(POWER(1+D11,B11))),4)</f>
        <v>0</v>
      </c>
    </row>
    <row r="12" spans="1:6">
      <c r="A12" s="3290" t="s">
        <v>2685</v>
      </c>
      <c r="B12" s="3298"/>
      <c r="C12" s="3293" t="s">
        <v>2686</v>
      </c>
      <c r="D12" s="3299"/>
      <c r="E12" s="3293" t="s">
        <v>2687</v>
      </c>
      <c r="F12" s="3300">
        <f>ROUND(1-(1/(POWER(1+D12,B12))),4)</f>
        <v>0</v>
      </c>
    </row>
    <row r="13" spans="1:6">
      <c r="A13" s="3290" t="s">
        <v>2688</v>
      </c>
      <c r="B13" s="3293"/>
      <c r="C13" s="3292"/>
      <c r="D13" s="3288"/>
      <c r="E13" s="3288"/>
      <c r="F13" s="3289"/>
    </row>
    <row r="14" spans="1:6">
      <c r="A14" s="3290" t="s">
        <v>2689</v>
      </c>
      <c r="B14" s="3298"/>
      <c r="C14" s="3292"/>
      <c r="D14" s="3288"/>
      <c r="E14" s="3288"/>
      <c r="F14" s="3289"/>
    </row>
    <row r="15" spans="1:6">
      <c r="A15" s="3290" t="s">
        <v>2690</v>
      </c>
      <c r="B15" s="3293" t="e">
        <f>ROUND(B14*F12/F11,2)</f>
        <v>#DIV/0!</v>
      </c>
      <c r="C15" s="3293" t="e">
        <f>ROUND(F12/F11,4)</f>
        <v>#DIV/0!</v>
      </c>
      <c r="D15" s="3288"/>
      <c r="E15" s="3288"/>
      <c r="F15" s="3289"/>
    </row>
    <row r="16" spans="1:6">
      <c r="A16" s="3290" t="s">
        <v>2691</v>
      </c>
      <c r="B16" s="3293"/>
      <c r="C16" s="3292"/>
      <c r="D16" s="3288"/>
      <c r="E16" s="3288"/>
      <c r="F16" s="3289"/>
    </row>
    <row r="17" spans="1:7">
      <c r="A17" s="3290" t="s">
        <v>2690</v>
      </c>
      <c r="B17" s="3299"/>
      <c r="C17" s="3292"/>
      <c r="D17" s="3288"/>
      <c r="E17" s="3288"/>
      <c r="F17" s="3289"/>
    </row>
    <row r="18" spans="1:7" ht="15" thickBot="1">
      <c r="A18" s="3301" t="s">
        <v>2689</v>
      </c>
      <c r="B18" s="3302" t="e">
        <f>ROUND(B17*F11/F12,2)</f>
        <v>#DIV/0!</v>
      </c>
      <c r="C18" s="3302" t="e">
        <f>ROUND(F11/F12,4)</f>
        <v>#DIV/0!</v>
      </c>
      <c r="D18" s="3303"/>
      <c r="E18" s="3303"/>
      <c r="F18" s="3304"/>
    </row>
    <row r="19" spans="1:7" ht="15" thickBot="1"/>
    <row r="20" spans="1:7">
      <c r="A20" s="3305" t="s">
        <v>2692</v>
      </c>
      <c r="B20" s="3306"/>
      <c r="C20" s="3306"/>
      <c r="D20" s="3306"/>
      <c r="E20" s="3306"/>
      <c r="F20" s="3306"/>
      <c r="G20" s="3307"/>
    </row>
    <row r="21" spans="1:7">
      <c r="A21" s="3308"/>
      <c r="B21" s="3309" t="s">
        <v>2693</v>
      </c>
      <c r="C21" s="3309" t="s">
        <v>2694</v>
      </c>
      <c r="D21" s="3309" t="s">
        <v>2695</v>
      </c>
      <c r="E21" s="3309" t="s">
        <v>2696</v>
      </c>
      <c r="F21" s="3309" t="s">
        <v>2697</v>
      </c>
      <c r="G21" s="3310" t="s">
        <v>2698</v>
      </c>
    </row>
    <row r="22" spans="1:7">
      <c r="A22" s="3308" t="s">
        <v>2699</v>
      </c>
      <c r="B22" s="3311">
        <v>50</v>
      </c>
      <c r="C22" s="3311">
        <v>32</v>
      </c>
      <c r="D22" s="3312">
        <v>0.05</v>
      </c>
      <c r="E22" s="3309">
        <f>ROUND(POWER(1+D22,B22-C22)*(POWER(1+D22,C22)-1)/(POWER(1+D22,B22)-1),3)</f>
        <v>0.86599999999999999</v>
      </c>
      <c r="F22" s="3312">
        <v>0.6</v>
      </c>
      <c r="G22" s="3310">
        <f>ROUND(100*(1-(1-E22)*F22),1)</f>
        <v>92</v>
      </c>
    </row>
    <row r="23" spans="1:7">
      <c r="A23" s="3313" t="s">
        <v>2700</v>
      </c>
      <c r="B23" s="3311">
        <v>50</v>
      </c>
      <c r="C23" s="3311">
        <v>35</v>
      </c>
      <c r="D23" s="3312">
        <v>0.05</v>
      </c>
      <c r="E23" s="3309">
        <f>ROUND(POWER(1+D23,B23-C23)*(POWER(1+D23,C23)-1)/(POWER(1+D23,B23)-1),3)</f>
        <v>0.89700000000000002</v>
      </c>
      <c r="F23" s="3312">
        <f>F22</f>
        <v>0.6</v>
      </c>
      <c r="G23" s="3310">
        <f>ROUND(100*(1-(1-E23)*F23),1)</f>
        <v>93.8</v>
      </c>
    </row>
    <row r="24" spans="1:7">
      <c r="A24" s="3313" t="s">
        <v>2701</v>
      </c>
      <c r="B24" s="3311">
        <v>50</v>
      </c>
      <c r="C24" s="3311">
        <v>25</v>
      </c>
      <c r="D24" s="3312">
        <v>0.05</v>
      </c>
      <c r="E24" s="3309">
        <f>ROUND(POWER(1+D24,B24-C24)*(POWER(1+D24,C24)-1)/(POWER(1+D24,B24)-1),3)</f>
        <v>0.77200000000000002</v>
      </c>
      <c r="F24" s="3312">
        <f>F23</f>
        <v>0.6</v>
      </c>
      <c r="G24" s="3310">
        <f>ROUND(100*(1-(1-E24)*F24),1)</f>
        <v>86.3</v>
      </c>
    </row>
    <row r="25" spans="1:7">
      <c r="A25" s="3313" t="s">
        <v>2702</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2703</v>
      </c>
      <c r="B27" s="3318"/>
      <c r="C27" s="3318"/>
      <c r="D27" s="3318"/>
      <c r="E27" s="3318"/>
      <c r="F27" s="3318"/>
      <c r="G27" s="3319"/>
    </row>
    <row r="28" spans="1:7">
      <c r="A28" s="3317" t="s">
        <v>2704</v>
      </c>
      <c r="B28" s="3318"/>
      <c r="C28" s="3318"/>
      <c r="D28" s="3318"/>
      <c r="E28" s="3318"/>
      <c r="F28" s="3318"/>
      <c r="G28" s="3319"/>
    </row>
    <row r="29" spans="1:7">
      <c r="A29" s="3317" t="s">
        <v>2705</v>
      </c>
      <c r="B29" s="3318"/>
      <c r="C29" s="3318"/>
      <c r="D29" s="3318"/>
      <c r="E29" s="3318"/>
      <c r="F29" s="3318"/>
      <c r="G29" s="3319"/>
    </row>
    <row r="30" spans="1:7">
      <c r="A30" s="3317" t="s">
        <v>2706</v>
      </c>
      <c r="B30" s="3318"/>
      <c r="C30" s="3318"/>
      <c r="D30" s="3318"/>
      <c r="E30" s="3318"/>
      <c r="F30" s="3318"/>
      <c r="G30" s="3319"/>
    </row>
    <row r="31" spans="1:7">
      <c r="A31" s="3317" t="s">
        <v>2707</v>
      </c>
      <c r="B31" s="3318"/>
      <c r="C31" s="3318"/>
      <c r="D31" s="3318"/>
      <c r="E31" s="3318"/>
      <c r="F31" s="3318"/>
      <c r="G31" s="3319"/>
    </row>
    <row r="32" spans="1:7">
      <c r="A32" s="3317" t="s">
        <v>2708</v>
      </c>
      <c r="B32" s="3318"/>
      <c r="C32" s="3318"/>
      <c r="D32" s="3318"/>
      <c r="E32" s="3318"/>
      <c r="F32" s="3318"/>
      <c r="G32" s="3319"/>
    </row>
    <row r="33" spans="1:7">
      <c r="A33" s="3317" t="s">
        <v>2709</v>
      </c>
      <c r="B33" s="3318"/>
      <c r="C33" s="3318"/>
      <c r="D33" s="3318"/>
      <c r="E33" s="3318"/>
      <c r="F33" s="3318"/>
      <c r="G33" s="3319"/>
    </row>
    <row r="34" spans="1:7">
      <c r="A34" s="3317" t="s">
        <v>2710</v>
      </c>
      <c r="B34" s="3318"/>
      <c r="C34" s="3318"/>
      <c r="D34" s="3318"/>
      <c r="E34" s="3318"/>
      <c r="F34" s="3318"/>
      <c r="G34" s="3319"/>
    </row>
    <row r="35" spans="1:7">
      <c r="A35" s="3317" t="s">
        <v>2711</v>
      </c>
      <c r="B35" s="3318"/>
      <c r="C35" s="3318"/>
      <c r="D35" s="3318"/>
      <c r="E35" s="3318"/>
      <c r="F35" s="3318"/>
      <c r="G35" s="3319"/>
    </row>
    <row r="36" spans="1:7">
      <c r="A36" s="3317" t="s">
        <v>2712</v>
      </c>
      <c r="B36" s="3318"/>
      <c r="C36" s="3318"/>
      <c r="D36" s="3318"/>
      <c r="E36" s="3318"/>
      <c r="F36" s="3318"/>
      <c r="G36" s="3319"/>
    </row>
    <row r="37" spans="1:7">
      <c r="A37" s="3317" t="s">
        <v>2713</v>
      </c>
      <c r="B37" s="3318"/>
      <c r="C37" s="3318"/>
      <c r="D37" s="3318"/>
      <c r="E37" s="3318"/>
      <c r="F37" s="3318"/>
      <c r="G37" s="3319"/>
    </row>
    <row r="38" spans="1:7">
      <c r="A38" s="3317" t="s">
        <v>2714</v>
      </c>
      <c r="B38" s="3318"/>
      <c r="C38" s="3318"/>
      <c r="D38" s="3318"/>
      <c r="E38" s="3318"/>
      <c r="F38" s="3318"/>
      <c r="G38" s="3319"/>
    </row>
    <row r="39" spans="1:7">
      <c r="A39" s="3317"/>
      <c r="B39" s="3318"/>
      <c r="C39" s="3318"/>
      <c r="D39" s="3318"/>
      <c r="E39" s="3318"/>
      <c r="F39" s="3318"/>
      <c r="G39" s="3319"/>
    </row>
    <row r="40" spans="1:7">
      <c r="A40" s="3320" t="s">
        <v>2715</v>
      </c>
      <c r="B40" s="3321"/>
      <c r="C40" s="3321"/>
      <c r="D40" s="3321"/>
      <c r="E40" s="3321"/>
      <c r="F40" s="3321"/>
      <c r="G40" s="3322"/>
    </row>
    <row r="41" spans="1:7">
      <c r="A41" s="3323" t="s">
        <v>2716</v>
      </c>
      <c r="B41" s="3324" t="s">
        <v>2717</v>
      </c>
      <c r="C41" s="3325" t="s">
        <v>2718</v>
      </c>
      <c r="D41" s="3325" t="s">
        <v>2719</v>
      </c>
      <c r="E41" s="3326"/>
      <c r="F41" s="3327"/>
      <c r="G41" s="3328"/>
    </row>
    <row r="42" spans="1:7">
      <c r="A42" s="3323" t="s">
        <v>2720</v>
      </c>
      <c r="B42" s="3324" t="s">
        <v>2721</v>
      </c>
      <c r="C42" s="3325" t="s">
        <v>2721</v>
      </c>
      <c r="D42" s="3329" t="s">
        <v>2722</v>
      </c>
      <c r="E42" s="3321" t="s">
        <v>2723</v>
      </c>
      <c r="F42" s="3321"/>
      <c r="G42" s="3322"/>
    </row>
    <row r="43" spans="1:7">
      <c r="A43" s="3323" t="s">
        <v>2724</v>
      </c>
      <c r="B43" s="3324" t="s">
        <v>2725</v>
      </c>
      <c r="C43" s="3325" t="s">
        <v>2726</v>
      </c>
      <c r="D43" s="3325" t="s">
        <v>2727</v>
      </c>
      <c r="E43" s="3326" t="s">
        <v>2728</v>
      </c>
      <c r="F43" s="3327"/>
      <c r="G43" s="3328"/>
    </row>
    <row r="44" spans="1:7">
      <c r="A44" s="3323" t="s">
        <v>2729</v>
      </c>
      <c r="B44" s="3324" t="s">
        <v>2730</v>
      </c>
      <c r="C44" s="3325" t="s">
        <v>2731</v>
      </c>
      <c r="D44" s="3329">
        <v>0.5</v>
      </c>
      <c r="E44" s="3326" t="s">
        <v>2732</v>
      </c>
      <c r="F44" s="3327"/>
      <c r="G44" s="3328"/>
    </row>
    <row r="45" spans="1:7" ht="15" thickBot="1">
      <c r="A45" s="3330" t="s">
        <v>2733</v>
      </c>
      <c r="B45" s="3331" t="s">
        <v>2721</v>
      </c>
      <c r="C45" s="3332" t="s">
        <v>2721</v>
      </c>
      <c r="D45" s="3332" t="s">
        <v>2734</v>
      </c>
      <c r="E45" s="3333" t="s">
        <v>2735</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M19" sqref="M19:M20"/>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1456</v>
      </c>
      <c r="B1" s="3703" t="str">
        <f>IF(B10="北京市","北京市",C10)&amp;F10&amp;A17&amp;"国有建设用地使用权"&amp;B9&amp;"预评估"</f>
        <v>北京市划拨国有建设用地使用权市场价格预评估</v>
      </c>
      <c r="C1" s="3704"/>
      <c r="D1" s="3704"/>
      <c r="E1" s="3704"/>
      <c r="F1" s="3704"/>
      <c r="G1" s="3704"/>
      <c r="H1" s="3704"/>
      <c r="I1" s="3705"/>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1457</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1458</v>
      </c>
      <c r="B3" s="1465"/>
      <c r="C3" s="2739" t="s">
        <v>1512</v>
      </c>
      <c r="D3" s="1465">
        <v>45506</v>
      </c>
      <c r="E3" s="2816"/>
      <c r="F3" s="2816"/>
      <c r="G3" s="2816"/>
      <c r="H3" s="2817"/>
      <c r="I3" s="2818"/>
      <c r="J3" s="2816"/>
      <c r="K3" s="2799"/>
      <c r="L3" s="2795"/>
      <c r="M3" s="2795"/>
      <c r="N3" s="2796"/>
      <c r="O3" s="2797"/>
      <c r="P3" s="2796"/>
      <c r="Q3" s="2796"/>
      <c r="R3" s="2796"/>
      <c r="S3" s="2796"/>
      <c r="T3" s="2796"/>
      <c r="U3" s="2796"/>
    </row>
    <row r="4" spans="1:21" ht="31.8" thickBot="1">
      <c r="A4" s="1467" t="s">
        <v>1459</v>
      </c>
      <c r="B4" s="1627" t="s">
        <v>2161</v>
      </c>
      <c r="C4" s="1630">
        <f>SUMIF(土地估价师,B4,估价师及机构信息!E3:E17)</f>
        <v>0</v>
      </c>
      <c r="D4" s="1627" t="s">
        <v>2161</v>
      </c>
      <c r="E4" s="1630">
        <f>SUMIF(土地估价师,D4,估价师及机构信息!E3:E17)</f>
        <v>0</v>
      </c>
      <c r="F4" s="1627" t="s">
        <v>876</v>
      </c>
      <c r="G4" s="1630">
        <f>SUMIF(土地估价师,F4,估价师及机构信息!E3:E17)</f>
        <v>0</v>
      </c>
      <c r="H4" s="1627" t="s">
        <v>876</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1460</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1987</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1988</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1461</v>
      </c>
      <c r="B8" s="1473" t="s">
        <v>3268</v>
      </c>
      <c r="C8" s="1474"/>
      <c r="D8" s="3709" t="s">
        <v>1463</v>
      </c>
      <c r="E8" s="1628"/>
      <c r="F8" s="1475"/>
      <c r="G8" s="2817"/>
      <c r="H8" s="2817"/>
      <c r="I8" s="2820"/>
      <c r="J8" s="2816"/>
      <c r="K8" s="2799"/>
      <c r="L8" s="2795"/>
      <c r="M8" s="2795"/>
      <c r="N8" s="2796"/>
      <c r="O8" s="2797"/>
      <c r="P8" s="2796"/>
      <c r="Q8" s="2796"/>
      <c r="R8" s="2796"/>
      <c r="S8" s="2796"/>
      <c r="T8" s="2796"/>
      <c r="U8" s="2796"/>
    </row>
    <row r="9" spans="1:21" ht="16.2" thickBot="1">
      <c r="A9" s="2741" t="s">
        <v>1462</v>
      </c>
      <c r="B9" s="1476" t="s">
        <v>3269</v>
      </c>
      <c r="C9" s="1477"/>
      <c r="D9" s="3710"/>
      <c r="E9" s="1476"/>
      <c r="F9" s="1536"/>
      <c r="G9" s="2821"/>
      <c r="H9" s="2821"/>
      <c r="I9" s="2822"/>
      <c r="J9" s="2816"/>
      <c r="K9" s="2799"/>
      <c r="L9" s="2795"/>
      <c r="M9" s="2795"/>
      <c r="N9" s="2796"/>
      <c r="O9" s="2797"/>
      <c r="P9" s="2796"/>
      <c r="Q9" s="2796"/>
      <c r="R9" s="2796"/>
      <c r="S9" s="2796"/>
      <c r="T9" s="2796"/>
      <c r="U9" s="2796"/>
    </row>
    <row r="10" spans="1:21" ht="31.8" thickTop="1">
      <c r="A10" s="2742" t="s">
        <v>1516</v>
      </c>
      <c r="B10" s="1513" t="s">
        <v>1464</v>
      </c>
      <c r="C10" s="1478" t="s">
        <v>3271</v>
      </c>
      <c r="D10" s="1470"/>
      <c r="E10" s="1479" t="s">
        <v>1465</v>
      </c>
      <c r="F10" s="1480"/>
      <c r="G10" s="1534"/>
      <c r="H10" s="1535"/>
      <c r="I10" s="1470"/>
      <c r="J10" s="2816"/>
      <c r="K10" s="2799"/>
      <c r="L10" s="2795"/>
      <c r="M10" s="2795"/>
      <c r="N10" s="2796"/>
      <c r="O10" s="2797"/>
      <c r="P10" s="2796"/>
      <c r="Q10" s="2796"/>
      <c r="R10" s="2796"/>
      <c r="S10" s="2796"/>
      <c r="T10" s="2796"/>
      <c r="U10" s="2796"/>
    </row>
    <row r="11" spans="1:21">
      <c r="A11" s="2743" t="s">
        <v>1517</v>
      </c>
      <c r="B11" s="1493" t="s">
        <v>3270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06"/>
      <c r="C12" s="3707"/>
      <c r="D12" s="3708"/>
      <c r="E12" s="1494" t="s">
        <v>1578</v>
      </c>
      <c r="F12" s="3724" t="s">
        <v>2162</v>
      </c>
      <c r="G12" s="3725"/>
      <c r="H12" s="3725"/>
      <c r="I12" s="3726"/>
      <c r="J12" s="2816"/>
      <c r="K12" s="2799"/>
      <c r="L12" s="2795"/>
      <c r="M12" s="2795"/>
      <c r="N12" s="2796"/>
      <c r="O12" s="2797"/>
      <c r="P12" s="2796"/>
      <c r="Q12" s="2796"/>
      <c r="R12" s="2796"/>
      <c r="S12" s="2796"/>
      <c r="T12" s="2796"/>
      <c r="U12" s="2796"/>
    </row>
    <row r="13" spans="1:21">
      <c r="A13" s="1485" t="s">
        <v>1576</v>
      </c>
      <c r="B13" s="3706"/>
      <c r="C13" s="3707"/>
      <c r="D13" s="3708"/>
      <c r="E13" s="1494" t="s">
        <v>1578</v>
      </c>
      <c r="F13" s="3724" t="s">
        <v>2163</v>
      </c>
      <c r="G13" s="3725"/>
      <c r="H13" s="3725"/>
      <c r="I13" s="3726"/>
      <c r="J13" s="2816"/>
      <c r="K13" s="2799"/>
      <c r="L13" s="2795"/>
      <c r="M13" s="2795"/>
      <c r="N13" s="2796"/>
      <c r="O13" s="2797"/>
      <c r="P13" s="2796"/>
      <c r="Q13" s="2796"/>
      <c r="R13" s="2796"/>
      <c r="S13" s="2796"/>
      <c r="T13" s="2796"/>
      <c r="U13" s="2796"/>
    </row>
    <row r="14" spans="1:21">
      <c r="A14" s="1464" t="s">
        <v>1579</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1468</v>
      </c>
      <c r="D15" s="3282" t="s">
        <v>1469</v>
      </c>
      <c r="E15" s="3282" t="s">
        <v>1178</v>
      </c>
      <c r="F15" s="1484" t="s">
        <v>1470</v>
      </c>
      <c r="G15" s="1484" t="s">
        <v>1471</v>
      </c>
      <c r="H15" s="1484" t="s">
        <v>775</v>
      </c>
      <c r="I15" s="1484" t="s">
        <v>2737</v>
      </c>
      <c r="J15" s="2816"/>
      <c r="K15" s="2799"/>
      <c r="L15" s="2795"/>
      <c r="M15" s="2795"/>
      <c r="N15" s="2796"/>
      <c r="O15" s="2797"/>
      <c r="P15" s="2796"/>
      <c r="Q15" s="2796"/>
      <c r="R15" s="2796"/>
      <c r="S15" s="2796"/>
      <c r="T15" s="2796"/>
      <c r="U15" s="2796"/>
    </row>
    <row r="16" spans="1:21">
      <c r="A16" s="2744" t="s">
        <v>1466</v>
      </c>
      <c r="B16" s="1494" t="s">
        <v>1467</v>
      </c>
      <c r="C16" s="3282" t="s">
        <v>1468</v>
      </c>
      <c r="D16" s="1516" t="s">
        <v>2738</v>
      </c>
      <c r="E16" s="1516" t="s">
        <v>1211</v>
      </c>
      <c r="F16" s="1516" t="s">
        <v>2739</v>
      </c>
      <c r="G16" s="1516" t="s">
        <v>2740</v>
      </c>
      <c r="H16" s="1484" t="s">
        <v>775</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3466</v>
      </c>
      <c r="B17" s="2745" t="s">
        <v>1472</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1473</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1474</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1577</v>
      </c>
      <c r="D20" s="3721"/>
      <c r="E20" s="3722"/>
      <c r="F20" s="3722"/>
      <c r="G20" s="3722"/>
      <c r="H20" s="3722"/>
      <c r="I20" s="3723"/>
      <c r="J20" s="2816"/>
      <c r="K20" s="2799"/>
      <c r="L20" s="2795"/>
      <c r="M20" s="2795"/>
      <c r="N20" s="2796"/>
      <c r="O20" s="2797"/>
      <c r="P20" s="2796"/>
      <c r="Q20" s="2796"/>
      <c r="R20" s="2796"/>
      <c r="S20" s="2796"/>
      <c r="T20" s="2796"/>
      <c r="U20" s="2796"/>
    </row>
    <row r="21" spans="1:21">
      <c r="A21" s="1552" t="s">
        <v>1475</v>
      </c>
      <c r="B21" s="1553" t="s">
        <v>1476</v>
      </c>
      <c r="C21" s="1548">
        <f>'数据-汇总表'!E3</f>
        <v>35000</v>
      </c>
      <c r="D21" s="1549" t="s">
        <v>1477</v>
      </c>
      <c r="E21" s="3711" t="s">
        <v>1515</v>
      </c>
      <c r="F21" s="3712"/>
      <c r="G21" s="3712"/>
      <c r="H21" s="3712"/>
      <c r="I21" s="3713"/>
      <c r="J21" s="2816"/>
      <c r="K21" s="2799"/>
      <c r="L21" s="2795"/>
      <c r="M21" s="2795"/>
      <c r="N21" s="2796"/>
      <c r="O21" s="2797"/>
      <c r="P21" s="2796"/>
      <c r="Q21" s="2796"/>
      <c r="R21" s="2796"/>
      <c r="S21" s="2796"/>
      <c r="T21" s="2796"/>
      <c r="U21" s="2796"/>
    </row>
    <row r="22" spans="1:21">
      <c r="A22" s="2556" t="s">
        <v>876</v>
      </c>
      <c r="B22" s="1464" t="s">
        <v>1478</v>
      </c>
      <c r="C22" s="1484">
        <f>'数据-汇总表'!D3</f>
        <v>106677.19</v>
      </c>
      <c r="D22" s="1485" t="s">
        <v>1477</v>
      </c>
      <c r="E22" s="3711" t="s">
        <v>2164</v>
      </c>
      <c r="F22" s="3712"/>
      <c r="G22" s="3712"/>
      <c r="H22" s="3712"/>
      <c r="I22" s="3713"/>
      <c r="J22" s="2816"/>
      <c r="K22" s="2799"/>
      <c r="L22" s="2795"/>
      <c r="M22" s="2795"/>
      <c r="N22" s="2796"/>
      <c r="O22" s="2797"/>
      <c r="P22" s="2796"/>
      <c r="Q22" s="2796"/>
      <c r="R22" s="2796"/>
      <c r="S22" s="2796"/>
      <c r="T22" s="2796"/>
      <c r="U22" s="2796"/>
    </row>
    <row r="23" spans="1:21" ht="47.4" thickBot="1">
      <c r="A23" s="1554" t="s">
        <v>1479</v>
      </c>
      <c r="B23" s="1495" t="s">
        <v>1480</v>
      </c>
      <c r="C23" s="1496"/>
      <c r="D23" s="1497" t="s">
        <v>1481</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1482</v>
      </c>
      <c r="B24" s="3714" t="s">
        <v>1483</v>
      </c>
      <c r="C24" s="3715"/>
      <c r="D24" s="3716" t="s">
        <v>1484</v>
      </c>
      <c r="E24" s="3717"/>
      <c r="F24" s="1502" t="s">
        <v>1485</v>
      </c>
      <c r="G24" s="2816"/>
      <c r="H24" s="2816"/>
      <c r="I24" s="2820"/>
      <c r="J24" s="2816"/>
      <c r="K24" s="3702" t="s">
        <v>1486</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1681</v>
      </c>
      <c r="C25" s="1503" t="s">
        <v>1487</v>
      </c>
      <c r="D25" s="1504"/>
      <c r="E25" s="1505" t="s">
        <v>876</v>
      </c>
      <c r="F25" s="1506"/>
      <c r="G25" s="2816"/>
      <c r="H25" s="2816"/>
      <c r="I25" s="2820"/>
      <c r="J25" s="2816"/>
      <c r="K25" s="3702"/>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1488</v>
      </c>
      <c r="C26" s="1503" t="s">
        <v>1682</v>
      </c>
      <c r="D26" s="2817"/>
      <c r="E26" s="2817"/>
      <c r="F26" s="2823"/>
      <c r="G26" s="2816"/>
      <c r="H26" s="2816"/>
      <c r="I26" s="2820"/>
      <c r="J26" s="2816"/>
      <c r="K26" s="3702"/>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6.2" thickTop="1">
      <c r="A31" s="3729" t="s">
        <v>1518</v>
      </c>
      <c r="B31" s="1553" t="s">
        <v>1519</v>
      </c>
      <c r="C31" s="3727"/>
      <c r="D31" s="3728"/>
      <c r="E31" s="2816"/>
      <c r="F31" s="2816"/>
      <c r="G31" s="2816"/>
      <c r="H31" s="2816"/>
      <c r="I31" s="2820"/>
      <c r="J31" s="2816"/>
      <c r="K31" s="2802"/>
      <c r="L31" s="2796"/>
      <c r="M31" s="2796"/>
      <c r="N31" s="2796"/>
      <c r="O31" s="2796"/>
      <c r="P31" s="2796"/>
      <c r="Q31" s="2796"/>
      <c r="R31" s="2796"/>
      <c r="S31" s="2796"/>
      <c r="T31" s="2796"/>
      <c r="U31" s="2796"/>
    </row>
    <row r="32" spans="1:21">
      <c r="A32" s="3729"/>
      <c r="B32" s="1464" t="s">
        <v>1520</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9"/>
      <c r="B33" s="1464" t="s">
        <v>1521</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30"/>
      <c r="B34" s="1464" t="s">
        <v>1522</v>
      </c>
      <c r="C34" s="3731"/>
      <c r="D34" s="3732"/>
      <c r="E34" s="2816"/>
      <c r="F34" s="2816"/>
      <c r="G34" s="2816"/>
      <c r="H34" s="2816"/>
      <c r="I34" s="2820"/>
      <c r="J34" s="2816"/>
      <c r="K34" s="2802"/>
      <c r="L34" s="2796"/>
      <c r="M34" s="2796"/>
      <c r="N34" s="2796"/>
      <c r="O34" s="2796"/>
      <c r="P34" s="2796"/>
      <c r="Q34" s="2796"/>
      <c r="R34" s="2796"/>
      <c r="S34" s="2796"/>
      <c r="T34" s="2796"/>
      <c r="U34" s="2796"/>
    </row>
    <row r="35" spans="1:28">
      <c r="A35" s="3733" t="s">
        <v>784</v>
      </c>
      <c r="B35" s="1516"/>
      <c r="C35" s="1562" t="str">
        <f>IF(B35="场地平整","——","具体情况：")</f>
        <v>具体情况：</v>
      </c>
      <c r="D35" s="3735"/>
      <c r="E35" s="3736"/>
      <c r="F35" s="3736"/>
      <c r="G35" s="3736"/>
      <c r="H35" s="3736"/>
      <c r="I35" s="3737"/>
      <c r="J35" s="2816"/>
      <c r="K35" s="2803"/>
      <c r="L35" s="2795"/>
      <c r="M35" s="2795"/>
      <c r="N35" s="2796"/>
      <c r="O35" s="2797"/>
      <c r="P35" s="2796"/>
      <c r="Q35" s="2796"/>
      <c r="R35" s="2796"/>
      <c r="S35" s="2796"/>
      <c r="T35" s="2796"/>
      <c r="U35" s="2796"/>
    </row>
    <row r="36" spans="1:28">
      <c r="A36" s="3729"/>
      <c r="B36" s="3738" t="s">
        <v>1571</v>
      </c>
      <c r="C36" s="3739"/>
      <c r="D36" s="1578"/>
      <c r="E36" s="3740"/>
      <c r="F36" s="3740"/>
      <c r="G36" s="1485" t="str">
        <f>IF(B35="场地未平整","估价结果处理","")</f>
        <v/>
      </c>
      <c r="H36" s="3741"/>
      <c r="I36" s="3741"/>
      <c r="J36" s="2816"/>
      <c r="K36" s="2803"/>
      <c r="L36" s="2795"/>
      <c r="M36" s="2795"/>
      <c r="N36" s="2796"/>
      <c r="O36" s="2797"/>
      <c r="P36" s="2796"/>
      <c r="Q36" s="2796"/>
      <c r="R36" s="2796"/>
      <c r="S36" s="2796"/>
      <c r="T36" s="2796"/>
      <c r="U36" s="2796"/>
    </row>
    <row r="37" spans="1:28" ht="31.2">
      <c r="A37" s="3729"/>
      <c r="B37" s="3718" t="s">
        <v>785</v>
      </c>
      <c r="C37" s="1518" t="s">
        <v>786</v>
      </c>
      <c r="D37" s="1519"/>
      <c r="E37" s="1520"/>
      <c r="F37" s="2816"/>
      <c r="G37" s="2816"/>
      <c r="H37" s="2816"/>
      <c r="I37" s="2820"/>
      <c r="J37" s="2816"/>
      <c r="K37" s="2803"/>
      <c r="L37" s="2796"/>
      <c r="M37" s="2796"/>
      <c r="N37" s="2796"/>
      <c r="O37" s="2796"/>
      <c r="P37" s="2796"/>
      <c r="Q37" s="2796"/>
      <c r="R37" s="2796"/>
      <c r="S37" s="2796"/>
      <c r="T37" s="2796"/>
      <c r="U37" s="2796"/>
    </row>
    <row r="38" spans="1:28">
      <c r="A38" s="3729"/>
      <c r="B38" s="3719"/>
      <c r="C38" s="1472" t="s">
        <v>787</v>
      </c>
      <c r="D38" s="1577">
        <f>ROUNDDOWN(MIN(('数据-取费表'!$B$2-D37)/365,D34),1)</f>
        <v>124.6</v>
      </c>
      <c r="E38" s="1521" t="s">
        <v>788</v>
      </c>
      <c r="F38" s="2816"/>
      <c r="G38" s="2816"/>
      <c r="H38" s="2816"/>
      <c r="I38" s="2820"/>
      <c r="J38" s="2816"/>
      <c r="K38" s="2803"/>
      <c r="L38" s="2796"/>
      <c r="M38" s="2796"/>
      <c r="N38" s="2796"/>
      <c r="O38" s="2796"/>
      <c r="P38" s="2796"/>
      <c r="Q38" s="2796"/>
      <c r="R38" s="2796"/>
      <c r="S38" s="2796"/>
      <c r="T38" s="2796"/>
      <c r="U38" s="2796"/>
    </row>
    <row r="39" spans="1:28">
      <c r="A39" s="3730"/>
      <c r="B39" s="3720"/>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c r="C40" s="1486"/>
      <c r="D40" s="1486"/>
      <c r="E40" s="1486"/>
      <c r="F40" s="1486"/>
      <c r="G40" s="1486"/>
      <c r="H40" s="1486"/>
      <c r="I40" s="2820"/>
      <c r="J40" s="2816"/>
      <c r="K40" s="2764">
        <f>COUNTIF(B40:H40,"——")</f>
        <v>0</v>
      </c>
      <c r="L40" s="1494" t="s">
        <v>1495</v>
      </c>
      <c r="M40" s="1491" t="s">
        <v>1496</v>
      </c>
      <c r="N40" s="1491" t="s">
        <v>1497</v>
      </c>
      <c r="O40" s="1491" t="s">
        <v>1498</v>
      </c>
      <c r="P40" s="1491" t="s">
        <v>1499</v>
      </c>
      <c r="Q40" s="1491" t="s">
        <v>1500</v>
      </c>
      <c r="R40" s="1491" t="s">
        <v>1501</v>
      </c>
      <c r="S40" s="3701" t="s">
        <v>1502</v>
      </c>
      <c r="T40" s="1525" t="str">
        <f>NUMBERSTRING(7-K40,1)&amp;"通"</f>
        <v>七通</v>
      </c>
      <c r="U40" s="2796"/>
    </row>
    <row r="41" spans="1:28" ht="31.2">
      <c r="A41" s="1466"/>
      <c r="B41" s="3734" t="s">
        <v>1249</v>
      </c>
      <c r="C41" s="3734"/>
      <c r="D41" s="3734"/>
      <c r="E41" s="3734"/>
      <c r="F41" s="1526" t="str">
        <f>C10</f>
        <v>北京市朝阳区十里堡1号</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1"/>
      <c r="T41" s="1527" t="str">
        <f>IF(T40="一通",L41,IF(T40="二通",M41,IF(T40="三通",N41,IF(T40="四通",O41,IF(T40="五通",P41,IF(T40="六通",Q41,R41))))))</f>
        <v>、、、、、、</v>
      </c>
      <c r="U41" s="2796"/>
    </row>
    <row r="42" spans="1:28">
      <c r="A42" s="1529"/>
      <c r="B42" s="1555" t="s">
        <v>1421</v>
      </c>
      <c r="C42" s="1555" t="s">
        <v>1422</v>
      </c>
      <c r="D42" s="1555" t="s">
        <v>1423</v>
      </c>
      <c r="E42" s="3282" t="s">
        <v>2741</v>
      </c>
      <c r="F42" s="3282" t="s">
        <v>2742</v>
      </c>
      <c r="G42" s="2816"/>
      <c r="H42" s="2816"/>
      <c r="I42" s="2820"/>
      <c r="J42" s="2816"/>
      <c r="K42" s="2799"/>
      <c r="L42" s="2795"/>
      <c r="M42" s="2795"/>
      <c r="N42" s="2796"/>
      <c r="O42" s="2797"/>
      <c r="P42" s="2796"/>
      <c r="Q42" s="2796"/>
      <c r="R42" s="2796"/>
      <c r="S42" s="2796"/>
      <c r="T42" s="2796"/>
      <c r="U42" s="2796"/>
    </row>
    <row r="43" spans="1:28">
      <c r="A43" s="2767" t="s">
        <v>1234</v>
      </c>
      <c r="B43" s="1531"/>
      <c r="C43" s="1531"/>
      <c r="D43" s="1531"/>
      <c r="E43" s="1531" t="s">
        <v>852</v>
      </c>
      <c r="F43" s="1531"/>
      <c r="G43" s="2816"/>
      <c r="H43" s="2816"/>
      <c r="I43" s="2820"/>
      <c r="J43" s="2816"/>
      <c r="K43" s="2799"/>
      <c r="L43" s="2795"/>
      <c r="M43" s="2795"/>
      <c r="N43" s="2796"/>
      <c r="O43" s="2797"/>
      <c r="P43" s="2796"/>
      <c r="Q43" s="2796"/>
      <c r="R43" s="2796"/>
      <c r="S43" s="2796"/>
      <c r="T43" s="2796"/>
      <c r="U43" s="2796"/>
    </row>
    <row r="44" spans="1:28">
      <c r="A44" s="2767" t="s">
        <v>1235</v>
      </c>
      <c r="B44" s="1531"/>
      <c r="C44" s="1531"/>
      <c r="D44" s="1531"/>
      <c r="E44" s="1578" t="s">
        <v>1063</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3" sqref="H3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1689</v>
      </c>
      <c r="BA2" s="2058"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106677.19</v>
      </c>
      <c r="B3" s="20">
        <f>IF(C3="否",G5-AT5,G5)</f>
        <v>35000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35000</v>
      </c>
      <c r="H5" s="25">
        <f t="shared" ref="H5:AT5" si="0">SUM(H13:H641)</f>
        <v>35000</v>
      </c>
      <c r="I5" s="25">
        <f t="shared" si="0"/>
        <v>35000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35000</v>
      </c>
      <c r="BA5" s="27">
        <f t="shared" si="1"/>
        <v>35000</v>
      </c>
      <c r="BB5" s="27">
        <f t="shared" si="1"/>
        <v>35000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106677.19</v>
      </c>
      <c r="F6" s="25" t="s">
        <v>0</v>
      </c>
      <c r="G6" s="25" t="s">
        <v>1</v>
      </c>
      <c r="H6" s="31">
        <f>SUMIF(I$12:AB$12,"总值",I6:AB6)</f>
        <v>106677.19</v>
      </c>
      <c r="I6" s="25">
        <f t="shared" ref="I6:AB6" si="2">ROUND($A$3*I5/$B$3,2)</f>
        <v>106677.19</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106677.19</v>
      </c>
      <c r="AZ6" s="25" t="s">
        <v>2</v>
      </c>
      <c r="BA6" s="25">
        <f>ROUND($AY$6*BA5/$AZ$5,2)</f>
        <v>106677.19</v>
      </c>
      <c r="BB6" s="25">
        <f>ROUND($AY$6*BB5/$AZ$5,2)</f>
        <v>106677.19</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792</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3273</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904</v>
      </c>
      <c r="J10" s="49"/>
      <c r="K10" s="2493"/>
      <c r="L10" s="49"/>
      <c r="M10" s="2493"/>
      <c r="N10" s="49"/>
      <c r="O10" s="64"/>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1687</v>
      </c>
      <c r="AK10" s="2051"/>
      <c r="AL10" s="2032" t="s">
        <v>1675</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1686</v>
      </c>
      <c r="AE11" s="964"/>
      <c r="AF11" s="2052" t="s">
        <v>1686</v>
      </c>
      <c r="AG11" s="964"/>
      <c r="AH11" s="2052" t="s">
        <v>1685</v>
      </c>
      <c r="AI11" s="2053"/>
      <c r="AJ11" s="2052" t="s">
        <v>1685</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3272</v>
      </c>
      <c r="E13" s="25">
        <f t="shared" ref="E13:E20" si="6">IF($C$3="是",ROUND($A$3*G13/$B$3,2),ROUND($A$3*(G13-AT13)/$B$3,2))</f>
        <v>106677.19</v>
      </c>
      <c r="F13" s="78"/>
      <c r="G13" s="79">
        <f t="shared" ref="G13:G20" si="7">H13+AC13+AT13</f>
        <v>35000</v>
      </c>
      <c r="H13" s="31">
        <f t="shared" ref="H13:H20" si="8">SUMIF(I$12:AB$12,"总值",I13:AB13)</f>
        <v>35000</v>
      </c>
      <c r="I13" s="2490">
        <v>35000</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106677.19</v>
      </c>
      <c r="AZ13" s="25">
        <f t="shared" ref="AZ13:AZ20" si="12">BA13+BL13</f>
        <v>35000</v>
      </c>
      <c r="BA13" s="25">
        <f t="shared" ref="BA13:BA20" si="13">SUM(BB13:BK13)</f>
        <v>35000</v>
      </c>
      <c r="BB13" s="25">
        <f t="shared" ref="BB13:BB20" si="14">IF($D13="是",I13-J13,0)</f>
        <v>35000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51" t="s">
        <v>169</v>
      </c>
      <c r="B2" s="3751"/>
      <c r="C2" s="3751"/>
      <c r="D2" s="1729" t="s">
        <v>170</v>
      </c>
      <c r="E2" s="102" t="s">
        <v>171</v>
      </c>
      <c r="F2" s="2825"/>
      <c r="G2" s="1096"/>
      <c r="H2" s="1097"/>
      <c r="I2" s="1098" t="s">
        <v>794</v>
      </c>
      <c r="J2" s="2825"/>
      <c r="K2" s="2825"/>
      <c r="L2" s="2825"/>
      <c r="M2" s="2825"/>
      <c r="N2" s="2825"/>
      <c r="O2" s="2825"/>
      <c r="P2" s="2825"/>
    </row>
    <row r="3" spans="1:16" ht="15" thickBot="1">
      <c r="A3" s="3752" t="s">
        <v>172</v>
      </c>
      <c r="B3" s="3752"/>
      <c r="C3" s="3752"/>
      <c r="D3" s="103">
        <f>'数据-基础表'!AY6</f>
        <v>106677.19</v>
      </c>
      <c r="E3" s="103">
        <f>'数据-基础表'!AZ5</f>
        <v>35000</v>
      </c>
      <c r="F3" s="2825"/>
      <c r="G3" s="271" t="s">
        <v>795</v>
      </c>
      <c r="H3" s="266" t="s">
        <v>796</v>
      </c>
      <c r="I3" s="1730">
        <f>ROUND('数据-基础表'!B3/'数据-基础表'!A3,2)</f>
        <v>0.33</v>
      </c>
      <c r="J3" s="2825"/>
      <c r="K3" s="2825"/>
      <c r="L3" s="2825"/>
      <c r="M3" s="2825"/>
      <c r="N3" s="2825"/>
      <c r="O3" s="2825"/>
      <c r="P3" s="2825"/>
    </row>
    <row r="4" spans="1:16" ht="14.4">
      <c r="A4" s="3753"/>
      <c r="B4" s="3754"/>
      <c r="C4" s="3755"/>
      <c r="D4" s="104" t="s">
        <v>170</v>
      </c>
      <c r="E4" s="105" t="s">
        <v>171</v>
      </c>
      <c r="F4" s="2825"/>
      <c r="G4" s="1099"/>
      <c r="H4" s="266" t="s">
        <v>797</v>
      </c>
      <c r="I4" s="1730">
        <f>ROUND(SUMIF('数据-基础表'!I9:AS9,"地上",'数据-基础表'!I5:AS5)/'数据-基础表'!A3,2)</f>
        <v>0.33</v>
      </c>
      <c r="J4" s="2825"/>
      <c r="K4" s="2825"/>
      <c r="L4" s="2825"/>
      <c r="M4" s="2825"/>
      <c r="N4" s="2825"/>
      <c r="O4" s="2825"/>
      <c r="P4" s="2825"/>
    </row>
    <row r="5" spans="1:16" ht="14.4">
      <c r="A5" s="106" t="s">
        <v>173</v>
      </c>
      <c r="B5" s="3756" t="s">
        <v>196</v>
      </c>
      <c r="C5" s="3756"/>
      <c r="D5" s="107">
        <f>ROUND($D$3*E5/$E$3,2)</f>
        <v>0</v>
      </c>
      <c r="E5" s="108">
        <f>SUMIF('数据-基础表'!$11:$11,"住宅",'数据-基础表'!$5:$5)</f>
        <v>0</v>
      </c>
      <c r="F5" s="2825"/>
      <c r="G5" s="271" t="s">
        <v>798</v>
      </c>
      <c r="H5" s="266" t="s">
        <v>796</v>
      </c>
      <c r="I5" s="1730">
        <f>ROUND(E31/D31,2)</f>
        <v>0.33</v>
      </c>
      <c r="J5" s="2825"/>
      <c r="K5" s="2825"/>
      <c r="L5" s="2825"/>
      <c r="M5" s="2825"/>
      <c r="N5" s="2825"/>
      <c r="O5" s="2825"/>
      <c r="P5" s="2825"/>
    </row>
    <row r="6" spans="1:16" ht="15" thickBot="1">
      <c r="A6" s="109"/>
      <c r="B6" s="3756" t="s">
        <v>174</v>
      </c>
      <c r="C6" s="3756"/>
      <c r="D6" s="107">
        <f>ROUND($D$3*E6/$E$3,2)</f>
        <v>106677.19</v>
      </c>
      <c r="E6" s="108">
        <f>E3-E5</f>
        <v>35000</v>
      </c>
      <c r="F6" s="2825"/>
      <c r="G6" s="1099"/>
      <c r="H6" s="266" t="s">
        <v>797</v>
      </c>
      <c r="I6" s="1730">
        <f>ROUND(F31/D31,2)</f>
        <v>0.33</v>
      </c>
      <c r="J6" s="2825"/>
      <c r="K6" s="2825"/>
      <c r="L6" s="2825"/>
      <c r="M6" s="2825"/>
      <c r="N6" s="2825"/>
      <c r="O6" s="2825"/>
      <c r="P6" s="2825"/>
    </row>
    <row r="7" spans="1:16" ht="14.4">
      <c r="A7" s="3748"/>
      <c r="B7" s="3749"/>
      <c r="C7" s="3750"/>
      <c r="D7" s="104" t="s">
        <v>170</v>
      </c>
      <c r="E7" s="110" t="s">
        <v>197</v>
      </c>
      <c r="F7" s="2825"/>
      <c r="G7" s="1055" t="s">
        <v>1179</v>
      </c>
      <c r="H7" s="1056"/>
      <c r="I7" s="1631">
        <v>1</v>
      </c>
      <c r="J7" s="2825"/>
      <c r="K7" s="2825"/>
      <c r="L7" s="2825"/>
      <c r="M7" s="2825"/>
      <c r="N7" s="2825"/>
      <c r="O7" s="2825"/>
      <c r="P7" s="2825"/>
    </row>
    <row r="8" spans="1:16" ht="14.4">
      <c r="A8" s="106" t="s">
        <v>175</v>
      </c>
      <c r="B8" s="111" t="s">
        <v>176</v>
      </c>
      <c r="C8" s="107" t="s">
        <v>177</v>
      </c>
      <c r="D8" s="107">
        <f t="shared" ref="D8:D15" si="0">ROUND($D$3*E8/$E$3,2)</f>
        <v>106677.19</v>
      </c>
      <c r="E8" s="112">
        <f>SUMIF('数据-基础表'!BB10:BK10,"地上",'数据-基础表'!BB5:BK5)</f>
        <v>35000</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1683</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1690</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106677.19</v>
      </c>
      <c r="E16" s="116">
        <f>SUM(E8:E15)</f>
        <v>35000</v>
      </c>
      <c r="F16" s="2825"/>
      <c r="G16" s="2826"/>
      <c r="H16" s="930" t="s">
        <v>185</v>
      </c>
      <c r="I16" s="931"/>
      <c r="J16" s="1738"/>
      <c r="K16" s="3742" t="s">
        <v>1848</v>
      </c>
      <c r="L16" s="3743"/>
      <c r="M16" s="3743"/>
      <c r="N16" s="3743"/>
      <c r="O16" s="3743"/>
      <c r="P16" s="3744"/>
    </row>
    <row r="17" spans="1:19" ht="14.4">
      <c r="A17" s="117" t="s">
        <v>182</v>
      </c>
      <c r="B17" s="118" t="s">
        <v>183</v>
      </c>
      <c r="C17" s="2016" t="s">
        <v>1669</v>
      </c>
      <c r="D17" s="104" t="s">
        <v>170</v>
      </c>
      <c r="E17" s="120" t="s">
        <v>171</v>
      </c>
      <c r="F17" s="121"/>
      <c r="G17" s="1225"/>
      <c r="H17" s="932" t="s">
        <v>184</v>
      </c>
      <c r="I17" s="933" t="s">
        <v>1668</v>
      </c>
      <c r="J17" s="1738"/>
      <c r="K17" s="3745" t="s">
        <v>1849</v>
      </c>
      <c r="L17" s="3746"/>
      <c r="M17" s="3747"/>
      <c r="N17" s="3745" t="s">
        <v>1850</v>
      </c>
      <c r="O17" s="3746"/>
      <c r="P17" s="3747"/>
      <c r="R17" s="2017" t="s">
        <v>1667</v>
      </c>
      <c r="S17" s="137"/>
    </row>
    <row r="18" spans="1:19" ht="14.4">
      <c r="A18" s="113"/>
      <c r="B18" s="124"/>
      <c r="C18" s="125"/>
      <c r="D18" s="2247"/>
      <c r="E18" s="126" t="s">
        <v>186</v>
      </c>
      <c r="F18" s="127" t="s">
        <v>187</v>
      </c>
      <c r="G18" s="1226" t="s">
        <v>188</v>
      </c>
      <c r="H18" s="934" t="s">
        <v>189</v>
      </c>
      <c r="I18" s="935" t="s">
        <v>190</v>
      </c>
      <c r="J18" s="1738"/>
      <c r="K18" s="2212" t="s">
        <v>1851</v>
      </c>
      <c r="L18" s="2213" t="s">
        <v>1852</v>
      </c>
      <c r="M18" s="2214" t="s">
        <v>1853</v>
      </c>
      <c r="N18" s="2212" t="s">
        <v>1851</v>
      </c>
      <c r="O18" s="2213" t="s">
        <v>1852</v>
      </c>
      <c r="P18" s="2214" t="s">
        <v>1853</v>
      </c>
      <c r="R18" s="2018" t="s">
        <v>1665</v>
      </c>
      <c r="S18" s="2018" t="s">
        <v>1666</v>
      </c>
    </row>
    <row r="19" spans="1:19" ht="14.4">
      <c r="A19" s="129"/>
      <c r="B19" s="111" t="s">
        <v>191</v>
      </c>
      <c r="C19" s="2497"/>
      <c r="D19" s="107">
        <f t="shared" ref="D19:D26" si="1">ROUND($D$3*E19/$E$3,2)</f>
        <v>106677.19</v>
      </c>
      <c r="E19" s="130">
        <f t="shared" ref="E19:E26" si="2">SUM(F19:G19)</f>
        <v>35000</v>
      </c>
      <c r="F19" s="2827">
        <f>'数据-基础表'!I13</f>
        <v>35000</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106677.19</v>
      </c>
      <c r="S19" s="2019">
        <f t="shared" si="5"/>
        <v>35000</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106677.19</v>
      </c>
      <c r="E27" s="136">
        <f>IF(SUM(E19:E26)='数据-基础表'!BA5,SUM(E19:E26),IF(F27="地上面积有误","面积有误","地下面积有误"))</f>
        <v>35000</v>
      </c>
      <c r="F27" s="130">
        <f>IF(SUM(F19:F26)=E8,SUM(F19:F26),"地上面积有误")</f>
        <v>35000</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106677.19</v>
      </c>
      <c r="S27" s="266">
        <f>IF(SUM(S19:S26)=$E$3,SUM(S19:S26),SUM(S19:S26)&amp;"误差"&amp;ROUND(SUM(S19:S26)-E3,2))</f>
        <v>35000</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1676</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1678</v>
      </c>
      <c r="D31" s="1229">
        <f>D27+D30</f>
        <v>106677.19</v>
      </c>
      <c r="E31" s="1229">
        <f>E27+E30</f>
        <v>35000</v>
      </c>
      <c r="F31" s="1230">
        <f>F27+F30</f>
        <v>35000</v>
      </c>
      <c r="G31" s="1231">
        <f>G27+G30</f>
        <v>0</v>
      </c>
      <c r="H31" s="2825"/>
      <c r="I31" s="2825"/>
      <c r="J31" s="2825"/>
      <c r="K31" s="2825"/>
      <c r="L31" s="2825"/>
      <c r="M31" s="2825"/>
      <c r="N31" s="2825"/>
      <c r="O31" s="2825"/>
      <c r="P31" s="2825"/>
    </row>
    <row r="32" spans="1:19" ht="14.4">
      <c r="A32" s="1738"/>
      <c r="B32" s="2060" t="s">
        <v>1677</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B50" sqref="B50"/>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45506</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1680</v>
      </c>
      <c r="B5" s="149" t="s">
        <v>202</v>
      </c>
      <c r="C5" s="150" t="s">
        <v>203</v>
      </c>
      <c r="D5" s="151" t="s">
        <v>204</v>
      </c>
      <c r="E5" s="152" t="s">
        <v>205</v>
      </c>
      <c r="F5" s="153" t="s">
        <v>206</v>
      </c>
      <c r="G5" s="152" t="s">
        <v>207</v>
      </c>
      <c r="H5" s="152" t="s">
        <v>799</v>
      </c>
      <c r="I5" s="152" t="s">
        <v>800</v>
      </c>
      <c r="J5" s="154" t="s">
        <v>208</v>
      </c>
      <c r="K5" s="155" t="s">
        <v>209</v>
      </c>
      <c r="L5" s="156" t="s">
        <v>210</v>
      </c>
      <c r="M5" s="157" t="s">
        <v>211</v>
      </c>
      <c r="N5" s="1117" t="s">
        <v>3243</v>
      </c>
      <c r="O5" s="156" t="s">
        <v>212</v>
      </c>
      <c r="P5" s="158" t="s">
        <v>213</v>
      </c>
      <c r="Q5" s="159" t="s">
        <v>214</v>
      </c>
      <c r="R5" s="160" t="s">
        <v>215</v>
      </c>
      <c r="S5" s="2228" t="s">
        <v>1854</v>
      </c>
      <c r="T5" s="161" t="s">
        <v>216</v>
      </c>
      <c r="U5" s="162" t="s">
        <v>217</v>
      </c>
      <c r="V5" s="152" t="s">
        <v>218</v>
      </c>
      <c r="W5" s="152" t="s">
        <v>219</v>
      </c>
      <c r="X5" s="1604"/>
      <c r="Y5" s="163" t="s">
        <v>220</v>
      </c>
      <c r="Z5" s="164" t="s">
        <v>221</v>
      </c>
      <c r="AA5" s="152" t="s">
        <v>218</v>
      </c>
      <c r="AB5" s="152" t="s">
        <v>219</v>
      </c>
      <c r="AC5" s="1605"/>
      <c r="AD5" s="165" t="s">
        <v>220</v>
      </c>
      <c r="AE5" s="1" t="s">
        <v>807</v>
      </c>
      <c r="AF5" s="152" t="s">
        <v>222</v>
      </c>
      <c r="AG5" s="163" t="s">
        <v>223</v>
      </c>
      <c r="AH5" s="1605" t="s">
        <v>1679</v>
      </c>
      <c r="AI5" s="164" t="s">
        <v>1648</v>
      </c>
      <c r="AJ5" s="164" t="s">
        <v>224</v>
      </c>
      <c r="AK5" s="152" t="s">
        <v>225</v>
      </c>
      <c r="AL5" s="152" t="s">
        <v>226</v>
      </c>
      <c r="AM5" s="165" t="s">
        <v>227</v>
      </c>
      <c r="AN5" s="2082" t="s">
        <v>1726</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f>'数据-汇总表'!C19</f>
        <v>0</v>
      </c>
      <c r="B6" s="2055" t="str">
        <f>IF(A6=0,"","经营性")</f>
        <v/>
      </c>
      <c r="C6" s="166" t="s">
        <v>904</v>
      </c>
      <c r="D6" s="2026">
        <f>SUMIF(项目基本情况!C$15:I$15,C6,项目基本情况!C$18:I$18)</f>
        <v>50</v>
      </c>
      <c r="E6" s="2027" t="str">
        <f>IF(B6="","",SUMIF(项目基本情况!C$15:I$15,C6,项目基本情况!C$17:I$17))</f>
        <v/>
      </c>
      <c r="F6" s="167">
        <f>SUMIF(项目基本情况!C$15:I$15,C6,项目基本情况!C$19:I$19)</f>
        <v>50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1670</v>
      </c>
      <c r="B14" s="2024" t="s">
        <v>1212</v>
      </c>
      <c r="C14" s="2025" t="s">
        <v>1670</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1672</v>
      </c>
      <c r="B15" s="2024" t="s">
        <v>1212</v>
      </c>
      <c r="C15" s="2025" t="s">
        <v>1671</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2273</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1</v>
      </c>
      <c r="C20" s="2847" t="s">
        <v>1691</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1693</v>
      </c>
      <c r="B27" s="218"/>
      <c r="C27" s="2848" t="s">
        <v>2274</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1694</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1692</v>
      </c>
      <c r="B29" s="223">
        <f>成本逼近法!C13</f>
        <v>3360</v>
      </c>
      <c r="C29" s="2849" t="s">
        <v>1695</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50" t="s">
        <v>3266</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2264</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200</v>
      </c>
      <c r="C35" s="2850" t="s">
        <v>2265</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3267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2266</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2266</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1800</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9.4" thickBot="1">
      <c r="A40" s="3021" t="s">
        <v>3629</v>
      </c>
      <c r="B40" s="2129">
        <f ca="1">IF(A40="利息：取LPR",存贷款利率!E2,存贷款利率!E2+C40)</f>
        <v>4.2500000000000003E-2</v>
      </c>
      <c r="C40" s="3022">
        <v>8.9999999999999993E-3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2271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2275</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2166</v>
      </c>
      <c r="D53" s="2854" t="s">
        <v>2272</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2172</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link="1"/>
  <phoneticPr fontId="3"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757" t="s">
        <v>1197</v>
      </c>
      <c r="B1" s="3758"/>
      <c r="C1" s="3758"/>
      <c r="D1" s="3758"/>
      <c r="E1" s="3758"/>
      <c r="F1" s="3758"/>
      <c r="G1" s="3758"/>
      <c r="H1" s="2855"/>
      <c r="I1" s="2856"/>
      <c r="J1" s="2857"/>
      <c r="K1" s="2855"/>
      <c r="L1" s="2856"/>
      <c r="M1" s="2857"/>
      <c r="N1" s="2855"/>
      <c r="O1" s="2856"/>
      <c r="P1" s="2857"/>
      <c r="Q1" s="2858"/>
      <c r="R1" s="2859"/>
    </row>
    <row r="2" spans="1:18" ht="15" thickBot="1">
      <c r="A2" s="2861"/>
      <c r="B2" s="2862"/>
      <c r="C2" s="2863" t="s">
        <v>1198</v>
      </c>
      <c r="D2" s="2864"/>
      <c r="E2" s="2861"/>
      <c r="F2" s="2865"/>
      <c r="G2" s="2863" t="s">
        <v>1199</v>
      </c>
      <c r="H2" s="2866"/>
      <c r="I2" s="2866"/>
      <c r="J2" s="2866"/>
      <c r="K2" s="2866"/>
      <c r="L2" s="2866"/>
      <c r="M2" s="2866"/>
      <c r="N2" s="2866"/>
      <c r="O2" s="2866"/>
      <c r="P2" s="2866"/>
      <c r="Q2" s="2866"/>
      <c r="R2" s="2866"/>
    </row>
    <row r="3" spans="1:18" ht="43.2">
      <c r="A3" s="2867" t="s">
        <v>1200</v>
      </c>
      <c r="B3" s="2868" t="s">
        <v>1187</v>
      </c>
      <c r="C3" s="2869" t="s">
        <v>2183</v>
      </c>
      <c r="D3" s="2870"/>
      <c r="E3" s="2871" t="s">
        <v>1200</v>
      </c>
      <c r="F3" s="2872" t="s">
        <v>1188</v>
      </c>
      <c r="G3" s="2873" t="s">
        <v>2182</v>
      </c>
      <c r="H3" s="2866"/>
      <c r="I3" s="2866"/>
      <c r="J3" s="2866"/>
      <c r="K3" s="2866"/>
      <c r="L3" s="2866"/>
      <c r="M3" s="2866"/>
      <c r="N3" s="2866"/>
      <c r="O3" s="2866"/>
      <c r="P3" s="2866"/>
      <c r="Q3" s="2866"/>
      <c r="R3" s="2866"/>
    </row>
    <row r="4" spans="1:18" ht="43.2">
      <c r="A4" s="2871"/>
      <c r="B4" s="2874" t="s">
        <v>1201</v>
      </c>
      <c r="C4" s="2875" t="s">
        <v>2184</v>
      </c>
      <c r="D4" s="2870"/>
      <c r="E4" s="2876"/>
      <c r="F4" s="2877" t="s">
        <v>1202</v>
      </c>
      <c r="G4" s="2878" t="s">
        <v>2179</v>
      </c>
      <c r="H4" s="2866"/>
      <c r="I4" s="2866"/>
      <c r="J4" s="2866"/>
      <c r="K4" s="2866"/>
      <c r="L4" s="2866"/>
      <c r="M4" s="2866"/>
      <c r="N4" s="2866"/>
      <c r="O4" s="2866"/>
      <c r="P4" s="2866"/>
      <c r="Q4" s="2866"/>
      <c r="R4" s="2866"/>
    </row>
    <row r="5" spans="1:18" ht="43.2">
      <c r="A5" s="2871"/>
      <c r="B5" s="2874" t="s">
        <v>1203</v>
      </c>
      <c r="C5" s="2875" t="s">
        <v>2185</v>
      </c>
      <c r="D5" s="2870"/>
      <c r="E5" s="2876"/>
      <c r="F5" s="2874" t="s">
        <v>1828</v>
      </c>
      <c r="G5" s="2878" t="s">
        <v>2180</v>
      </c>
      <c r="H5" s="2866"/>
      <c r="I5" s="2866"/>
      <c r="J5" s="2866"/>
      <c r="K5" s="2866"/>
      <c r="L5" s="2866"/>
      <c r="M5" s="2866"/>
      <c r="N5" s="2866"/>
      <c r="O5" s="2866"/>
      <c r="P5" s="2866"/>
      <c r="Q5" s="2866"/>
      <c r="R5" s="2866"/>
    </row>
    <row r="6" spans="1:18" ht="43.2">
      <c r="A6" s="2871"/>
      <c r="B6" s="2874" t="s">
        <v>1189</v>
      </c>
      <c r="C6" s="2878" t="s">
        <v>2179</v>
      </c>
      <c r="D6" s="2870"/>
      <c r="E6" s="2876"/>
      <c r="F6" s="2874" t="s">
        <v>1829</v>
      </c>
      <c r="G6" s="2878" t="s">
        <v>2177</v>
      </c>
      <c r="H6" s="2866"/>
      <c r="I6" s="2866"/>
      <c r="J6" s="2866"/>
      <c r="K6" s="2866"/>
      <c r="L6" s="2866"/>
      <c r="M6" s="2866"/>
      <c r="N6" s="2866"/>
      <c r="O6" s="2866"/>
      <c r="P6" s="2866"/>
      <c r="Q6" s="2866"/>
      <c r="R6" s="2866"/>
    </row>
    <row r="7" spans="1:18" ht="29.4" thickBot="1">
      <c r="A7" s="2871"/>
      <c r="B7" s="2874" t="s">
        <v>1828</v>
      </c>
      <c r="C7" s="2878" t="s">
        <v>2180</v>
      </c>
      <c r="D7" s="2879"/>
      <c r="E7" s="2880"/>
      <c r="F7" s="2881" t="s">
        <v>1204</v>
      </c>
      <c r="G7" s="2882" t="s">
        <v>2181</v>
      </c>
      <c r="H7" s="2866"/>
      <c r="I7" s="2866"/>
      <c r="J7" s="2866"/>
      <c r="K7" s="2866"/>
      <c r="L7" s="2866"/>
      <c r="M7" s="2866"/>
      <c r="N7" s="2866"/>
      <c r="O7" s="2866"/>
      <c r="P7" s="2866"/>
      <c r="Q7" s="2866"/>
      <c r="R7" s="2866"/>
    </row>
    <row r="8" spans="1:18">
      <c r="A8" s="2871"/>
      <c r="B8" s="2874" t="s">
        <v>1829</v>
      </c>
      <c r="C8" s="2878" t="s">
        <v>2177</v>
      </c>
      <c r="D8" s="2879"/>
      <c r="E8" s="2879"/>
      <c r="F8" s="2883"/>
      <c r="G8" s="2883"/>
      <c r="H8" s="2866"/>
      <c r="I8" s="2866"/>
      <c r="J8" s="2866"/>
      <c r="K8" s="2866"/>
      <c r="L8" s="2866"/>
      <c r="M8" s="2866"/>
      <c r="N8" s="2866"/>
      <c r="O8" s="2866"/>
      <c r="P8" s="2866"/>
      <c r="Q8" s="2866"/>
      <c r="R8" s="2866"/>
    </row>
    <row r="9" spans="1:18" ht="28.8">
      <c r="A9" s="2871"/>
      <c r="B9" s="2874" t="s">
        <v>1190</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1205</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1206</v>
      </c>
      <c r="B13" s="2893"/>
      <c r="C13" s="2893"/>
      <c r="D13" s="2864"/>
      <c r="E13" s="2893"/>
      <c r="F13" s="2893"/>
      <c r="G13" s="2893"/>
    </row>
    <row r="14" spans="1:18" ht="15" thickBot="1">
      <c r="A14" s="2905"/>
      <c r="B14" s="2905"/>
      <c r="C14" s="2906" t="s">
        <v>1198</v>
      </c>
      <c r="D14" s="2870"/>
      <c r="E14" s="2907"/>
      <c r="F14" s="2907"/>
      <c r="G14" s="2863" t="s">
        <v>1199</v>
      </c>
    </row>
    <row r="15" spans="1:18" ht="43.2">
      <c r="A15" s="2908" t="s">
        <v>1191</v>
      </c>
      <c r="B15" s="2909" t="s">
        <v>1187</v>
      </c>
      <c r="C15" s="2910" t="str">
        <f>C3</f>
        <v>估价对象周边居住用地比例、居住小区规模和社区发展完善程度，综合评价居住社区成熟度一般</v>
      </c>
      <c r="D15" s="2870"/>
      <c r="E15" s="2911" t="s">
        <v>1192</v>
      </c>
      <c r="F15" s="2909" t="s">
        <v>1207</v>
      </c>
      <c r="G15" s="2912" t="str">
        <f>G3</f>
        <v>估价对象位于XX开发区，园区建设成熟度XX，产业集聚程度XX</v>
      </c>
    </row>
    <row r="16" spans="1:18" ht="43.2">
      <c r="A16" s="2913"/>
      <c r="B16" s="2914" t="s">
        <v>1201</v>
      </c>
      <c r="C16" s="2915" t="str">
        <f>C4</f>
        <v>估价对象位于XX商圈，周边商业氛围成熟，人流量大，商业繁华度好</v>
      </c>
      <c r="D16" s="2870"/>
      <c r="E16" s="2916"/>
      <c r="F16" s="2917" t="s">
        <v>1202</v>
      </c>
      <c r="G16" s="2918" t="str">
        <f>G4</f>
        <v>估价对象周边道路状况、公共交通通达情况、停车便捷程度，综合评价交通便捷度较好</v>
      </c>
    </row>
    <row r="17" spans="1:7" ht="43.2">
      <c r="A17" s="2913"/>
      <c r="B17" s="2914" t="s">
        <v>1203</v>
      </c>
      <c r="C17" s="2915" t="str">
        <f>C5</f>
        <v>估价对象位于XX商圈，周边办公楼项目较多，入驻率高，办公集聚程度较好</v>
      </c>
      <c r="D17" s="2879"/>
      <c r="E17" s="2916"/>
      <c r="F17" s="2917" t="s">
        <v>1208</v>
      </c>
      <c r="G17" s="2919"/>
    </row>
    <row r="18" spans="1:7" ht="43.2">
      <c r="A18" s="2913"/>
      <c r="B18" s="2917" t="s">
        <v>1189</v>
      </c>
      <c r="C18" s="2918" t="str">
        <f>C6</f>
        <v>估价对象周边道路状况、公共交通通达情况、停车便捷程度，综合评价交通便捷度较好</v>
      </c>
      <c r="D18" s="2879"/>
      <c r="E18" s="2916"/>
      <c r="F18" s="2917" t="s">
        <v>1204</v>
      </c>
      <c r="G18" s="2918" t="str">
        <f>G7</f>
        <v>该园区内是否有污染型企业，绿化情况，卫生条件，整体环境状况判断</v>
      </c>
    </row>
    <row r="19" spans="1:7" ht="28.8">
      <c r="A19" s="2913"/>
      <c r="B19" s="2917" t="s">
        <v>1193</v>
      </c>
      <c r="C19" s="2919"/>
      <c r="D19" s="2870"/>
      <c r="E19" s="2916"/>
      <c r="F19" s="2874" t="s">
        <v>1828</v>
      </c>
      <c r="G19" s="2918" t="str">
        <f>G5</f>
        <v>估价对象所在区域公共配套设施齐备情况</v>
      </c>
    </row>
    <row r="20" spans="1:7" ht="28.8">
      <c r="A20" s="2913"/>
      <c r="B20" s="2917" t="s">
        <v>1194</v>
      </c>
      <c r="C20" s="2915" t="str">
        <f>C9</f>
        <v>区域自然环境：；人文环境；综合评价环境状况一般</v>
      </c>
      <c r="D20" s="2879"/>
      <c r="E20" s="2916"/>
      <c r="F20" s="2874" t="s">
        <v>1829</v>
      </c>
      <c r="G20" s="2918" t="str">
        <f>G6</f>
        <v>估价对象所在区域基础设施水平</v>
      </c>
    </row>
    <row r="21" spans="1:7" ht="28.8">
      <c r="A21" s="2913"/>
      <c r="B21" s="2874" t="s">
        <v>1828</v>
      </c>
      <c r="C21" s="2918" t="str">
        <f>C7</f>
        <v>估价对象所在区域公共配套设施齐备情况</v>
      </c>
      <c r="D21" s="2870"/>
      <c r="E21" s="2916"/>
      <c r="F21" s="2917" t="s">
        <v>1195</v>
      </c>
      <c r="G21" s="2920"/>
    </row>
    <row r="22" spans="1:7">
      <c r="A22" s="2913"/>
      <c r="B22" s="2874" t="s">
        <v>1829</v>
      </c>
      <c r="C22" s="2918" t="str">
        <f>C8</f>
        <v>估价对象所在区域基础设施水平</v>
      </c>
      <c r="D22" s="2870"/>
      <c r="E22" s="2916"/>
      <c r="F22" s="2917" t="s">
        <v>1205</v>
      </c>
      <c r="G22" s="2919"/>
    </row>
    <row r="23" spans="1:7" ht="15" thickBot="1">
      <c r="A23" s="2913"/>
      <c r="B23" s="2917" t="s">
        <v>1195</v>
      </c>
      <c r="C23" s="2920"/>
      <c r="E23" s="2921"/>
      <c r="F23" s="2922" t="s">
        <v>1209</v>
      </c>
      <c r="G23" s="2923"/>
    </row>
    <row r="24" spans="1:7" ht="15" thickBot="1">
      <c r="A24" s="2924"/>
      <c r="B24" s="2922" t="s">
        <v>1196</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9" customWidth="1"/>
    <col min="2" max="16384" width="14.6640625" style="2929"/>
  </cols>
  <sheetData>
    <row r="1" spans="1:10" ht="15.6">
      <c r="A1" s="2928" t="s">
        <v>2117</v>
      </c>
      <c r="B1" s="2928">
        <f>SUM(B14:B23)</f>
        <v>0</v>
      </c>
      <c r="C1" s="2937"/>
      <c r="D1" s="2937"/>
      <c r="E1" s="2937"/>
      <c r="F1" s="2937"/>
      <c r="G1" s="2938"/>
      <c r="H1" s="2938"/>
      <c r="I1" s="2938"/>
      <c r="J1" s="2938"/>
    </row>
    <row r="2" spans="1:10" ht="15.6">
      <c r="A2" s="2928" t="s">
        <v>2118</v>
      </c>
      <c r="B2" s="2928">
        <f>SUM(C14:C23)</f>
        <v>0</v>
      </c>
      <c r="C2" s="2937"/>
      <c r="D2" s="2937"/>
      <c r="E2" s="2937"/>
      <c r="F2" s="2937"/>
      <c r="G2" s="2938"/>
      <c r="H2" s="2938"/>
      <c r="I2" s="2938"/>
      <c r="J2" s="2938"/>
    </row>
    <row r="3" spans="1:10" ht="15.6">
      <c r="A3" s="2928" t="s">
        <v>2119</v>
      </c>
      <c r="B3" s="2930">
        <f>项目基本情况!D3</f>
        <v>45506</v>
      </c>
      <c r="C3" s="2937"/>
      <c r="D3" s="2937"/>
      <c r="E3" s="2937"/>
      <c r="F3" s="2937"/>
      <c r="G3" s="2938"/>
      <c r="H3" s="2938"/>
      <c r="I3" s="2938"/>
      <c r="J3" s="2938"/>
    </row>
    <row r="4" spans="1:10" ht="31.2">
      <c r="A4" s="2928" t="s">
        <v>2120</v>
      </c>
      <c r="B4" s="2928" t="s">
        <v>2121</v>
      </c>
      <c r="C4" s="2928" t="s">
        <v>2122</v>
      </c>
      <c r="D4" s="2928" t="s">
        <v>2123</v>
      </c>
      <c r="E4" s="2937"/>
      <c r="F4" s="2937"/>
      <c r="G4" s="2938"/>
      <c r="H4" s="2938"/>
      <c r="I4" s="2938"/>
      <c r="J4" s="2938"/>
    </row>
    <row r="5" spans="1:10" ht="15.6">
      <c r="A5" s="2928" t="s">
        <v>2124</v>
      </c>
      <c r="B5" s="2928">
        <f>SUM(D14:D23)</f>
        <v>0</v>
      </c>
      <c r="C5" s="2928" t="e">
        <f>ROUND(B5*10000/$B$1,0)</f>
        <v>#DIV/0!</v>
      </c>
      <c r="D5" s="2928" t="e">
        <f>ROUND(B5*10000/$B$2,0)</f>
        <v>#DIV/0!</v>
      </c>
      <c r="E5" s="2937"/>
      <c r="F5" s="2937"/>
      <c r="G5" s="2938"/>
      <c r="H5" s="2938"/>
      <c r="I5" s="2938"/>
      <c r="J5" s="2938"/>
    </row>
    <row r="6" spans="1:10" ht="15.6">
      <c r="A6" s="2928" t="s">
        <v>2125</v>
      </c>
      <c r="B6" s="2928">
        <f>SUM(G14:G23)</f>
        <v>0</v>
      </c>
      <c r="C6" s="2928" t="e">
        <f>ROUND(B6*10000/$B$1,0)</f>
        <v>#DIV/0!</v>
      </c>
      <c r="D6" s="2928" t="e">
        <f>ROUND(B6*10000/$B$2,0)</f>
        <v>#DIV/0!</v>
      </c>
      <c r="E6" s="2937"/>
      <c r="F6" s="2937"/>
      <c r="G6" s="2938"/>
      <c r="H6" s="2938"/>
      <c r="I6" s="2938"/>
      <c r="J6" s="2938"/>
    </row>
    <row r="7" spans="1:10" ht="15.6">
      <c r="A7" s="2928" t="s">
        <v>2126</v>
      </c>
      <c r="B7" s="2928">
        <f>SUM(H14:H23)</f>
        <v>0</v>
      </c>
      <c r="C7" s="2928" t="e">
        <f>ROUND(B7*10000/$B$1,0)</f>
        <v>#DIV/0!</v>
      </c>
      <c r="D7" s="2928" t="e">
        <f>ROUND(B7*10000/$B$2,0)</f>
        <v>#DIV/0!</v>
      </c>
      <c r="E7" s="2937"/>
      <c r="F7" s="2937"/>
      <c r="G7" s="2938"/>
      <c r="H7" s="2938"/>
      <c r="I7" s="2938"/>
      <c r="J7" s="2938"/>
    </row>
    <row r="8" spans="1:10" ht="15.6">
      <c r="A8" s="2928" t="s">
        <v>2127</v>
      </c>
      <c r="B8" s="2928">
        <f>SUM(I14:I23)</f>
        <v>0</v>
      </c>
      <c r="C8" s="2928" t="e">
        <f>ROUND(B8*10000/$B$1,0)</f>
        <v>#DIV/0!</v>
      </c>
      <c r="D8" s="2928" t="e">
        <f>ROUND(B8*10000/$B$2,0)</f>
        <v>#DIV/0!</v>
      </c>
      <c r="E8" s="2937"/>
      <c r="F8" s="2937"/>
      <c r="G8" s="2938"/>
      <c r="H8" s="2938"/>
      <c r="I8" s="2938"/>
      <c r="J8" s="2938"/>
    </row>
    <row r="9" spans="1:10" ht="15.6">
      <c r="A9" s="2928" t="s">
        <v>2128</v>
      </c>
      <c r="B9" s="2936"/>
      <c r="C9" s="2937"/>
      <c r="D9" s="2937"/>
      <c r="E9" s="2937"/>
      <c r="F9" s="2937"/>
      <c r="G9" s="2938"/>
      <c r="H9" s="2938"/>
      <c r="I9" s="2938"/>
      <c r="J9" s="2938"/>
    </row>
    <row r="10" spans="1:10" ht="15.6">
      <c r="A10" s="2928" t="s">
        <v>2129</v>
      </c>
      <c r="B10" s="2936"/>
      <c r="C10" s="2937"/>
      <c r="D10" s="2937"/>
      <c r="E10" s="2937"/>
      <c r="F10" s="2937"/>
      <c r="G10" s="2938"/>
      <c r="H10" s="2938"/>
      <c r="I10" s="2938"/>
      <c r="J10" s="2938"/>
    </row>
    <row r="11" spans="1:10" ht="15.6">
      <c r="A11" s="2928" t="s">
        <v>2146</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2145</v>
      </c>
      <c r="B13" s="2932" t="s">
        <v>2117</v>
      </c>
      <c r="C13" s="2932" t="s">
        <v>2118</v>
      </c>
      <c r="D13" s="2932" t="s">
        <v>2130</v>
      </c>
      <c r="E13" s="2928" t="s">
        <v>2144</v>
      </c>
      <c r="F13" s="2928" t="s">
        <v>2123</v>
      </c>
      <c r="G13" s="2932" t="s">
        <v>2131</v>
      </c>
      <c r="H13" s="2932" t="s">
        <v>2132</v>
      </c>
      <c r="I13" s="2932" t="s">
        <v>2133</v>
      </c>
      <c r="J13" s="2938"/>
    </row>
    <row r="14" spans="1:10" ht="15.6">
      <c r="A14" s="2933" t="s">
        <v>2143</v>
      </c>
      <c r="B14" s="2934"/>
      <c r="C14" s="2934"/>
      <c r="D14" s="2934"/>
      <c r="E14" s="2934" t="e">
        <f>ROUND(D14*10000/B14,0)</f>
        <v>#DIV/0!</v>
      </c>
      <c r="F14" s="2934" t="e">
        <f>ROUND(D14*10000/C14,0)</f>
        <v>#DIV/0!</v>
      </c>
      <c r="G14" s="2934"/>
      <c r="H14" s="2934"/>
      <c r="I14" s="2934"/>
      <c r="J14" s="2938"/>
    </row>
    <row r="15" spans="1:10" ht="15.6">
      <c r="A15" s="2933" t="s">
        <v>2134</v>
      </c>
      <c r="B15" s="2935"/>
      <c r="C15" s="2935"/>
      <c r="D15" s="2935"/>
      <c r="E15" s="2934" t="e">
        <f t="shared" ref="E15:E23" si="0">ROUND(D15*10000/B15,0)</f>
        <v>#DIV/0!</v>
      </c>
      <c r="F15" s="2934" t="e">
        <f t="shared" ref="F15:F23" si="1">ROUND(D15*10000/C15,0)</f>
        <v>#DIV/0!</v>
      </c>
      <c r="G15" s="2514"/>
      <c r="H15" s="2514"/>
      <c r="I15" s="2935"/>
      <c r="J15" s="2938"/>
    </row>
    <row r="16" spans="1:10" ht="15.6">
      <c r="A16" s="2933" t="s">
        <v>2135</v>
      </c>
      <c r="B16" s="2935"/>
      <c r="C16" s="2935"/>
      <c r="D16" s="2935"/>
      <c r="E16" s="2934" t="e">
        <f t="shared" si="0"/>
        <v>#DIV/0!</v>
      </c>
      <c r="F16" s="2934" t="e">
        <f t="shared" si="1"/>
        <v>#DIV/0!</v>
      </c>
      <c r="G16" s="2514"/>
      <c r="H16" s="2514"/>
      <c r="I16" s="2935"/>
      <c r="J16" s="2938"/>
    </row>
    <row r="17" spans="1:10" ht="15.6">
      <c r="A17" s="2933" t="s">
        <v>2136</v>
      </c>
      <c r="B17" s="2935"/>
      <c r="C17" s="2935"/>
      <c r="D17" s="2935"/>
      <c r="E17" s="2934" t="e">
        <f t="shared" si="0"/>
        <v>#DIV/0!</v>
      </c>
      <c r="F17" s="2934" t="e">
        <f t="shared" si="1"/>
        <v>#DIV/0!</v>
      </c>
      <c r="G17" s="2514"/>
      <c r="H17" s="2514"/>
      <c r="I17" s="2935"/>
      <c r="J17" s="2938"/>
    </row>
    <row r="18" spans="1:10" ht="15.6">
      <c r="A18" s="2933" t="s">
        <v>2137</v>
      </c>
      <c r="B18" s="2935"/>
      <c r="C18" s="2935"/>
      <c r="D18" s="2935"/>
      <c r="E18" s="2934" t="e">
        <f t="shared" si="0"/>
        <v>#DIV/0!</v>
      </c>
      <c r="F18" s="2934" t="e">
        <f t="shared" si="1"/>
        <v>#DIV/0!</v>
      </c>
      <c r="G18" s="2935"/>
      <c r="H18" s="2935"/>
      <c r="I18" s="2935"/>
      <c r="J18" s="2938"/>
    </row>
    <row r="19" spans="1:10" ht="15.6">
      <c r="A19" s="2933" t="s">
        <v>2138</v>
      </c>
      <c r="B19" s="2935"/>
      <c r="C19" s="2935"/>
      <c r="D19" s="2935"/>
      <c r="E19" s="2934" t="e">
        <f t="shared" si="0"/>
        <v>#DIV/0!</v>
      </c>
      <c r="F19" s="2934" t="e">
        <f t="shared" si="1"/>
        <v>#DIV/0!</v>
      </c>
      <c r="G19" s="2935"/>
      <c r="H19" s="2935"/>
      <c r="I19" s="2935"/>
      <c r="J19" s="2938"/>
    </row>
    <row r="20" spans="1:10" ht="15.6">
      <c r="A20" s="2933" t="s">
        <v>2139</v>
      </c>
      <c r="B20" s="2935"/>
      <c r="C20" s="2935"/>
      <c r="D20" s="2935"/>
      <c r="E20" s="2934" t="e">
        <f t="shared" si="0"/>
        <v>#DIV/0!</v>
      </c>
      <c r="F20" s="2934" t="e">
        <f t="shared" si="1"/>
        <v>#DIV/0!</v>
      </c>
      <c r="G20" s="2935"/>
      <c r="H20" s="2935"/>
      <c r="I20" s="2935"/>
      <c r="J20" s="2938"/>
    </row>
    <row r="21" spans="1:10" ht="15.6">
      <c r="A21" s="2933" t="s">
        <v>2140</v>
      </c>
      <c r="B21" s="2935"/>
      <c r="C21" s="2935"/>
      <c r="D21" s="2935"/>
      <c r="E21" s="2934" t="e">
        <f t="shared" si="0"/>
        <v>#DIV/0!</v>
      </c>
      <c r="F21" s="2934" t="e">
        <f t="shared" si="1"/>
        <v>#DIV/0!</v>
      </c>
      <c r="G21" s="2935"/>
      <c r="H21" s="2935"/>
      <c r="I21" s="2935"/>
      <c r="J21" s="2938"/>
    </row>
    <row r="22" spans="1:10" ht="15.6">
      <c r="A22" s="2933" t="s">
        <v>2141</v>
      </c>
      <c r="B22" s="2935"/>
      <c r="C22" s="2935"/>
      <c r="D22" s="2935"/>
      <c r="E22" s="2934" t="e">
        <f t="shared" si="0"/>
        <v>#DIV/0!</v>
      </c>
      <c r="F22" s="2934" t="e">
        <f t="shared" si="1"/>
        <v>#DIV/0!</v>
      </c>
      <c r="G22" s="2935"/>
      <c r="H22" s="2935"/>
      <c r="I22" s="2935"/>
      <c r="J22" s="2938"/>
    </row>
    <row r="23" spans="1:10" ht="15.6">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19" sqref="G19"/>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1572</v>
      </c>
      <c r="B1" s="1564"/>
      <c r="C1" s="1592" t="s">
        <v>1573</v>
      </c>
      <c r="D1" s="1593"/>
      <c r="E1" s="1592" t="s">
        <v>1574</v>
      </c>
      <c r="F1" s="1594"/>
      <c r="G1" s="302"/>
      <c r="H1" s="302"/>
      <c r="I1" s="302"/>
      <c r="J1" s="1752"/>
      <c r="K1" s="1752"/>
      <c r="L1" s="1752"/>
      <c r="M1" s="1752"/>
      <c r="N1" s="1752"/>
      <c r="O1" s="1752"/>
      <c r="P1" s="1752"/>
      <c r="Q1" s="1752"/>
      <c r="R1" s="1752"/>
      <c r="S1" s="1752"/>
      <c r="T1" s="1752"/>
      <c r="U1" s="1752"/>
      <c r="V1" s="1752"/>
    </row>
    <row r="2" spans="1:22" ht="21.75" customHeight="1" thickBot="1">
      <c r="A2" s="3803" t="str">
        <f>项目基本情况!K2</f>
        <v>北京市划拨国有建设用地使用权</v>
      </c>
      <c r="B2" s="3804"/>
      <c r="C2" s="3805"/>
      <c r="D2" s="3805"/>
      <c r="E2" s="3805"/>
      <c r="F2" s="3805"/>
      <c r="G2" s="3804"/>
      <c r="H2" s="3804"/>
      <c r="I2" s="3806"/>
      <c r="J2" s="1753"/>
      <c r="K2" s="1752"/>
      <c r="L2" s="1752"/>
      <c r="M2" s="1752"/>
      <c r="N2" s="1752"/>
      <c r="O2" s="1752"/>
      <c r="P2" s="1752"/>
      <c r="Q2" s="1752"/>
      <c r="R2" s="1752"/>
      <c r="S2" s="1752"/>
      <c r="T2" s="1752"/>
      <c r="U2" s="1752"/>
      <c r="V2" s="1752"/>
    </row>
    <row r="3" spans="1:22" ht="13.8">
      <c r="A3" s="3814" t="s">
        <v>264</v>
      </c>
      <c r="B3" s="3815"/>
      <c r="C3" s="3815"/>
      <c r="D3" s="3815"/>
      <c r="E3" s="3815"/>
      <c r="F3" s="3815"/>
      <c r="G3" s="3815"/>
      <c r="H3" s="3815"/>
      <c r="I3" s="3815"/>
      <c r="J3" s="1753"/>
      <c r="K3" s="1752"/>
      <c r="L3" s="1752"/>
      <c r="M3" s="1752"/>
      <c r="N3" s="1752"/>
      <c r="O3" s="1752"/>
      <c r="P3" s="1752"/>
      <c r="Q3" s="1752"/>
      <c r="R3" s="1752"/>
      <c r="S3" s="1752"/>
      <c r="T3" s="1752"/>
      <c r="U3" s="1752"/>
      <c r="V3" s="1752"/>
    </row>
    <row r="4" spans="1:22" ht="14.4">
      <c r="A4" s="249" t="s">
        <v>265</v>
      </c>
      <c r="B4" s="250" t="s">
        <v>266</v>
      </c>
      <c r="C4" s="251" t="s">
        <v>3723</v>
      </c>
      <c r="D4" s="251" t="s">
        <v>3724</v>
      </c>
      <c r="E4" s="3778" t="s">
        <v>267</v>
      </c>
      <c r="F4" s="3820"/>
      <c r="G4" s="3820"/>
      <c r="H4" s="3820"/>
      <c r="I4" s="3779"/>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比较法</v>
      </c>
      <c r="N4" s="1752"/>
      <c r="O4" s="1752"/>
      <c r="P4" s="1752"/>
      <c r="Q4" s="1752"/>
      <c r="R4" s="1752"/>
      <c r="S4" s="1752"/>
      <c r="T4" s="1752"/>
      <c r="U4" s="1752"/>
      <c r="V4" s="1752"/>
    </row>
    <row r="5" spans="1:22" ht="13.8">
      <c r="A5" s="3807" t="s">
        <v>268</v>
      </c>
      <c r="B5" s="3808">
        <v>25</v>
      </c>
      <c r="C5" s="3816">
        <v>7</v>
      </c>
      <c r="D5" s="3819">
        <f>10-C5</f>
        <v>3</v>
      </c>
      <c r="E5" s="252" t="s">
        <v>269</v>
      </c>
      <c r="F5" s="253"/>
      <c r="G5" s="253"/>
      <c r="H5" s="253"/>
      <c r="I5" s="254"/>
      <c r="J5" s="1753"/>
      <c r="K5" s="1752"/>
      <c r="L5" s="1752"/>
      <c r="M5" s="1752"/>
      <c r="N5" s="1752"/>
      <c r="O5" s="1752"/>
      <c r="P5" s="1752"/>
      <c r="Q5" s="1752"/>
      <c r="R5" s="1752"/>
      <c r="S5" s="1752"/>
      <c r="T5" s="1752"/>
      <c r="U5" s="1752"/>
      <c r="V5" s="1752"/>
    </row>
    <row r="6" spans="1:22" ht="13.8">
      <c r="A6" s="3807"/>
      <c r="B6" s="3808"/>
      <c r="C6" s="3817"/>
      <c r="D6" s="3819"/>
      <c r="E6" s="252" t="s">
        <v>270</v>
      </c>
      <c r="F6" s="253"/>
      <c r="G6" s="253"/>
      <c r="H6" s="253"/>
      <c r="I6" s="254"/>
      <c r="J6" s="1753"/>
      <c r="K6" s="1752"/>
      <c r="L6" s="1752"/>
      <c r="M6" s="1752"/>
      <c r="N6" s="1752"/>
      <c r="O6" s="1752"/>
      <c r="P6" s="1752"/>
      <c r="Q6" s="1752"/>
      <c r="R6" s="1752"/>
      <c r="S6" s="1752"/>
      <c r="T6" s="1752"/>
      <c r="U6" s="1752"/>
      <c r="V6" s="1752"/>
    </row>
    <row r="7" spans="1:22" ht="13.8">
      <c r="A7" s="3807"/>
      <c r="B7" s="3808"/>
      <c r="C7" s="3818"/>
      <c r="D7" s="3819"/>
      <c r="E7" s="252" t="s">
        <v>271</v>
      </c>
      <c r="F7" s="253"/>
      <c r="G7" s="253"/>
      <c r="H7" s="253"/>
      <c r="I7" s="254"/>
      <c r="J7" s="1753"/>
      <c r="K7" s="1752"/>
      <c r="L7" s="1752"/>
      <c r="M7" s="1752"/>
      <c r="N7" s="1752"/>
      <c r="O7" s="1752"/>
      <c r="P7" s="1752"/>
      <c r="Q7" s="1752"/>
      <c r="R7" s="1752"/>
      <c r="S7" s="1752"/>
      <c r="T7" s="1752"/>
      <c r="U7" s="1752"/>
      <c r="V7" s="1752"/>
    </row>
    <row r="8" spans="1:22" ht="13.8">
      <c r="A8" s="3807" t="s">
        <v>272</v>
      </c>
      <c r="B8" s="3808">
        <v>15</v>
      </c>
      <c r="C8" s="3816"/>
      <c r="D8" s="3819"/>
      <c r="E8" s="252" t="s">
        <v>273</v>
      </c>
      <c r="F8" s="253"/>
      <c r="G8" s="253"/>
      <c r="H8" s="253"/>
      <c r="I8" s="254"/>
      <c r="J8" s="1753"/>
      <c r="K8" s="1752"/>
      <c r="L8" s="1752"/>
      <c r="M8" s="1752"/>
      <c r="N8" s="1752"/>
      <c r="O8" s="1752"/>
      <c r="P8" s="1752"/>
      <c r="Q8" s="1752"/>
      <c r="R8" s="1752"/>
      <c r="S8" s="1752"/>
      <c r="T8" s="1752"/>
      <c r="U8" s="1752"/>
      <c r="V8" s="1752"/>
    </row>
    <row r="9" spans="1:22" ht="13.8">
      <c r="A9" s="3807"/>
      <c r="B9" s="3808"/>
      <c r="C9" s="3818"/>
      <c r="D9" s="3819"/>
      <c r="E9" s="252" t="s">
        <v>274</v>
      </c>
      <c r="F9" s="253"/>
      <c r="G9" s="253"/>
      <c r="H9" s="253"/>
      <c r="I9" s="254"/>
      <c r="J9" s="1753"/>
      <c r="K9" s="1752"/>
      <c r="L9" s="1752"/>
      <c r="M9" s="1752"/>
      <c r="N9" s="1752"/>
      <c r="O9" s="1752"/>
      <c r="P9" s="1752"/>
      <c r="Q9" s="1752"/>
      <c r="R9" s="1752"/>
      <c r="S9" s="1752"/>
      <c r="T9" s="1752"/>
      <c r="U9" s="1752"/>
      <c r="V9" s="1752"/>
    </row>
    <row r="10" spans="1:22" ht="13.8">
      <c r="A10" s="3807" t="s">
        <v>275</v>
      </c>
      <c r="B10" s="3808">
        <v>15</v>
      </c>
      <c r="C10" s="3816"/>
      <c r="D10" s="3819"/>
      <c r="E10" s="252" t="s">
        <v>276</v>
      </c>
      <c r="F10" s="253"/>
      <c r="G10" s="253"/>
      <c r="H10" s="253"/>
      <c r="I10" s="254"/>
      <c r="J10" s="1753"/>
      <c r="K10" s="1752"/>
      <c r="L10" s="1752"/>
      <c r="M10" s="1752"/>
      <c r="N10" s="1752"/>
      <c r="O10" s="1752"/>
      <c r="P10" s="1752"/>
      <c r="Q10" s="1752"/>
      <c r="R10" s="1752"/>
      <c r="S10" s="1752"/>
      <c r="T10" s="1752"/>
      <c r="U10" s="1752"/>
      <c r="V10" s="1752"/>
    </row>
    <row r="11" spans="1:22" ht="13.8">
      <c r="A11" s="3807"/>
      <c r="B11" s="3808"/>
      <c r="C11" s="3818"/>
      <c r="D11" s="3819"/>
      <c r="E11" s="252" t="s">
        <v>277</v>
      </c>
      <c r="F11" s="253"/>
      <c r="G11" s="253"/>
      <c r="H11" s="253"/>
      <c r="I11" s="254"/>
      <c r="J11" s="1753"/>
      <c r="K11" s="1752"/>
      <c r="L11" s="1752"/>
      <c r="M11" s="1752"/>
      <c r="N11" s="1752"/>
      <c r="O11" s="1752"/>
      <c r="P11" s="1752"/>
      <c r="Q11" s="1752"/>
      <c r="R11" s="1752"/>
      <c r="S11" s="1752"/>
      <c r="T11" s="1752"/>
      <c r="U11" s="1752"/>
      <c r="V11" s="1752"/>
    </row>
    <row r="12" spans="1:22" ht="13.8">
      <c r="A12" s="3807" t="s">
        <v>278</v>
      </c>
      <c r="B12" s="3808">
        <v>15</v>
      </c>
      <c r="C12" s="3816"/>
      <c r="D12" s="3819"/>
      <c r="E12" s="252" t="s">
        <v>279</v>
      </c>
      <c r="F12" s="253"/>
      <c r="G12" s="253"/>
      <c r="H12" s="253"/>
      <c r="I12" s="254"/>
      <c r="J12" s="1753"/>
      <c r="K12" s="1752"/>
      <c r="L12" s="1752"/>
      <c r="M12" s="1752"/>
      <c r="N12" s="1752"/>
      <c r="O12" s="1752"/>
      <c r="P12" s="1752"/>
      <c r="Q12" s="1752"/>
      <c r="R12" s="1752"/>
      <c r="S12" s="1752"/>
      <c r="T12" s="1752"/>
      <c r="U12" s="1752"/>
      <c r="V12" s="1752"/>
    </row>
    <row r="13" spans="1:22" ht="13.8">
      <c r="A13" s="3807"/>
      <c r="B13" s="3808"/>
      <c r="C13" s="3818"/>
      <c r="D13" s="3819"/>
      <c r="E13" s="252" t="s">
        <v>280</v>
      </c>
      <c r="F13" s="253"/>
      <c r="G13" s="253"/>
      <c r="H13" s="253"/>
      <c r="I13" s="254"/>
      <c r="J13" s="1753"/>
      <c r="K13" s="1752"/>
      <c r="L13" s="1752"/>
      <c r="M13" s="1752"/>
      <c r="N13" s="1752"/>
      <c r="O13" s="1752"/>
      <c r="P13" s="1752"/>
      <c r="Q13" s="1752"/>
      <c r="R13" s="1752"/>
      <c r="S13" s="1752"/>
      <c r="T13" s="1752"/>
      <c r="U13" s="1752"/>
      <c r="V13" s="1752"/>
    </row>
    <row r="14" spans="1:22" ht="13.8">
      <c r="A14" s="3807" t="s">
        <v>281</v>
      </c>
      <c r="B14" s="3808">
        <v>30</v>
      </c>
      <c r="C14" s="3816"/>
      <c r="D14" s="3819"/>
      <c r="E14" s="252" t="s">
        <v>282</v>
      </c>
      <c r="F14" s="253"/>
      <c r="G14" s="253"/>
      <c r="H14" s="253"/>
      <c r="I14" s="254"/>
      <c r="J14" s="1753"/>
      <c r="K14" s="1752"/>
      <c r="L14" s="1752"/>
      <c r="M14" s="1752"/>
      <c r="N14" s="1752"/>
      <c r="O14" s="1752"/>
      <c r="P14" s="1752"/>
      <c r="Q14" s="1752"/>
      <c r="R14" s="1752"/>
      <c r="S14" s="1752"/>
      <c r="T14" s="1752"/>
      <c r="U14" s="1752"/>
      <c r="V14" s="1752"/>
    </row>
    <row r="15" spans="1:22" ht="13.8">
      <c r="A15" s="3807"/>
      <c r="B15" s="3808"/>
      <c r="C15" s="3817"/>
      <c r="D15" s="3819"/>
      <c r="E15" s="252" t="s">
        <v>283</v>
      </c>
      <c r="F15" s="253"/>
      <c r="G15" s="253"/>
      <c r="H15" s="253"/>
      <c r="I15" s="254"/>
      <c r="J15" s="1753"/>
      <c r="K15" s="1752"/>
      <c r="L15" s="1752"/>
      <c r="M15" s="1752"/>
      <c r="N15" s="1752"/>
      <c r="O15" s="1752"/>
      <c r="P15" s="1752"/>
      <c r="Q15" s="1752"/>
      <c r="R15" s="1752"/>
      <c r="S15" s="1752"/>
      <c r="T15" s="1752"/>
      <c r="U15" s="1752"/>
      <c r="V15" s="1752"/>
    </row>
    <row r="16" spans="1:22" ht="13.8">
      <c r="A16" s="3807"/>
      <c r="B16" s="3808"/>
      <c r="C16" s="3818"/>
      <c r="D16" s="3819"/>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3821" t="s">
        <v>2253</v>
      </c>
      <c r="F18" s="3822"/>
      <c r="G18" s="3822"/>
      <c r="H18" s="3822"/>
      <c r="I18" s="3822"/>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116309</v>
      </c>
      <c r="D19" s="262">
        <f ca="1">SUMIF(INDIRECT("'"&amp;D4&amp;"'"&amp;"!A:A"),结果表!B19,INDIRECT("'"&amp;D4&amp;"'"&amp;"!B:B"))</f>
        <v>8064</v>
      </c>
      <c r="E19" s="259" t="s">
        <v>289</v>
      </c>
      <c r="F19" s="260" t="s">
        <v>288</v>
      </c>
      <c r="G19" s="263">
        <f ca="1">ROUND(C19*$C$18+D19*$D$18,0)</f>
        <v>83836</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33231</v>
      </c>
      <c r="D20" s="268">
        <f ca="1">SUMIF(INDIRECT("'"&amp;D4&amp;"'"&amp;"!A:A"),结果表!B20,INDIRECT("'"&amp;D4&amp;"'"&amp;"!B:B"))</f>
        <v>7509</v>
      </c>
      <c r="E20" s="265"/>
      <c r="F20" s="266" t="s">
        <v>291</v>
      </c>
      <c r="G20" s="269">
        <f ca="1">ROUND(C20*$C$18+D20*$D$18,0)</f>
        <v>25514</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10903</v>
      </c>
      <c r="D21" s="144">
        <f ca="1">SUMIF(INDIRECT("'"&amp;D4&amp;"'"&amp;"!A:A"),结果表!B21,INDIRECT("'"&amp;D4&amp;"'"&amp;"!B:B"))</f>
        <v>7509</v>
      </c>
      <c r="E21" s="265"/>
      <c r="F21" s="271" t="s">
        <v>293</v>
      </c>
      <c r="G21" s="273">
        <f ca="1">ROUND(C21*$C$18+D21*$D$18,0)</f>
        <v>9885</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13.423239087301587</v>
      </c>
      <c r="E22" s="275"/>
      <c r="F22" s="276"/>
      <c r="G22" s="277">
        <f ca="1">ROUND(G19/('数据-汇总表'!D3/666.67),0)</f>
        <v>524</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0"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27"/>
      <c r="B25" s="1190" t="s">
        <v>297</v>
      </c>
      <c r="C25" s="281">
        <f>IF(B30=0,0,C30)</f>
        <v>0</v>
      </c>
      <c r="D25" s="282"/>
      <c r="E25" s="302"/>
      <c r="F25" s="302"/>
      <c r="G25" s="302"/>
      <c r="H25" s="302"/>
      <c r="I25" s="302"/>
      <c r="J25" s="1752"/>
      <c r="K25" s="1124" t="str">
        <f ca="1">项目基本情况!A17&amp;"国有建设用地使用权价格："&amp;O38&amp;"万元"</f>
        <v>划拨国有建设用地使用权价格：83836万元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大写金额：人民币捌亿叁仟捌佰叁拾陆万元整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单位面积地价：7859元/平方米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楼面地价：23953元/平方米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2254</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23" t="s">
        <v>2255</v>
      </c>
      <c r="B31" s="3823"/>
      <c r="C31" s="3823"/>
      <c r="D31" s="3823"/>
      <c r="E31" s="3823"/>
      <c r="F31" s="3823"/>
      <c r="G31" s="3823"/>
      <c r="H31" s="3823"/>
      <c r="I31" s="3823"/>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1220</v>
      </c>
      <c r="C32" s="257">
        <f ca="1">G19-C24</f>
        <v>83836</v>
      </c>
      <c r="D32" s="2748" t="s">
        <v>1221</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1222</v>
      </c>
      <c r="C33" s="255">
        <f ca="1">ROUND(C32*10000/'数据-汇总表'!E3,0)</f>
        <v>23953</v>
      </c>
      <c r="D33" s="1240" t="s">
        <v>1223</v>
      </c>
      <c r="E33" s="3780"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1224</v>
      </c>
      <c r="C34" s="255">
        <f ca="1">ROUND(C32*10000/'数据-汇总表'!D3,0)</f>
        <v>7859</v>
      </c>
      <c r="D34" s="1242" t="s">
        <v>1223</v>
      </c>
      <c r="E34" s="3781"/>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524</v>
      </c>
      <c r="D35" s="1245" t="s">
        <v>1225</v>
      </c>
      <c r="E35" s="3782"/>
      <c r="F35" s="292" t="s">
        <v>308</v>
      </c>
      <c r="G35" s="944"/>
      <c r="H35" s="943" t="s">
        <v>309</v>
      </c>
      <c r="I35" s="302"/>
      <c r="J35" s="1752"/>
      <c r="K35" s="3786" t="s">
        <v>316</v>
      </c>
      <c r="L35" s="3786" t="s">
        <v>317</v>
      </c>
      <c r="M35" s="1133" t="s">
        <v>318</v>
      </c>
      <c r="N35" s="3786" t="s">
        <v>319</v>
      </c>
      <c r="O35" s="3786" t="s">
        <v>320</v>
      </c>
      <c r="P35" s="1752"/>
      <c r="V35" s="1752"/>
    </row>
    <row r="36" spans="1:26" ht="16.5" customHeight="1">
      <c r="A36" s="294" t="s">
        <v>310</v>
      </c>
      <c r="B36" s="295" t="s">
        <v>299</v>
      </c>
      <c r="C36" s="296" t="s">
        <v>311</v>
      </c>
      <c r="D36" s="296" t="s">
        <v>312</v>
      </c>
      <c r="E36" s="297" t="s">
        <v>313</v>
      </c>
      <c r="F36" s="302"/>
      <c r="G36" s="302"/>
      <c r="H36" s="302"/>
      <c r="I36" s="302"/>
      <c r="J36" s="1754"/>
      <c r="K36" s="3787"/>
      <c r="L36" s="3787"/>
      <c r="M36" s="1135" t="s">
        <v>321</v>
      </c>
      <c r="N36" s="3787"/>
      <c r="O36" s="3787"/>
      <c r="P36" s="1752"/>
      <c r="V36" s="1752"/>
    </row>
    <row r="37" spans="1:26" ht="16.5" customHeight="1" thickBot="1">
      <c r="A37" s="1129" t="s">
        <v>314</v>
      </c>
      <c r="B37" s="298"/>
      <c r="C37" s="285"/>
      <c r="D37" s="285"/>
      <c r="E37" s="286"/>
      <c r="F37" s="302"/>
      <c r="G37" s="302"/>
      <c r="H37" s="302"/>
      <c r="I37" s="302"/>
      <c r="J37" s="1754"/>
      <c r="K37" s="3788"/>
      <c r="L37" s="3788"/>
      <c r="M37" s="1136"/>
      <c r="N37" s="3788"/>
      <c r="O37" s="3788"/>
      <c r="P37" s="1752"/>
      <c r="V37" s="1752"/>
    </row>
    <row r="38" spans="1:26" ht="16.5" customHeight="1" thickBot="1">
      <c r="A38" s="1129" t="s">
        <v>315</v>
      </c>
      <c r="B38" s="298"/>
      <c r="C38" s="285"/>
      <c r="D38" s="285"/>
      <c r="E38" s="286"/>
      <c r="F38" s="302"/>
      <c r="G38" s="302"/>
      <c r="H38" s="302"/>
      <c r="I38" s="302"/>
      <c r="J38" s="1754"/>
      <c r="K38" s="1137">
        <f>'数据-汇总表'!D3</f>
        <v>106677.19</v>
      </c>
      <c r="L38" s="1138">
        <f>'数据-汇总表'!E3</f>
        <v>35000</v>
      </c>
      <c r="M38" s="1138">
        <f ca="1">C34</f>
        <v>7859</v>
      </c>
      <c r="N38" s="1138">
        <f ca="1">C33</f>
        <v>23953</v>
      </c>
      <c r="O38" s="1139">
        <f ca="1">C32</f>
        <v>83836</v>
      </c>
      <c r="P38" s="1752"/>
      <c r="V38" s="1752"/>
    </row>
    <row r="39" spans="1:26" ht="16.5" customHeight="1" thickBot="1">
      <c r="A39" s="1134"/>
      <c r="B39" s="299"/>
      <c r="C39" s="300"/>
      <c r="D39" s="300"/>
      <c r="E39" s="301"/>
      <c r="F39" s="302"/>
      <c r="G39" s="302"/>
      <c r="H39" s="302"/>
      <c r="I39" s="302"/>
      <c r="J39" s="1754"/>
      <c r="K39" s="3799" t="str">
        <f>MID(A44,3,LEN(A44)-2)</f>
        <v/>
      </c>
      <c r="L39" s="3800"/>
      <c r="M39" s="3800"/>
      <c r="N39" s="3801"/>
      <c r="O39" s="1247" t="str">
        <f>C44</f>
        <v>——</v>
      </c>
      <c r="P39" s="1752"/>
      <c r="V39" s="1752"/>
    </row>
    <row r="40" spans="1:26" ht="18" thickBot="1">
      <c r="A40" s="100" t="s">
        <v>809</v>
      </c>
      <c r="B40" s="302"/>
      <c r="C40" s="302"/>
      <c r="D40" s="302"/>
      <c r="E40" s="302"/>
      <c r="F40" s="302"/>
      <c r="G40" s="302"/>
      <c r="H40" s="302"/>
      <c r="I40" s="302"/>
      <c r="J40" s="1754"/>
      <c r="K40" s="3799" t="str">
        <f>MID(A45,3,LEN(A45)-2)</f>
        <v/>
      </c>
      <c r="L40" s="3800"/>
      <c r="M40" s="3800"/>
      <c r="N40" s="3801"/>
      <c r="O40" s="1247" t="str">
        <f>C45</f>
        <v>——</v>
      </c>
      <c r="P40" s="1752"/>
      <c r="V40" s="1752"/>
    </row>
    <row r="41" spans="1:26" ht="16.2" thickBot="1">
      <c r="A41" s="303" t="s">
        <v>322</v>
      </c>
      <c r="B41" s="304"/>
      <c r="C41" s="305" t="s">
        <v>323</v>
      </c>
      <c r="D41" s="306" t="s">
        <v>324</v>
      </c>
      <c r="E41" s="306" t="s">
        <v>325</v>
      </c>
      <c r="F41" s="307" t="s">
        <v>326</v>
      </c>
      <c r="G41" s="302"/>
      <c r="H41" s="302"/>
      <c r="I41" s="302"/>
      <c r="J41" s="1754"/>
      <c r="K41" s="3799" t="str">
        <f>MID(A46,3,LEN(A46)-2)</f>
        <v/>
      </c>
      <c r="L41" s="3800"/>
      <c r="M41" s="3800"/>
      <c r="N41" s="3801"/>
      <c r="O41" s="1247" t="str">
        <f>C46</f>
        <v>——</v>
      </c>
      <c r="P41" s="1752"/>
      <c r="V41" s="1752"/>
    </row>
    <row r="42" spans="1:26" ht="31.2">
      <c r="A42" s="3828" t="s">
        <v>1584</v>
      </c>
      <c r="B42" s="3829"/>
      <c r="C42" s="255">
        <f ca="1">C32</f>
        <v>83836</v>
      </c>
      <c r="D42" s="308">
        <f ca="1">C33</f>
        <v>23953</v>
      </c>
      <c r="E42" s="308">
        <f ca="1">C34</f>
        <v>7859</v>
      </c>
      <c r="F42" s="309">
        <f ca="1">C35</f>
        <v>524</v>
      </c>
      <c r="G42" s="302"/>
      <c r="H42" s="302"/>
      <c r="I42" s="310"/>
      <c r="J42" s="1754"/>
      <c r="K42" s="1140" t="s">
        <v>327</v>
      </c>
      <c r="L42" s="1771" t="s">
        <v>328</v>
      </c>
      <c r="M42" s="1141" t="s">
        <v>329</v>
      </c>
      <c r="N42" s="1772" t="s">
        <v>330</v>
      </c>
      <c r="O42" s="1773" t="s">
        <v>331</v>
      </c>
      <c r="P42" s="1752"/>
      <c r="V42" s="1752"/>
    </row>
    <row r="43" spans="1:26" ht="17.399999999999999">
      <c r="A43" s="3838" t="s">
        <v>2011</v>
      </c>
      <c r="B43" s="3839"/>
      <c r="C43" s="255">
        <f>IF(H33="正常操作",G33+G34+G35,G34+G35)</f>
        <v>0</v>
      </c>
      <c r="D43" s="308" t="s">
        <v>17</v>
      </c>
      <c r="E43" s="308" t="s">
        <v>18</v>
      </c>
      <c r="F43" s="309" t="s">
        <v>18</v>
      </c>
      <c r="G43" s="2346" t="s">
        <v>876</v>
      </c>
      <c r="H43" s="302"/>
      <c r="I43" s="310"/>
      <c r="J43" s="1754"/>
      <c r="K43" s="1142" t="str">
        <f>C4</f>
        <v>成本逼近法</v>
      </c>
      <c r="L43" s="1143">
        <f ca="1">IF(L42="估价结果/万元",C19,C20)</f>
        <v>116309</v>
      </c>
      <c r="M43" s="1144">
        <f>C18</f>
        <v>0.7</v>
      </c>
      <c r="N43" s="1145">
        <f ca="1">IF(N42="测算结果/万元",G19,G20)</f>
        <v>83836</v>
      </c>
      <c r="O43" s="1146">
        <f ca="1">IF(O42="最终结果/万元",C32,C33)</f>
        <v>83836</v>
      </c>
      <c r="P43" s="1752"/>
      <c r="V43" s="1752"/>
    </row>
    <row r="44" spans="1:26" ht="18" thickBot="1">
      <c r="A44" s="3828" t="str">
        <f>IF(OR(项目基本情况!E8="抵押价格",项目基本情况!E8="已注销及未注销"),"3.抵押价格","——")</f>
        <v>——</v>
      </c>
      <c r="B44" s="3829"/>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比较法-工业</v>
      </c>
      <c r="L44" s="1148">
        <f ca="1">IF(L42="估价结果/万元",D19,D20)</f>
        <v>8064</v>
      </c>
      <c r="M44" s="1149">
        <f>D18</f>
        <v>0.30000000000000004</v>
      </c>
      <c r="N44" s="1150"/>
      <c r="O44" s="1151"/>
      <c r="P44" s="1752"/>
      <c r="V44" s="1752"/>
    </row>
    <row r="45" spans="1:26" ht="13.8">
      <c r="A45" s="3833" t="str">
        <f>IF(项目基本情况!E8="已注销及未注销","4.抵押担保权已注销时的抵押价格",IF(项目基本情况!E8="已注销","3.抵押担保权已注销时的抵押价格","——"))</f>
        <v>——</v>
      </c>
      <c r="B45" s="3834"/>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30" t="str">
        <f>IF(项目基本情况!E9="抵押净值",IF(A45="——","4.抵押净值","5.抵押净值"),"——")</f>
        <v>——</v>
      </c>
      <c r="B46" s="3831"/>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91" t="s">
        <v>340</v>
      </c>
      <c r="B63" s="3792"/>
      <c r="C63" s="3793"/>
      <c r="D63" s="332">
        <f ca="1">ROUND(C42*F63,0)</f>
        <v>83836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35" t="s">
        <v>344</v>
      </c>
      <c r="B64" s="3836"/>
      <c r="C64" s="3836"/>
      <c r="D64" s="3836"/>
      <c r="E64" s="3836"/>
      <c r="F64" s="3836"/>
      <c r="G64" s="3837"/>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32" t="s">
        <v>352</v>
      </c>
      <c r="B66" s="3798"/>
      <c r="C66" s="3798"/>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759" t="s">
        <v>351</v>
      </c>
      <c r="M66" s="3760"/>
      <c r="N66" s="2110"/>
      <c r="O66" s="2111"/>
      <c r="P66" s="2112"/>
      <c r="Q66" s="1752"/>
      <c r="R66" s="1752"/>
      <c r="S66" s="1752"/>
      <c r="T66" s="1752"/>
      <c r="U66" s="1752"/>
      <c r="V66" s="1752"/>
    </row>
    <row r="67" spans="1:22" ht="25.5" customHeight="1">
      <c r="A67" s="343" t="s">
        <v>355</v>
      </c>
      <c r="B67" s="3810" t="s">
        <v>356</v>
      </c>
      <c r="C67" s="3810"/>
      <c r="D67" s="344">
        <v>0</v>
      </c>
      <c r="E67" s="39" t="s">
        <v>357</v>
      </c>
      <c r="F67" s="60" t="s">
        <v>15</v>
      </c>
      <c r="G67" s="3794"/>
      <c r="H67" s="2749" t="s">
        <v>2256</v>
      </c>
      <c r="I67" s="2751"/>
      <c r="J67" s="1759"/>
      <c r="K67" s="1731">
        <v>2</v>
      </c>
      <c r="L67" s="3764" t="s">
        <v>354</v>
      </c>
      <c r="M67" s="3764"/>
      <c r="N67" s="1194">
        <f>'数据-取费表'!B2</f>
        <v>45506</v>
      </c>
      <c r="O67" s="1194"/>
      <c r="P67" s="1194"/>
      <c r="Q67" s="1752"/>
      <c r="R67" s="1752"/>
      <c r="S67" s="1752"/>
      <c r="T67" s="1752"/>
      <c r="U67" s="1752"/>
      <c r="V67" s="1752"/>
    </row>
    <row r="68" spans="1:22" ht="25.5" customHeight="1">
      <c r="A68" s="345"/>
      <c r="B68" s="3810" t="s">
        <v>359</v>
      </c>
      <c r="C68" s="3810"/>
      <c r="D68" s="346"/>
      <c r="E68" s="75"/>
      <c r="F68" s="347"/>
      <c r="G68" s="3795"/>
      <c r="H68" s="2750" t="s">
        <v>2257</v>
      </c>
      <c r="I68" s="2751"/>
      <c r="J68" s="1759"/>
      <c r="K68" s="1731">
        <v>3</v>
      </c>
      <c r="L68" s="3764" t="s">
        <v>358</v>
      </c>
      <c r="M68" s="3764"/>
      <c r="N68" s="1162">
        <f ca="1">C42</f>
        <v>83836</v>
      </c>
      <c r="O68" s="1162"/>
      <c r="P68" s="1162"/>
      <c r="Q68" s="1752"/>
      <c r="R68" s="1752"/>
      <c r="S68" s="1752"/>
      <c r="T68" s="1752"/>
      <c r="U68" s="1752"/>
      <c r="V68" s="1752"/>
    </row>
    <row r="69" spans="1:22" ht="23.4" customHeight="1">
      <c r="A69" s="348"/>
      <c r="B69" s="3810" t="s">
        <v>360</v>
      </c>
      <c r="C69" s="3810"/>
      <c r="D69" s="349"/>
      <c r="E69" s="71"/>
      <c r="F69" s="347"/>
      <c r="G69" s="3796"/>
      <c r="H69" s="2750" t="s">
        <v>2258</v>
      </c>
      <c r="I69" s="2751"/>
      <c r="J69" s="1759"/>
      <c r="K69" s="1163">
        <v>4</v>
      </c>
      <c r="L69" s="3765" t="s">
        <v>2156</v>
      </c>
      <c r="M69" s="3766"/>
      <c r="N69" s="1164" t="str">
        <f>C44</f>
        <v>——</v>
      </c>
      <c r="O69" s="1164"/>
      <c r="P69" s="1164"/>
      <c r="Q69" s="1752"/>
      <c r="R69" s="1752"/>
      <c r="S69" s="1752"/>
      <c r="T69" s="1752"/>
      <c r="U69" s="1752"/>
      <c r="V69" s="1752"/>
    </row>
    <row r="70" spans="1:22" ht="24" customHeight="1">
      <c r="A70" s="350" t="s">
        <v>361</v>
      </c>
      <c r="B70" s="3810" t="s">
        <v>362</v>
      </c>
      <c r="C70" s="3810"/>
      <c r="D70" s="349">
        <f ca="1">ROUND(D63*'数据-取费表'!B41/(1+'数据-取费表'!C42),0)</f>
        <v>4471</v>
      </c>
      <c r="E70" s="15" t="s">
        <v>363</v>
      </c>
      <c r="F70" s="351">
        <f>'数据-取费表'!B41</f>
        <v>5.6000000000000001E-2</v>
      </c>
      <c r="G70" s="352"/>
      <c r="H70" s="302"/>
      <c r="I70" s="1161"/>
      <c r="J70" s="1759"/>
      <c r="K70" s="2522"/>
      <c r="L70" s="2523"/>
      <c r="M70" s="2523"/>
      <c r="N70" s="2524" t="s">
        <v>2160</v>
      </c>
      <c r="O70" s="2523"/>
      <c r="P70" s="2525"/>
      <c r="Q70" s="1752"/>
      <c r="R70" s="1752"/>
      <c r="S70" s="1752"/>
      <c r="T70" s="1752"/>
      <c r="U70" s="1752"/>
      <c r="V70" s="1752"/>
    </row>
    <row r="71" spans="1:22" ht="12" customHeight="1">
      <c r="A71" s="350" t="s">
        <v>369</v>
      </c>
      <c r="B71" s="3809" t="s">
        <v>2283</v>
      </c>
      <c r="C71" s="3826"/>
      <c r="D71" s="349">
        <f ca="1">ROUND(D63*'数据-取费表'!B41/(1+'数据-取费表'!C42),0)</f>
        <v>4471</v>
      </c>
      <c r="E71" s="15" t="s">
        <v>363</v>
      </c>
      <c r="F71" s="351">
        <f>'数据-取费表'!B41</f>
        <v>5.6000000000000001E-2</v>
      </c>
      <c r="G71" s="352"/>
      <c r="H71" s="302"/>
      <c r="I71" s="1161"/>
      <c r="J71" s="1759"/>
      <c r="K71" s="2521" t="s">
        <v>364</v>
      </c>
      <c r="L71" s="3767" t="s">
        <v>365</v>
      </c>
      <c r="M71" s="3767"/>
      <c r="N71" s="2521" t="s">
        <v>366</v>
      </c>
      <c r="O71" s="2521" t="s">
        <v>367</v>
      </c>
      <c r="P71" s="2521" t="s">
        <v>368</v>
      </c>
      <c r="Q71" s="1752"/>
      <c r="R71" s="1752"/>
      <c r="S71" s="1752"/>
      <c r="T71" s="1752"/>
      <c r="U71" s="1752"/>
      <c r="V71" s="1752"/>
    </row>
    <row r="72" spans="1:22" ht="12" customHeight="1">
      <c r="A72" s="350" t="s">
        <v>371</v>
      </c>
      <c r="B72" s="3809" t="s">
        <v>2284</v>
      </c>
      <c r="C72" s="3826"/>
      <c r="D72" s="349">
        <f ca="1">C86</f>
        <v>4471</v>
      </c>
      <c r="E72" s="71" t="s">
        <v>372</v>
      </c>
      <c r="F72" s="351">
        <f>'数据-取费表'!B41</f>
        <v>5.6000000000000001E-2</v>
      </c>
      <c r="G72" s="352"/>
      <c r="H72" s="1167"/>
      <c r="I72" s="1161"/>
      <c r="J72" s="1759"/>
      <c r="K72" s="1731">
        <v>1</v>
      </c>
      <c r="L72" s="3763" t="s">
        <v>370</v>
      </c>
      <c r="M72" s="3763"/>
      <c r="N72" s="1165" t="b">
        <f>D66</f>
        <v>0</v>
      </c>
      <c r="O72" s="1636" t="str">
        <f>E66</f>
        <v>销售额×税（费）率</v>
      </c>
      <c r="P72" s="1166">
        <f>F66</f>
        <v>5.6000000000000001E-2</v>
      </c>
      <c r="Q72" s="1752"/>
      <c r="R72" s="1752"/>
      <c r="S72" s="1752"/>
      <c r="T72" s="1752"/>
      <c r="U72" s="1752"/>
      <c r="V72" s="1752"/>
    </row>
    <row r="73" spans="1:22" ht="24" customHeight="1">
      <c r="A73" s="3797" t="s">
        <v>374</v>
      </c>
      <c r="B73" s="3798"/>
      <c r="C73" s="3798"/>
      <c r="D73" s="353">
        <f ca="1">IF(H73="个人住宅",0,ROUND(D63*I73,0))</f>
        <v>42</v>
      </c>
      <c r="E73" s="15" t="s">
        <v>375</v>
      </c>
      <c r="F73" s="351" t="str">
        <f>IF(H73="正常",I73,"免征")</f>
        <v>免征</v>
      </c>
      <c r="G73" s="352"/>
      <c r="H73" s="184"/>
      <c r="I73" s="351">
        <f>'数据-取费表'!B49</f>
        <v>5.0000000000000001E-4</v>
      </c>
      <c r="J73" s="1759"/>
      <c r="K73" s="1731">
        <v>2</v>
      </c>
      <c r="L73" s="3763" t="s">
        <v>373</v>
      </c>
      <c r="M73" s="3763"/>
      <c r="N73" s="1165">
        <f t="shared" ref="N73:P74" ca="1" si="0">D73</f>
        <v>42</v>
      </c>
      <c r="O73" s="1636" t="str">
        <f t="shared" si="0"/>
        <v>销售额×税（费）率</v>
      </c>
      <c r="P73" s="1166" t="str">
        <f t="shared" si="0"/>
        <v>免征</v>
      </c>
      <c r="Q73" s="1752"/>
      <c r="R73" s="1752"/>
      <c r="S73" s="1752"/>
      <c r="T73" s="1752"/>
      <c r="U73" s="1752"/>
      <c r="V73" s="1752"/>
    </row>
    <row r="74" spans="1:22" ht="25.2">
      <c r="A74" s="3797" t="s">
        <v>377</v>
      </c>
      <c r="B74" s="3798"/>
      <c r="C74" s="3798"/>
      <c r="D74" s="353">
        <f ca="1">IF(H74="个人住宅",D75,D76)</f>
        <v>47451</v>
      </c>
      <c r="E74" s="15" t="s">
        <v>378</v>
      </c>
      <c r="F74" s="351" t="str">
        <f>IF(H74="正常",F76,"免征")</f>
        <v>免征</v>
      </c>
      <c r="G74" s="945" t="s">
        <v>379</v>
      </c>
      <c r="H74" s="354"/>
      <c r="I74" s="40"/>
      <c r="J74" s="1759"/>
      <c r="K74" s="1731">
        <v>3</v>
      </c>
      <c r="L74" s="3763" t="s">
        <v>376</v>
      </c>
      <c r="M74" s="3763"/>
      <c r="N74" s="1165">
        <f t="shared" ca="1" si="0"/>
        <v>47451</v>
      </c>
      <c r="O74" s="1636" t="str">
        <f t="shared" si="0"/>
        <v>增值额×税（费）率</v>
      </c>
      <c r="P74" s="1168" t="str">
        <f t="shared" si="0"/>
        <v>免征</v>
      </c>
      <c r="Q74" s="1752"/>
      <c r="R74" s="1752"/>
      <c r="S74" s="1752"/>
      <c r="T74" s="1752"/>
      <c r="U74" s="1752"/>
      <c r="V74" s="1752"/>
    </row>
    <row r="75" spans="1:22" ht="13.2">
      <c r="A75" s="350" t="s">
        <v>380</v>
      </c>
      <c r="B75" s="3778" t="s">
        <v>381</v>
      </c>
      <c r="C75" s="3779"/>
      <c r="D75" s="355">
        <v>0</v>
      </c>
      <c r="E75" s="39" t="s">
        <v>382</v>
      </c>
      <c r="F75" s="356"/>
      <c r="G75" s="352"/>
      <c r="H75" s="40"/>
      <c r="I75" s="40"/>
      <c r="J75" s="1759"/>
      <c r="K75" s="2515">
        <f>IF(H77="非个人房产","",4)</f>
        <v>4</v>
      </c>
      <c r="L75" s="3763" t="str">
        <f>IF(H77="非个人房产","——","个人所得税")</f>
        <v>个人所得税</v>
      </c>
      <c r="M75" s="3763"/>
      <c r="N75" s="1169">
        <f>D77</f>
        <v>0</v>
      </c>
      <c r="O75" s="1637" t="str">
        <f>E77</f>
        <v>差额计税</v>
      </c>
      <c r="P75" s="1170">
        <f>F77</f>
        <v>0.01</v>
      </c>
      <c r="Q75" s="1752"/>
      <c r="R75" s="1752"/>
      <c r="S75" s="1752"/>
      <c r="T75" s="1752"/>
      <c r="U75" s="1752"/>
      <c r="V75" s="1752"/>
    </row>
    <row r="76" spans="1:22" ht="25.2">
      <c r="A76" s="350" t="s">
        <v>361</v>
      </c>
      <c r="B76" s="3778" t="s">
        <v>384</v>
      </c>
      <c r="C76" s="3820"/>
      <c r="D76" s="353">
        <f ca="1">IF(H76="转让取得",C99,C115)</f>
        <v>47451</v>
      </c>
      <c r="E76" s="15" t="s">
        <v>385</v>
      </c>
      <c r="F76" s="51" t="s">
        <v>15</v>
      </c>
      <c r="G76" s="352"/>
      <c r="H76" s="354"/>
      <c r="I76" s="40"/>
      <c r="J76" s="1759"/>
      <c r="K76" s="2515" t="str">
        <f>IF(项目基本情况!K6="上海银行",IF(K75="",4,K75+1),"")</f>
        <v/>
      </c>
      <c r="L76" s="3774" t="str">
        <f>IF(项目基本情况!K6="上海银行","其他处置费用","")</f>
        <v/>
      </c>
      <c r="M76" s="3775"/>
      <c r="N76" s="1165" t="str">
        <f>IF(项目基本情况!K6="上海银行",N89,"")</f>
        <v/>
      </c>
      <c r="O76" s="3776" t="str">
        <f>IF(项目基本情况!K6="上海银行","包含处置中涉及的律师、诉讼、拍卖、评估等费用","")</f>
        <v/>
      </c>
      <c r="P76" s="3777"/>
      <c r="Q76" s="1752"/>
      <c r="R76" s="1752"/>
      <c r="S76" s="1752"/>
      <c r="T76" s="1752"/>
      <c r="U76" s="1752"/>
      <c r="V76" s="1752"/>
    </row>
    <row r="77" spans="1:22" ht="24.6" thickBot="1">
      <c r="A77" s="3789" t="s">
        <v>387</v>
      </c>
      <c r="B77" s="3790"/>
      <c r="C77" s="3790"/>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2259</v>
      </c>
      <c r="J77" s="1759"/>
      <c r="K77" s="3785">
        <f>IF(AND(K75="",K76=""),4,IF(项目基本情况!K6="上海银行",K76+1,K75+1))</f>
        <v>5</v>
      </c>
      <c r="L77" s="3763" t="s">
        <v>2157</v>
      </c>
      <c r="M77" s="2520" t="s">
        <v>383</v>
      </c>
      <c r="N77" s="1171"/>
      <c r="O77" s="1172">
        <f ca="1">SUMIF(N72:N76,"&lt;9e307")</f>
        <v>47493</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85"/>
      <c r="L78" s="3763"/>
      <c r="M78" s="2520" t="s">
        <v>386</v>
      </c>
      <c r="N78" s="1171"/>
      <c r="O78" s="1172" t="str">
        <f ca="1">NUMBERSTRING(INT(O77*10000),2)&amp;"元整"</f>
        <v>肆亿柒仟肆佰玖拾叁万元整</v>
      </c>
      <c r="P78" s="1173"/>
      <c r="Q78" s="1752"/>
      <c r="R78" s="1752"/>
      <c r="S78" s="1752"/>
      <c r="T78" s="1752"/>
      <c r="U78" s="1752"/>
      <c r="V78" s="1752"/>
    </row>
    <row r="79" spans="1:22" ht="13.8" thickBot="1">
      <c r="A79" s="3840" t="s">
        <v>388</v>
      </c>
      <c r="B79" s="3840"/>
      <c r="C79" s="3840"/>
      <c r="D79" s="3840"/>
      <c r="E79" s="3840"/>
      <c r="F79" s="40"/>
      <c r="G79" s="40"/>
      <c r="H79" s="965"/>
      <c r="I79" s="302"/>
      <c r="J79" s="1759"/>
      <c r="K79" s="3761">
        <f>K77+1</f>
        <v>6</v>
      </c>
      <c r="L79" s="3763" t="s">
        <v>2158</v>
      </c>
      <c r="M79" s="2520" t="s">
        <v>383</v>
      </c>
      <c r="N79" s="1171"/>
      <c r="O79" s="1172" t="e">
        <f ca="1">N69-O77</f>
        <v>#VALUE!</v>
      </c>
      <c r="P79" s="1173"/>
      <c r="Q79" s="1752"/>
      <c r="R79" s="1752"/>
      <c r="S79" s="1752"/>
      <c r="T79" s="1752"/>
      <c r="U79" s="1752"/>
      <c r="V79" s="1752"/>
    </row>
    <row r="80" spans="1:22" ht="13.2">
      <c r="A80" s="3771" t="s">
        <v>389</v>
      </c>
      <c r="B80" s="3772"/>
      <c r="C80" s="956"/>
      <c r="D80" s="956" t="s">
        <v>390</v>
      </c>
      <c r="E80" s="357" t="s">
        <v>391</v>
      </c>
      <c r="F80" s="40"/>
      <c r="G80" s="40"/>
      <c r="H80" s="965"/>
      <c r="I80" s="302"/>
      <c r="J80" s="1752"/>
      <c r="K80" s="3762"/>
      <c r="L80" s="3763"/>
      <c r="M80" s="2520" t="s">
        <v>386</v>
      </c>
      <c r="N80" s="1171"/>
      <c r="O80" s="1172" t="e">
        <f ca="1">NUMBERSTRING(INT(O79*10000),2)&amp;"元整"</f>
        <v>#VALUE!</v>
      </c>
      <c r="P80" s="1173"/>
      <c r="Q80" s="1752"/>
      <c r="R80" s="1752"/>
      <c r="S80" s="1752"/>
      <c r="T80" s="1752"/>
      <c r="U80" s="1752"/>
      <c r="V80" s="1752"/>
    </row>
    <row r="81" spans="1:26" ht="13.8" thickBot="1">
      <c r="A81" s="368" t="s">
        <v>1351</v>
      </c>
      <c r="B81" s="358" t="s">
        <v>392</v>
      </c>
      <c r="C81" s="359">
        <f ca="1">ROUND((C82+C83)/(1+'数据-取费表'!C42),0)</f>
        <v>79844</v>
      </c>
      <c r="D81" s="360"/>
      <c r="E81" s="361"/>
      <c r="F81" s="40"/>
      <c r="G81" s="40"/>
      <c r="H81" s="965"/>
      <c r="I81" s="302"/>
      <c r="J81" s="1752"/>
      <c r="K81" s="2515">
        <f>K79+1</f>
        <v>7</v>
      </c>
      <c r="L81" s="3783" t="s">
        <v>2159</v>
      </c>
      <c r="M81" s="3784"/>
      <c r="N81" s="1175"/>
      <c r="O81" s="1176" t="e">
        <f ca="1">ROUND(O79*10000/'数据-汇总表'!E3,0)</f>
        <v>#VALUE!</v>
      </c>
      <c r="P81" s="1177"/>
      <c r="Q81" s="1752"/>
      <c r="R81" s="1752"/>
      <c r="S81" s="1752"/>
      <c r="T81" s="1752"/>
      <c r="U81" s="1752"/>
      <c r="V81" s="1752"/>
    </row>
    <row r="82" spans="1:26" ht="13.8" thickTop="1">
      <c r="A82" s="362" t="s">
        <v>1352</v>
      </c>
      <c r="B82" s="363" t="s">
        <v>393</v>
      </c>
      <c r="C82" s="364">
        <f ca="1">D63</f>
        <v>83836</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1353</v>
      </c>
      <c r="B83" s="363" t="s">
        <v>394</v>
      </c>
      <c r="C83" s="367"/>
      <c r="D83" s="365"/>
      <c r="E83" s="366"/>
      <c r="F83" s="40"/>
      <c r="G83" s="40"/>
      <c r="H83" s="965"/>
      <c r="I83" s="302"/>
      <c r="J83" s="1752"/>
      <c r="K83" s="3773" t="s">
        <v>2147</v>
      </c>
      <c r="L83" s="2526" t="s">
        <v>2148</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1354</v>
      </c>
      <c r="B84" s="369" t="s">
        <v>395</v>
      </c>
      <c r="C84" s="370"/>
      <c r="D84" s="371" t="s">
        <v>13</v>
      </c>
      <c r="E84" s="2542" t="s">
        <v>2202</v>
      </c>
      <c r="F84" s="40"/>
      <c r="G84" s="40"/>
      <c r="H84" s="965"/>
      <c r="I84" s="302"/>
      <c r="J84" s="1752"/>
      <c r="K84" s="3773"/>
      <c r="L84" s="2526" t="s">
        <v>2149</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2150</v>
      </c>
      <c r="P84" s="1752"/>
      <c r="Q84" s="1752"/>
      <c r="R84" s="1752"/>
      <c r="S84" s="1752"/>
      <c r="T84" s="1752"/>
      <c r="U84" s="1752"/>
      <c r="V84" s="1752"/>
    </row>
    <row r="85" spans="1:26" ht="13.2">
      <c r="A85" s="368" t="s">
        <v>1355</v>
      </c>
      <c r="B85" s="369" t="s">
        <v>396</v>
      </c>
      <c r="C85" s="372">
        <f ca="1">C81-C84</f>
        <v>79844</v>
      </c>
      <c r="D85" s="365" t="s">
        <v>13</v>
      </c>
      <c r="E85" s="366"/>
      <c r="F85" s="40"/>
      <c r="G85" s="40"/>
      <c r="H85" s="965"/>
      <c r="I85" s="302"/>
      <c r="J85" s="1752"/>
      <c r="K85" s="3773"/>
      <c r="L85" s="2526" t="s">
        <v>2151</v>
      </c>
      <c r="M85" s="2516" t="e">
        <f>IF(N69&gt;1000,N69*0.1%,IF(AND(N69&gt;500,N69&lt;=1000),N69*0.5%,IF(AND(N69&gt;50,N69&lt;=500),N69*1%,IF(AND(N69&gt;1,N69&lt;=50),N69*1.5%))))</f>
        <v>#VALUE!</v>
      </c>
      <c r="N85" s="51" t="e">
        <f>ROUND(M85,1)</f>
        <v>#VALUE!</v>
      </c>
      <c r="O85" s="1752" t="s">
        <v>2150</v>
      </c>
      <c r="P85" s="1752"/>
      <c r="Q85" s="1752"/>
      <c r="R85" s="1752"/>
      <c r="S85" s="1752"/>
      <c r="T85" s="1752"/>
      <c r="U85" s="1752"/>
      <c r="V85" s="1752"/>
    </row>
    <row r="86" spans="1:26" ht="13.8" thickBot="1">
      <c r="A86" s="373" t="s">
        <v>1356</v>
      </c>
      <c r="B86" s="374" t="s">
        <v>397</v>
      </c>
      <c r="C86" s="375">
        <f ca="1">IF(C85&lt;=0,0,ROUND(C85*D86,0))</f>
        <v>4471</v>
      </c>
      <c r="D86" s="376">
        <f>'数据-取费表'!B41</f>
        <v>5.6000000000000001E-2</v>
      </c>
      <c r="E86" s="377"/>
      <c r="F86" s="40"/>
      <c r="G86" s="40"/>
      <c r="H86" s="965"/>
      <c r="I86" s="302"/>
      <c r="J86" s="1752"/>
      <c r="K86" s="3773"/>
      <c r="L86" s="2526" t="s">
        <v>2152</v>
      </c>
      <c r="M86" s="2516" t="e">
        <f>N69*0.5%</f>
        <v>#VALUE!</v>
      </c>
      <c r="N86" s="51" t="e">
        <f>IF(M86&gt;0.5,0.5,ROUND(M86,0))</f>
        <v>#VALUE!</v>
      </c>
      <c r="O86" s="1752" t="s">
        <v>2153</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73"/>
      <c r="L87" s="2526" t="s">
        <v>2154</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12" t="s">
        <v>398</v>
      </c>
      <c r="B88" s="3813"/>
      <c r="C88" s="3813"/>
      <c r="D88" s="3813"/>
      <c r="E88" s="3813"/>
      <c r="F88" s="3813"/>
      <c r="G88" s="3813"/>
      <c r="H88" s="3813"/>
      <c r="I88" s="1184"/>
      <c r="J88" s="1760"/>
      <c r="K88" s="3773"/>
      <c r="L88" s="2526" t="s">
        <v>2155</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771" t="s">
        <v>389</v>
      </c>
      <c r="B89" s="3772"/>
      <c r="C89" s="956"/>
      <c r="D89" s="956" t="s">
        <v>390</v>
      </c>
      <c r="E89" s="378" t="s">
        <v>399</v>
      </c>
      <c r="F89" s="379"/>
      <c r="G89" s="379"/>
      <c r="H89" s="380"/>
      <c r="I89" s="1185"/>
      <c r="J89" s="1762"/>
      <c r="K89" s="3773"/>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1351</v>
      </c>
      <c r="B90" s="369" t="s">
        <v>400</v>
      </c>
      <c r="C90" s="372">
        <f ca="1">ROUND(D63/(1+'数据-取费表'!C42),0)</f>
        <v>79844</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1357</v>
      </c>
      <c r="B91" s="339" t="s">
        <v>401</v>
      </c>
      <c r="C91" s="372">
        <f ca="1">C92+C96</f>
        <v>479</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1358</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1359</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1360</v>
      </c>
      <c r="B94" s="387" t="s">
        <v>406</v>
      </c>
      <c r="C94" s="365">
        <f>IF(F93="购房发票",ROUND(C93*H93*5%,0),0)</f>
        <v>0</v>
      </c>
      <c r="D94" s="388">
        <v>0.05</v>
      </c>
      <c r="E94" s="3809" t="s">
        <v>407</v>
      </c>
      <c r="F94" s="3810"/>
      <c r="G94" s="3810"/>
      <c r="H94" s="381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1361</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1362</v>
      </c>
      <c r="B96" s="363" t="s">
        <v>410</v>
      </c>
      <c r="C96" s="392">
        <f ca="1">ROUND(D63*D96/(1+'数据-取费表'!C42),0)</f>
        <v>479</v>
      </c>
      <c r="D96" s="393">
        <f>'数据-取费表'!B43</f>
        <v>6.000000000000001E-3</v>
      </c>
      <c r="E96" s="3768" t="s">
        <v>1779</v>
      </c>
      <c r="F96" s="3769"/>
      <c r="G96" s="3769"/>
      <c r="H96" s="3770"/>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1363</v>
      </c>
      <c r="B97" s="369" t="s">
        <v>411</v>
      </c>
      <c r="C97" s="372">
        <f ca="1">C90-C91</f>
        <v>79365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1364</v>
      </c>
      <c r="B98" s="369" t="s">
        <v>412</v>
      </c>
      <c r="C98" s="394">
        <f ca="1">IF(C97&lt;=0,0,C97/C91)</f>
        <v>165.68893528183716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1365</v>
      </c>
      <c r="B99" s="374" t="s">
        <v>413</v>
      </c>
      <c r="C99" s="395">
        <f ca="1">ROUND(IF(C97&lt;=0,0,IF(C98&gt;=200%,C97*60%-C91*35%,IF(C98&gt;=100%,C97*50%-C91*15%,IF(C98&gt;=50%,C97*40%-C91*5%,IF(C98&lt;50%,C97*30%,0))))),0)</f>
        <v>47451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12" t="s">
        <v>414</v>
      </c>
      <c r="B101" s="3813"/>
      <c r="C101" s="3813"/>
      <c r="D101" s="3813"/>
      <c r="E101" s="3813"/>
      <c r="F101" s="3813"/>
      <c r="G101" s="3813"/>
      <c r="H101" s="381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771" t="s">
        <v>389</v>
      </c>
      <c r="B102" s="3772"/>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1351</v>
      </c>
      <c r="B103" s="369" t="s">
        <v>400</v>
      </c>
      <c r="C103" s="372">
        <f ca="1">ROUND(D63/(1+'数据-取费表'!C42),0)</f>
        <v>79844</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1357</v>
      </c>
      <c r="B104" s="339" t="s">
        <v>401</v>
      </c>
      <c r="C104" s="372">
        <f ca="1">IF(H106="仅含出让金",C105+C108+C109+C110+C111+C112,C105+C109+C110+C111+C112)</f>
        <v>479</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1358</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1359</v>
      </c>
      <c r="B106" s="363" t="s">
        <v>416</v>
      </c>
      <c r="C106" s="403"/>
      <c r="D106" s="393"/>
      <c r="E106" s="404" t="s">
        <v>417</v>
      </c>
      <c r="F106" s="948"/>
      <c r="G106" s="405" t="s">
        <v>418</v>
      </c>
      <c r="H106" s="406"/>
      <c r="I106" s="9"/>
      <c r="J106" s="1757"/>
      <c r="K106" s="2986" t="s">
        <v>2277</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1360</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1362</v>
      </c>
      <c r="B108" s="363" t="s">
        <v>420</v>
      </c>
      <c r="C108" s="403"/>
      <c r="D108" s="393"/>
      <c r="E108" s="404" t="str">
        <f>IF(H106="-","土地取得成本中已包含该笔费用"," ")</f>
        <v xml:space="preserve"> </v>
      </c>
      <c r="F108" s="948"/>
      <c r="G108" s="3824" t="s">
        <v>2251</v>
      </c>
      <c r="H108" s="3825"/>
      <c r="I108" s="2612"/>
      <c r="J108" s="1757"/>
      <c r="K108" s="2986" t="s">
        <v>2278</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1366</v>
      </c>
      <c r="B109" s="363" t="s">
        <v>421</v>
      </c>
      <c r="C109" s="392">
        <f>IF(H109="——",IF(F1="现房",'剩余法-现房'!C18,0),I109)</f>
        <v>0</v>
      </c>
      <c r="D109" s="393"/>
      <c r="E109" s="3802" t="s">
        <v>422</v>
      </c>
      <c r="F109" s="3769"/>
      <c r="G109" s="3769"/>
      <c r="H109" s="1697" t="s">
        <v>876</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1367</v>
      </c>
      <c r="B110" s="363" t="s">
        <v>423</v>
      </c>
      <c r="C110" s="392">
        <f>ROUND((C105+C108+C109)*D110,0)</f>
        <v>0</v>
      </c>
      <c r="D110" s="3017">
        <v>0</v>
      </c>
      <c r="E110" s="3802" t="s">
        <v>424</v>
      </c>
      <c r="F110" s="3769"/>
      <c r="G110" s="3769"/>
      <c r="H110" s="3770"/>
      <c r="I110" s="9"/>
      <c r="J110" s="1757"/>
      <c r="K110" s="2987" t="s">
        <v>2279</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1368</v>
      </c>
      <c r="B111" s="363" t="s">
        <v>410</v>
      </c>
      <c r="C111" s="392">
        <f ca="1">ROUND(D63*D111/(1+'数据-取费表'!C42),0)</f>
        <v>479</v>
      </c>
      <c r="D111" s="393">
        <f>'数据-取费表'!B43</f>
        <v>6.000000000000001E-3</v>
      </c>
      <c r="E111" s="3768" t="s">
        <v>1779</v>
      </c>
      <c r="F111" s="3769"/>
      <c r="G111" s="3769"/>
      <c r="H111" s="3770"/>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1369</v>
      </c>
      <c r="B112" s="363" t="s">
        <v>425</v>
      </c>
      <c r="C112" s="392">
        <f>ROUND(C108*D112,0)</f>
        <v>0</v>
      </c>
      <c r="D112" s="393">
        <v>0.2</v>
      </c>
      <c r="E112" s="3802" t="s">
        <v>1798</v>
      </c>
      <c r="F112" s="3769"/>
      <c r="G112" s="3769"/>
      <c r="H112" s="3770"/>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1363</v>
      </c>
      <c r="B113" s="369" t="s">
        <v>411</v>
      </c>
      <c r="C113" s="372">
        <f ca="1">ROUND(C103-C104,0)</f>
        <v>79365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1364</v>
      </c>
      <c r="B114" s="369" t="s">
        <v>412</v>
      </c>
      <c r="C114" s="394">
        <f ca="1">IF(C113&lt;=0,0,C113/C104)</f>
        <v>165.68893528183716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1365</v>
      </c>
      <c r="B115" s="374" t="s">
        <v>413</v>
      </c>
      <c r="C115" s="395">
        <f ca="1">ROUND(IF(C113&lt;=0,0,IF(C114&gt;=200%,C113*60%-C104*35%,IF(C114&gt;=100%,C113*50%-C104*15%,IF(C114&gt;=50%,C113*40%-C104*5%,IF(C114&lt;50%,C113*30%,0))))),0)</f>
        <v>47451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abSelected="1" workbookViewId="0">
      <selection activeCell="C33" sqref="C33"/>
    </sheetView>
  </sheetViews>
  <sheetFormatPr defaultRowHeight="14.4"/>
  <cols>
    <col min="3" max="3" width="40.77734375" customWidth="1"/>
    <col min="4" max="4" width="17.21875" customWidth="1"/>
  </cols>
  <sheetData>
    <row r="2" spans="2:4">
      <c r="B2" s="4519" t="s">
        <v>3725</v>
      </c>
      <c r="C2" s="4519"/>
      <c r="D2" s="4519"/>
    </row>
    <row r="3" spans="2:4">
      <c r="B3" s="4520" t="s">
        <v>3726</v>
      </c>
      <c r="C3" s="4520" t="s">
        <v>3727</v>
      </c>
      <c r="D3" s="4520" t="s">
        <v>3728</v>
      </c>
    </row>
    <row r="4" spans="2:4">
      <c r="B4" s="4520">
        <v>1</v>
      </c>
      <c r="C4" s="4520" t="s">
        <v>3729</v>
      </c>
      <c r="D4" s="4521">
        <f ca="1">ROUND(结果表!G21*'数据-汇总表'!D3/10000,4)</f>
        <v>105450.4023</v>
      </c>
    </row>
    <row r="5" spans="2:4">
      <c r="B5" s="4520">
        <v>2</v>
      </c>
      <c r="C5" s="4520" t="s">
        <v>3730</v>
      </c>
      <c r="D5" s="4521">
        <f>1000*'数据-基础表'!B3/10000</f>
        <v>3500</v>
      </c>
    </row>
    <row r="6" spans="2:4">
      <c r="B6" s="4520">
        <v>3</v>
      </c>
      <c r="C6" s="4520" t="s">
        <v>3731</v>
      </c>
      <c r="D6" s="4522">
        <v>0</v>
      </c>
    </row>
    <row r="7" spans="2:4">
      <c r="B7" s="4520">
        <v>4</v>
      </c>
      <c r="C7" s="4520" t="s">
        <v>3732</v>
      </c>
      <c r="D7" s="4522">
        <v>0</v>
      </c>
    </row>
    <row r="8" spans="2:4">
      <c r="B8" s="4520">
        <v>5</v>
      </c>
      <c r="C8" s="4520" t="s">
        <v>3733</v>
      </c>
      <c r="D8" s="4522">
        <v>0</v>
      </c>
    </row>
    <row r="9" spans="2:4">
      <c r="B9" s="4520">
        <v>6</v>
      </c>
      <c r="C9" s="4520" t="s">
        <v>3734</v>
      </c>
      <c r="D9" s="4522">
        <v>0</v>
      </c>
    </row>
    <row r="10" spans="2:4">
      <c r="B10" s="4520">
        <v>7</v>
      </c>
      <c r="C10" s="4520" t="s">
        <v>3735</v>
      </c>
      <c r="D10" s="4522">
        <v>0</v>
      </c>
    </row>
    <row r="11" spans="2:4">
      <c r="B11" s="4523" t="s">
        <v>3736</v>
      </c>
      <c r="C11" s="4523"/>
      <c r="D11" s="4521">
        <f ca="1">ROUND(SUM(D4:D10),4)</f>
        <v>108950.4023</v>
      </c>
    </row>
    <row r="12" spans="2:4">
      <c r="B12" s="4523" t="s">
        <v>3737</v>
      </c>
      <c r="C12" s="4523"/>
      <c r="D12" s="4520">
        <f ca="1">ROUND(D11*10000/'数据-基础表'!A3,0)</f>
        <v>10213</v>
      </c>
    </row>
    <row r="13" spans="2:4">
      <c r="B13" s="4523" t="s">
        <v>3738</v>
      </c>
      <c r="C13" s="4523"/>
      <c r="D13" s="4520">
        <f ca="1">ROUND(D12/15,0)</f>
        <v>681</v>
      </c>
    </row>
  </sheetData>
  <mergeCells count="4">
    <mergeCell ref="B2:D2"/>
    <mergeCell ref="B11:C11"/>
    <mergeCell ref="B12:C12"/>
    <mergeCell ref="B13:C13"/>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A62" sqref="A62:XFD62"/>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1216</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1370</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1373</v>
      </c>
      <c r="B8" s="252" t="s">
        <v>432</v>
      </c>
      <c r="C8" s="2314"/>
      <c r="D8" s="2314"/>
      <c r="E8" s="2314"/>
      <c r="F8" s="2314"/>
      <c r="G8" s="2314"/>
      <c r="H8" s="2314"/>
      <c r="I8" s="2314"/>
      <c r="J8" s="2314"/>
      <c r="K8" s="2315"/>
      <c r="AA8" s="1837"/>
      <c r="AB8" s="1837"/>
      <c r="AC8" s="1837"/>
      <c r="AD8" s="1837"/>
      <c r="AE8" s="1837"/>
    </row>
    <row r="9" spans="1:31" s="1838" customFormat="1" ht="13.5" customHeight="1">
      <c r="A9" s="769" t="s">
        <v>1374</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1375</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1371</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1376</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1377</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1378</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1379</v>
      </c>
      <c r="B16" s="2323" t="s">
        <v>444</v>
      </c>
      <c r="C16" s="51">
        <f ca="1">ROUND(D16*E16/10000,0)</f>
        <v>700</v>
      </c>
      <c r="D16" s="2324">
        <f ca="1">IF(B1="",'数据-汇总表'!E3,INDIRECT("'数据-取费表'!K"&amp;$K$1)+INDIRECT("'数据-取费表'!S"&amp;$K$1))</f>
        <v>35000</v>
      </c>
      <c r="E16" s="51">
        <f>'数据-取费表'!B35</f>
        <v>200</v>
      </c>
      <c r="F16" s="2327"/>
      <c r="G16" s="2292"/>
      <c r="H16" s="2293"/>
      <c r="I16" s="2293"/>
      <c r="J16" s="2293"/>
      <c r="K16" s="2294"/>
      <c r="AA16" s="1839"/>
      <c r="AB16" s="1839"/>
      <c r="AC16" s="1839"/>
      <c r="AD16" s="1839"/>
      <c r="AE16" s="1839"/>
    </row>
    <row r="17" spans="1:26" s="1839" customFormat="1" ht="13.5" customHeight="1">
      <c r="A17" s="2322" t="s">
        <v>1380</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1381</v>
      </c>
      <c r="B18" s="2331" t="s">
        <v>447</v>
      </c>
      <c r="C18" s="2332">
        <f ca="1">SUM(C13:C17)</f>
        <v>700</v>
      </c>
      <c r="D18" s="2333"/>
      <c r="E18" s="454"/>
      <c r="F18" s="454"/>
      <c r="G18" s="2296" t="s">
        <v>1780</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1382</v>
      </c>
      <c r="B19" s="2331" t="s">
        <v>448</v>
      </c>
      <c r="C19" s="2288">
        <f ca="1">ROUND(D19*E19/10000,0)</f>
        <v>0</v>
      </c>
      <c r="D19" s="2334">
        <f ca="1">D16</f>
        <v>35000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1383</v>
      </c>
      <c r="B20" s="2331" t="s">
        <v>450</v>
      </c>
      <c r="C20" s="2288">
        <f ca="1">C21+C22-IF(B1="",'数据-取费表'!B29,IF(G20="已全部缴纳",C21+C22,H20))</f>
        <v>-3360</v>
      </c>
      <c r="D20" s="2334"/>
      <c r="E20" s="2288"/>
      <c r="F20" s="2335"/>
      <c r="G20" s="2533"/>
      <c r="H20" s="2290"/>
      <c r="I20" s="2291" t="s">
        <v>1932</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1384</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1385</v>
      </c>
      <c r="B22" s="2323" t="s">
        <v>452</v>
      </c>
      <c r="C22" s="51">
        <f ca="1">ROUND(D22*E22/10000,0)</f>
        <v>0</v>
      </c>
      <c r="D22" s="2324">
        <f ca="1">IF(B1="",'数据-汇总表'!E6,IF(INDIRECT("'数据-取费表'!c"&amp;$K$1)="住宅",INDIRECT("'数据-取费表'!s"&amp;$K$1),INDIRECT("'数据-取费表'!k"&amp;$K$1)+INDIRECT("'数据-取费表'!s"&amp;$K$1)))</f>
        <v>35000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1386</v>
      </c>
      <c r="B23" s="2506" t="s">
        <v>2108</v>
      </c>
      <c r="C23" s="2332">
        <f ca="1">ROUND((C18+C19+C20)*F23,0)</f>
        <v>-53</v>
      </c>
      <c r="D23" s="454"/>
      <c r="E23" s="454"/>
      <c r="F23" s="2336">
        <f>'数据-取费表'!B37</f>
        <v>0.02</v>
      </c>
      <c r="G23" s="2292" t="s">
        <v>1781</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1387</v>
      </c>
      <c r="B24" s="2506" t="s">
        <v>2111</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1388</v>
      </c>
      <c r="B25" s="2506" t="s">
        <v>2109</v>
      </c>
      <c r="C25" s="453">
        <f>ROUND(F25/(1+'数据-取费表'!C42),4)</f>
        <v>2.9000000000000001E-2</v>
      </c>
      <c r="D25" s="448" t="s">
        <v>2104</v>
      </c>
      <c r="E25" s="455"/>
      <c r="F25" s="2336">
        <f>IF(项目基本情况!B8="出让",0,'数据-取费表'!B48+'数据-取费表'!B49)</f>
        <v>3.0499999999999999E-2</v>
      </c>
      <c r="G25" s="2300" t="s">
        <v>1646</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1389</v>
      </c>
      <c r="B26" s="2507" t="s">
        <v>2110</v>
      </c>
      <c r="C26" s="2337">
        <f ca="1">C28</f>
        <v>-57</v>
      </c>
      <c r="D26" s="453">
        <f ca="1">C27</f>
        <v>4.3700000000000003E-2</v>
      </c>
      <c r="E26" s="455" t="s">
        <v>455</v>
      </c>
      <c r="F26" s="457">
        <f ca="1">'数据-取费表'!B40</f>
        <v>4.2500000000000003E-2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1384</v>
      </c>
      <c r="B27" s="2338" t="s">
        <v>456</v>
      </c>
      <c r="C27" s="2339">
        <f ca="1">ROUND(IF('数据-取费表'!B22&lt;=1,(1+C25)*F26*'数据-取费表'!B24,(1+C25)*(POWER((1+F26),'数据-取费表'!B24)-1)),4)</f>
        <v>4.3700000000000003E-2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1385</v>
      </c>
      <c r="B28" s="2338" t="s">
        <v>2112</v>
      </c>
      <c r="C28" s="2340">
        <f ca="1">ROUND(IF('数据-取费表'!B22&lt;=1,(C18+C19+C20+C23+C24)*F26*'数据-取费表'!B24/2,(C18+C19+C20+C23+C24)*(POWER((1+F26),'数据-取费表'!B24/2)-1)),0)</f>
        <v>-57</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1390</v>
      </c>
      <c r="B29" s="2331" t="s">
        <v>457</v>
      </c>
      <c r="C29" s="2332">
        <f>ROUND(C6*F29/(1+'数据-取费表'!C42),0)</f>
        <v>0</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1391</v>
      </c>
      <c r="B30" s="2342" t="s">
        <v>460</v>
      </c>
      <c r="C30" s="2337">
        <f ca="1">C31</f>
        <v>-2770</v>
      </c>
      <c r="D30" s="463">
        <f ca="1">C32</f>
        <v>7.2700000000000001E-2</v>
      </c>
      <c r="E30" s="455" t="s">
        <v>455</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1384</v>
      </c>
      <c r="B31" s="2338"/>
      <c r="C31" s="436">
        <f ca="1">C18+C19+C20+C23+C24+C26+C29</f>
        <v>-2770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1385</v>
      </c>
      <c r="B32" s="2338"/>
      <c r="C32" s="51">
        <f ca="1">ROUND(C25+D26,4)</f>
        <v>7.2700000000000001E-2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2107</v>
      </c>
      <c r="B33" s="2503" t="s">
        <v>2105</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1384</v>
      </c>
      <c r="B34" s="2343" t="s">
        <v>461</v>
      </c>
      <c r="C34" s="458" t="e">
        <f ca="1">ROUND((1+C25)*F33,4)</f>
        <v>#DIV/0!</v>
      </c>
      <c r="D34" s="458"/>
      <c r="E34" s="459"/>
      <c r="F34" s="466"/>
      <c r="G34" s="252" t="s">
        <v>1647</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1385</v>
      </c>
      <c r="B35" s="2504" t="s">
        <v>2113</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1372</v>
      </c>
      <c r="B36" s="2306"/>
      <c r="C36" s="2345" t="e">
        <f ca="1">ROUND((C6-C30-C33)/(1+D30+D33),0)</f>
        <v>#DIV/0!</v>
      </c>
      <c r="D36" s="2306"/>
      <c r="E36" s="2306"/>
      <c r="F36" s="2306"/>
      <c r="G36" s="2305" t="s">
        <v>2114</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1424</v>
      </c>
      <c r="B36" s="1459" t="s">
        <v>1425</v>
      </c>
    </row>
    <row r="37" spans="1:9" ht="28.5" customHeight="1">
      <c r="A37" s="1459"/>
      <c r="B37" s="3670" t="str">
        <f>项目基本情况!B1</f>
        <v>北京市划拨国有建设用地使用权市场价格预评估</v>
      </c>
      <c r="C37" s="3670"/>
      <c r="D37" s="3670"/>
      <c r="E37" s="3670"/>
      <c r="F37" s="3670"/>
      <c r="G37" s="3670"/>
      <c r="H37" s="3670"/>
      <c r="I37" s="3670"/>
    </row>
    <row r="38" spans="1:9">
      <c r="A38" s="1461"/>
      <c r="B38" s="1461"/>
    </row>
    <row r="39" spans="1:9">
      <c r="A39" s="1459" t="s">
        <v>1424</v>
      </c>
      <c r="B39" s="1459" t="s">
        <v>1563</v>
      </c>
    </row>
    <row r="40" spans="1:9">
      <c r="A40" s="1459"/>
      <c r="B40" s="1459">
        <f>项目基本情况!B5</f>
        <v>0</v>
      </c>
    </row>
    <row r="41" spans="1:9">
      <c r="A41" s="1459"/>
      <c r="B41" s="1459"/>
    </row>
    <row r="42" spans="1:9">
      <c r="A42" s="1459" t="s">
        <v>1424</v>
      </c>
      <c r="B42" s="1459" t="s">
        <v>1564</v>
      </c>
    </row>
    <row r="43" spans="1:9">
      <c r="A43" s="1459"/>
      <c r="B43" s="1459" t="s">
        <v>1426</v>
      </c>
    </row>
    <row r="44" spans="1:9">
      <c r="A44" s="1459"/>
      <c r="B44" s="1459"/>
    </row>
    <row r="45" spans="1:9">
      <c r="A45" s="1459" t="s">
        <v>1424</v>
      </c>
      <c r="B45" s="1459" t="s">
        <v>1562</v>
      </c>
    </row>
    <row r="46" spans="1:9" s="1459" customFormat="1">
      <c r="B46" s="1459" t="str">
        <f>项目基本情况!K4</f>
        <v>土地估价师、土地估价师</v>
      </c>
    </row>
    <row r="47" spans="1:9">
      <c r="A47" s="1459"/>
      <c r="B47" s="1459"/>
    </row>
    <row r="48" spans="1:9">
      <c r="A48" s="1459" t="s">
        <v>1424</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A62" sqref="A62:XFD62"/>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1216</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1933</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1373</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1374</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1375</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1392</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1376</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1377</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1378</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1379</v>
      </c>
      <c r="B16" s="435" t="s">
        <v>444</v>
      </c>
      <c r="C16" s="51">
        <f ca="1">ROUND(D16*E16/10000,0)</f>
        <v>700</v>
      </c>
      <c r="D16" s="437">
        <f ca="1">IF(B1="",'数据-汇总表'!E3,INDIRECT("'数据-取费表'!K"&amp;$K$1)+INDIRECT("'数据-取费表'!S"&amp;$K$1))</f>
        <v>35000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1380</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1381</v>
      </c>
      <c r="B18" s="445" t="s">
        <v>447</v>
      </c>
      <c r="C18" s="446">
        <f ca="1">SUM(C13:C17)</f>
        <v>700</v>
      </c>
      <c r="D18" s="447"/>
      <c r="E18" s="448"/>
      <c r="F18" s="448"/>
      <c r="G18" s="1195" t="s">
        <v>1782</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1382</v>
      </c>
      <c r="B19" s="445" t="s">
        <v>453</v>
      </c>
      <c r="C19" s="446">
        <f ca="1">ROUND(C18*F19,0)</f>
        <v>14</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1383</v>
      </c>
      <c r="B20" s="447" t="s">
        <v>454</v>
      </c>
      <c r="C20" s="456">
        <f ca="1">ROUND(IF('数据-取费表'!B22&lt;=1,(C18+C19)*F20*'数据-取费表'!B20/2,(C18+C19)*(POWER((1+F20),'数据-取费表'!B20/2)-1)),0)</f>
        <v>15</v>
      </c>
      <c r="D20" s="448">
        <f ca="1">ROUND(((1+F20)^'数据-取费表'!B20)-1,4)</f>
        <v>4.2500000000000003E-2</v>
      </c>
      <c r="E20" s="448"/>
      <c r="F20" s="457">
        <f ca="1">'数据-取费表'!B40</f>
        <v>4.2500000000000003E-2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1799</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2106</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1387</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1388</v>
      </c>
      <c r="B23" s="3033" t="s">
        <v>2296</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41" t="s">
        <v>1393</v>
      </c>
      <c r="B24" s="3842"/>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41" t="s">
        <v>2293</v>
      </c>
      <c r="B25" s="384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41" t="s">
        <v>2294</v>
      </c>
      <c r="B26" s="384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43" t="s">
        <v>2292</v>
      </c>
      <c r="B27" s="3844"/>
      <c r="C27" s="3047" t="e">
        <f ca="1">(C6-C23-C24-C25)/((1+F26)*(1+D20+F21))</f>
        <v>#DIV/0!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6" zoomScale="85" zoomScaleNormal="95" zoomScaleSheetLayoutView="8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1216</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868" t="s">
        <v>471</v>
      </c>
      <c r="D6" s="3869"/>
      <c r="E6" s="3868" t="s">
        <v>472</v>
      </c>
      <c r="F6" s="3869"/>
      <c r="G6" s="3868" t="s">
        <v>473</v>
      </c>
      <c r="H6" s="3869"/>
      <c r="I6" s="3868" t="s">
        <v>474</v>
      </c>
      <c r="J6" s="3869"/>
      <c r="K6" s="484" t="s">
        <v>475</v>
      </c>
      <c r="L6" s="1856"/>
      <c r="M6" s="1855"/>
      <c r="N6" s="1855"/>
      <c r="O6" s="1857"/>
      <c r="P6" s="3870" t="s">
        <v>476</v>
      </c>
      <c r="Q6" s="3871"/>
      <c r="R6" s="3854" t="s">
        <v>472</v>
      </c>
      <c r="S6" s="3855"/>
      <c r="T6" s="3854" t="s">
        <v>473</v>
      </c>
      <c r="U6" s="3855"/>
      <c r="V6" s="3876" t="s">
        <v>474</v>
      </c>
      <c r="W6" s="3876"/>
      <c r="X6" s="1380"/>
      <c r="Y6" s="3854" t="s">
        <v>476</v>
      </c>
      <c r="Z6" s="3855"/>
      <c r="AA6" s="3849" t="s">
        <v>472</v>
      </c>
      <c r="AB6" s="3850" t="s">
        <v>473</v>
      </c>
      <c r="AC6" s="3849" t="s">
        <v>474</v>
      </c>
    </row>
    <row r="7" spans="1:30" ht="21">
      <c r="A7" s="485"/>
      <c r="B7" s="486"/>
      <c r="C7" s="3879" t="s">
        <v>2191</v>
      </c>
      <c r="D7" s="3880"/>
      <c r="E7" s="3879" t="s">
        <v>2192</v>
      </c>
      <c r="F7" s="3880"/>
      <c r="G7" s="3879" t="s">
        <v>2193</v>
      </c>
      <c r="H7" s="3880"/>
      <c r="I7" s="3879" t="s">
        <v>2194</v>
      </c>
      <c r="J7" s="3880"/>
      <c r="K7" s="484"/>
      <c r="L7" s="1856"/>
      <c r="M7" s="1855"/>
      <c r="N7" s="1855"/>
      <c r="O7" s="1857"/>
      <c r="P7" s="3872"/>
      <c r="Q7" s="3873"/>
      <c r="R7" s="3856"/>
      <c r="S7" s="3857"/>
      <c r="T7" s="3856"/>
      <c r="U7" s="3857"/>
      <c r="V7" s="3876"/>
      <c r="W7" s="3876"/>
      <c r="X7" s="1380"/>
      <c r="Y7" s="3856"/>
      <c r="Z7" s="3857"/>
      <c r="AA7" s="3850"/>
      <c r="AB7" s="3850"/>
      <c r="AC7" s="3850"/>
    </row>
    <row r="8" spans="1:30" ht="21.6" thickBot="1">
      <c r="A8" s="485"/>
      <c r="B8" s="486"/>
      <c r="C8" s="3881" t="s">
        <v>2195</v>
      </c>
      <c r="D8" s="3882"/>
      <c r="E8" s="3881" t="s">
        <v>2195</v>
      </c>
      <c r="F8" s="3882"/>
      <c r="G8" s="3877" t="s">
        <v>2195</v>
      </c>
      <c r="H8" s="3878"/>
      <c r="I8" s="3877" t="s">
        <v>2195</v>
      </c>
      <c r="J8" s="3878"/>
      <c r="K8" s="484" t="s">
        <v>477</v>
      </c>
      <c r="L8" s="1856"/>
      <c r="M8" s="1855"/>
      <c r="N8" s="1855"/>
      <c r="O8" s="1857"/>
      <c r="P8" s="3874"/>
      <c r="Q8" s="3875"/>
      <c r="R8" s="3856"/>
      <c r="S8" s="3857"/>
      <c r="T8" s="3858"/>
      <c r="U8" s="3859"/>
      <c r="V8" s="3876"/>
      <c r="W8" s="3876"/>
      <c r="X8" s="1380"/>
      <c r="Y8" s="3858"/>
      <c r="Z8" s="3859"/>
      <c r="AA8" s="3851"/>
      <c r="AB8" s="3851"/>
      <c r="AC8" s="3851"/>
    </row>
    <row r="9" spans="1:30" s="1118" customFormat="1" ht="21.6" thickBot="1">
      <c r="A9" s="2392"/>
      <c r="B9" s="2399" t="s">
        <v>478</v>
      </c>
      <c r="C9" s="2391">
        <f>'数据-取费表'!B2</f>
        <v>45506</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52" t="s">
        <v>479</v>
      </c>
      <c r="Q9" s="3861"/>
      <c r="R9" s="1381" t="s">
        <v>5</v>
      </c>
      <c r="S9" s="1382">
        <f t="shared" ref="S9:S17" si="0">F9</f>
        <v>0</v>
      </c>
      <c r="T9" s="1381" t="s">
        <v>5</v>
      </c>
      <c r="U9" s="1382">
        <f t="shared" ref="U9:U17" si="1">H9</f>
        <v>0</v>
      </c>
      <c r="V9" s="1381" t="s">
        <v>5</v>
      </c>
      <c r="W9" s="1382">
        <f t="shared" ref="W9:W17" si="2">J9</f>
        <v>0</v>
      </c>
      <c r="X9" s="1383"/>
      <c r="Y9" s="3852" t="s">
        <v>479</v>
      </c>
      <c r="Z9" s="3853"/>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52" t="s">
        <v>482</v>
      </c>
      <c r="Q10" s="3853"/>
      <c r="R10" s="1381" t="s">
        <v>5</v>
      </c>
      <c r="S10" s="1382">
        <f t="shared" si="0"/>
        <v>0</v>
      </c>
      <c r="T10" s="1381" t="s">
        <v>5</v>
      </c>
      <c r="U10" s="1382">
        <f t="shared" si="1"/>
        <v>0</v>
      </c>
      <c r="V10" s="1381" t="s">
        <v>5</v>
      </c>
      <c r="W10" s="1382">
        <f t="shared" si="2"/>
        <v>0</v>
      </c>
      <c r="X10" s="1383"/>
      <c r="Y10" s="3852" t="s">
        <v>482</v>
      </c>
      <c r="Z10" s="3853"/>
      <c r="AA10" s="1384" t="e">
        <f t="shared" ref="AA10:AA47" si="3">D10/F10</f>
        <v>#DIV/0!</v>
      </c>
      <c r="AB10" s="1384" t="e">
        <f t="shared" ref="AB10:AB47" si="4">D10/H10</f>
        <v>#DIV/0!</v>
      </c>
      <c r="AC10" s="1384" t="e">
        <f t="shared" ref="AC10:AC47" si="5">D10/J10</f>
        <v>#DIV/0!</v>
      </c>
    </row>
    <row r="11" spans="1:30" s="1118" customFormat="1" ht="21">
      <c r="A11" s="2394"/>
      <c r="B11" s="2401" t="s">
        <v>2037</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0" t="s">
        <v>484</v>
      </c>
      <c r="Q11" s="1050" t="str">
        <f t="shared" ref="Q11:Q17" si="6">B11</f>
        <v>用途</v>
      </c>
      <c r="R11" s="1381" t="s">
        <v>5</v>
      </c>
      <c r="S11" s="1382">
        <f t="shared" si="0"/>
        <v>100</v>
      </c>
      <c r="T11" s="1381" t="s">
        <v>5</v>
      </c>
      <c r="U11" s="1382">
        <f t="shared" si="1"/>
        <v>100</v>
      </c>
      <c r="V11" s="1381" t="s">
        <v>5</v>
      </c>
      <c r="W11" s="1382">
        <f t="shared" si="2"/>
        <v>100</v>
      </c>
      <c r="X11" s="1383"/>
      <c r="Y11" s="3808" t="s">
        <v>485</v>
      </c>
      <c r="Z11" s="1049" t="str">
        <f t="shared" ref="Z11:Z17" si="7">Q11</f>
        <v>用途</v>
      </c>
      <c r="AA11" s="1384">
        <f t="shared" si="3"/>
        <v>1</v>
      </c>
      <c r="AB11" s="1384">
        <f t="shared" si="4"/>
        <v>1</v>
      </c>
      <c r="AC11" s="1384">
        <f t="shared" si="5"/>
        <v>1</v>
      </c>
    </row>
    <row r="12" spans="1:30" s="1199" customFormat="1" ht="28.8">
      <c r="A12" s="2395"/>
      <c r="B12" s="2400" t="s">
        <v>2038</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60"/>
      <c r="Q12" s="1050" t="str">
        <f t="shared" si="6"/>
        <v>土地使用年限（年）</v>
      </c>
      <c r="R12" s="1381" t="s">
        <v>5</v>
      </c>
      <c r="S12" s="1382" t="e">
        <f t="shared" si="0"/>
        <v>#DIV/0!</v>
      </c>
      <c r="T12" s="1381" t="s">
        <v>5</v>
      </c>
      <c r="U12" s="1382" t="e">
        <f t="shared" si="1"/>
        <v>#DIV/0!</v>
      </c>
      <c r="V12" s="1381" t="s">
        <v>5</v>
      </c>
      <c r="W12" s="1382" t="e">
        <f t="shared" si="2"/>
        <v>#DIV/0!</v>
      </c>
      <c r="X12" s="1383"/>
      <c r="Y12" s="3808"/>
      <c r="Z12" s="1049" t="str">
        <f t="shared" si="7"/>
        <v>土地使用年限（年）</v>
      </c>
      <c r="AA12" s="1384" t="e">
        <f t="shared" si="3"/>
        <v>#DIV/0!</v>
      </c>
      <c r="AB12" s="1384" t="e">
        <f t="shared" si="4"/>
        <v>#DIV/0!</v>
      </c>
      <c r="AC12" s="1384" t="e">
        <f t="shared" si="5"/>
        <v>#DIV/0!</v>
      </c>
    </row>
    <row r="13" spans="1:30" ht="21">
      <c r="A13" s="2396"/>
      <c r="B13" s="2400"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60"/>
      <c r="Q13" s="1050" t="str">
        <f t="shared" si="6"/>
        <v>容积率</v>
      </c>
      <c r="R13" s="1381" t="s">
        <v>5</v>
      </c>
      <c r="S13" s="1382" t="e">
        <f t="shared" si="0"/>
        <v>#N/A</v>
      </c>
      <c r="T13" s="1381" t="s">
        <v>5</v>
      </c>
      <c r="U13" s="1382" t="e">
        <f t="shared" si="1"/>
        <v>#N/A</v>
      </c>
      <c r="V13" s="1381" t="s">
        <v>5</v>
      </c>
      <c r="W13" s="1382" t="e">
        <f t="shared" si="2"/>
        <v>#N/A</v>
      </c>
      <c r="X13" s="1383"/>
      <c r="Y13" s="3808"/>
      <c r="Z13" s="1049" t="str">
        <f t="shared" si="7"/>
        <v>容积率</v>
      </c>
      <c r="AA13" s="1384" t="e">
        <f t="shared" si="3"/>
        <v>#N/A</v>
      </c>
      <c r="AB13" s="1384" t="e">
        <f t="shared" si="4"/>
        <v>#N/A</v>
      </c>
      <c r="AC13" s="1384" t="e">
        <f t="shared" si="5"/>
        <v>#N/A</v>
      </c>
    </row>
    <row r="14" spans="1:30" s="1118" customFormat="1" ht="21">
      <c r="A14" s="2393"/>
      <c r="B14" s="2402" t="s">
        <v>2040</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0"/>
      <c r="Q14" s="1050" t="str">
        <f t="shared" si="6"/>
        <v>配建</v>
      </c>
      <c r="R14" s="1381" t="s">
        <v>5</v>
      </c>
      <c r="S14" s="1382">
        <f t="shared" si="0"/>
        <v>100</v>
      </c>
      <c r="T14" s="1381" t="s">
        <v>5</v>
      </c>
      <c r="U14" s="1382">
        <f t="shared" si="1"/>
        <v>100</v>
      </c>
      <c r="V14" s="1381" t="s">
        <v>5</v>
      </c>
      <c r="W14" s="1382">
        <f t="shared" si="2"/>
        <v>100</v>
      </c>
      <c r="X14" s="1383"/>
      <c r="Y14" s="3808"/>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0"/>
      <c r="Q15" s="1050">
        <f t="shared" si="6"/>
        <v>111</v>
      </c>
      <c r="R15" s="1381" t="s">
        <v>5</v>
      </c>
      <c r="S15" s="1382">
        <f t="shared" si="0"/>
        <v>100</v>
      </c>
      <c r="T15" s="1381" t="s">
        <v>5</v>
      </c>
      <c r="U15" s="1382">
        <f t="shared" si="1"/>
        <v>100</v>
      </c>
      <c r="V15" s="1381" t="s">
        <v>5</v>
      </c>
      <c r="W15" s="1382">
        <f t="shared" si="2"/>
        <v>100</v>
      </c>
      <c r="X15" s="1383"/>
      <c r="Y15" s="3808"/>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0"/>
      <c r="Q16" s="1050">
        <f t="shared" si="6"/>
        <v>111</v>
      </c>
      <c r="R16" s="1381" t="s">
        <v>5</v>
      </c>
      <c r="S16" s="1382">
        <f t="shared" si="0"/>
        <v>100</v>
      </c>
      <c r="T16" s="1381" t="s">
        <v>5</v>
      </c>
      <c r="U16" s="1382">
        <f t="shared" si="1"/>
        <v>100</v>
      </c>
      <c r="V16" s="1381" t="s">
        <v>5</v>
      </c>
      <c r="W16" s="1382">
        <f t="shared" si="2"/>
        <v>100</v>
      </c>
      <c r="X16" s="1383"/>
      <c r="Y16" s="3808"/>
      <c r="Z16" s="1049">
        <f t="shared" si="7"/>
        <v>111</v>
      </c>
      <c r="AA16" s="1384">
        <f>D16/F16</f>
        <v>1</v>
      </c>
      <c r="AB16" s="1384">
        <f>D16/H16</f>
        <v>1</v>
      </c>
      <c r="AC16" s="1384">
        <f>D16/J16</f>
        <v>1</v>
      </c>
    </row>
    <row r="17" spans="1:29" ht="96.6">
      <c r="A17" s="2390" t="s">
        <v>2035</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62" t="s">
        <v>489</v>
      </c>
      <c r="Q17" s="1385" t="str">
        <f t="shared" si="6"/>
        <v>居住社区成熟度</v>
      </c>
      <c r="R17" s="1386" t="s">
        <v>5</v>
      </c>
      <c r="S17" s="1387">
        <f t="shared" si="0"/>
        <v>100</v>
      </c>
      <c r="T17" s="1386" t="s">
        <v>5</v>
      </c>
      <c r="U17" s="1387">
        <f t="shared" si="1"/>
        <v>100</v>
      </c>
      <c r="V17" s="1386" t="s">
        <v>5</v>
      </c>
      <c r="W17" s="1387">
        <f t="shared" si="2"/>
        <v>100</v>
      </c>
      <c r="X17" s="1380"/>
      <c r="Y17" s="3862"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863"/>
      <c r="Q18" s="1385"/>
      <c r="R18" s="1386"/>
      <c r="S18" s="1387"/>
      <c r="T18" s="1386"/>
      <c r="U18" s="1387"/>
      <c r="V18" s="1386"/>
      <c r="W18" s="1387"/>
      <c r="X18" s="1380"/>
      <c r="Y18" s="3863"/>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63"/>
      <c r="Q19" s="1385" t="str">
        <f>B19</f>
        <v>商业繁华度</v>
      </c>
      <c r="R19" s="1386" t="s">
        <v>5</v>
      </c>
      <c r="S19" s="1387">
        <f>F19</f>
        <v>100</v>
      </c>
      <c r="T19" s="1386" t="s">
        <v>5</v>
      </c>
      <c r="U19" s="1387">
        <f>H19</f>
        <v>100</v>
      </c>
      <c r="V19" s="1386" t="s">
        <v>5</v>
      </c>
      <c r="W19" s="1387">
        <f>J19</f>
        <v>100</v>
      </c>
      <c r="X19" s="1380"/>
      <c r="Y19" s="3863"/>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863"/>
      <c r="Q20" s="1385"/>
      <c r="R20" s="1386"/>
      <c r="S20" s="1387"/>
      <c r="T20" s="1386"/>
      <c r="U20" s="1387"/>
      <c r="V20" s="1386"/>
      <c r="W20" s="1387"/>
      <c r="X20" s="1380"/>
      <c r="Y20" s="3863"/>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63"/>
      <c r="Q21" s="1385" t="str">
        <f>B21</f>
        <v>办公集聚程度</v>
      </c>
      <c r="R21" s="1386" t="s">
        <v>5</v>
      </c>
      <c r="S21" s="1387">
        <f>F21</f>
        <v>100</v>
      </c>
      <c r="T21" s="1386" t="s">
        <v>5</v>
      </c>
      <c r="U21" s="1387">
        <f>H21</f>
        <v>100</v>
      </c>
      <c r="V21" s="1386" t="s">
        <v>5</v>
      </c>
      <c r="W21" s="1387">
        <f>J21</f>
        <v>100</v>
      </c>
      <c r="X21" s="1380"/>
      <c r="Y21" s="3863"/>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863"/>
      <c r="Q22" s="1385"/>
      <c r="R22" s="1386"/>
      <c r="S22" s="1387"/>
      <c r="T22" s="1386"/>
      <c r="U22" s="1387"/>
      <c r="V22" s="1386"/>
      <c r="W22" s="1387"/>
      <c r="X22" s="1380"/>
      <c r="Y22" s="3863"/>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63"/>
      <c r="Q23" s="1385" t="str">
        <f>B23</f>
        <v>交通便捷度</v>
      </c>
      <c r="R23" s="1386" t="s">
        <v>5</v>
      </c>
      <c r="S23" s="1387">
        <f>F23</f>
        <v>100</v>
      </c>
      <c r="T23" s="1386" t="s">
        <v>5</v>
      </c>
      <c r="U23" s="1387">
        <f>H23</f>
        <v>100</v>
      </c>
      <c r="V23" s="1386" t="s">
        <v>5</v>
      </c>
      <c r="W23" s="1387">
        <f>J23</f>
        <v>100</v>
      </c>
      <c r="X23" s="1380"/>
      <c r="Y23" s="3863"/>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863"/>
      <c r="Q24" s="1385"/>
      <c r="R24" s="1386"/>
      <c r="S24" s="1387"/>
      <c r="T24" s="1386"/>
      <c r="U24" s="1387"/>
      <c r="V24" s="1386"/>
      <c r="W24" s="1387"/>
      <c r="X24" s="1380"/>
      <c r="Y24" s="3863"/>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63"/>
      <c r="Q25" s="1385" t="str">
        <f t="shared" ref="Q25:Q39" si="8">B25</f>
        <v>区域土地利用方向</v>
      </c>
      <c r="R25" s="1386" t="s">
        <v>5</v>
      </c>
      <c r="S25" s="1387">
        <f>F25</f>
        <v>100</v>
      </c>
      <c r="T25" s="1386" t="s">
        <v>5</v>
      </c>
      <c r="U25" s="1387">
        <f>H25</f>
        <v>100</v>
      </c>
      <c r="V25" s="1386" t="s">
        <v>5</v>
      </c>
      <c r="W25" s="1387">
        <f>J25</f>
        <v>100</v>
      </c>
      <c r="X25" s="1380"/>
      <c r="Y25" s="3863"/>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63"/>
      <c r="Q26" s="1385"/>
      <c r="R26" s="1386"/>
      <c r="S26" s="1387"/>
      <c r="T26" s="1386"/>
      <c r="U26" s="1387"/>
      <c r="V26" s="1386"/>
      <c r="W26" s="1387"/>
      <c r="X26" s="1380"/>
      <c r="Y26" s="3863"/>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63"/>
      <c r="Q27" s="1385" t="str">
        <f t="shared" si="8"/>
        <v>自然及人文环境状况</v>
      </c>
      <c r="R27" s="1386" t="s">
        <v>5</v>
      </c>
      <c r="S27" s="1387">
        <f>F27</f>
        <v>100</v>
      </c>
      <c r="T27" s="1386" t="s">
        <v>5</v>
      </c>
      <c r="U27" s="1387">
        <f>H27</f>
        <v>100</v>
      </c>
      <c r="V27" s="1386" t="s">
        <v>5</v>
      </c>
      <c r="W27" s="1387">
        <f>J27</f>
        <v>100</v>
      </c>
      <c r="X27" s="1380"/>
      <c r="Y27" s="3863"/>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63"/>
      <c r="Q28" s="1385"/>
      <c r="R28" s="1386"/>
      <c r="S28" s="1387"/>
      <c r="T28" s="1386"/>
      <c r="U28" s="1387"/>
      <c r="V28" s="1386"/>
      <c r="W28" s="1387"/>
      <c r="X28" s="1380"/>
      <c r="Y28" s="3863"/>
      <c r="Z28" s="1388"/>
      <c r="AA28" s="1389">
        <v>1</v>
      </c>
      <c r="AB28" s="1389">
        <v>1</v>
      </c>
      <c r="AC28" s="1389">
        <v>1</v>
      </c>
    </row>
    <row r="29" spans="1:29" s="1118" customFormat="1" ht="41.4">
      <c r="A29" s="547"/>
      <c r="B29" s="2199"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63"/>
      <c r="Q29" s="1050" t="str">
        <f t="shared" si="8"/>
        <v>公共配套设施</v>
      </c>
      <c r="R29" s="1381" t="s">
        <v>5</v>
      </c>
      <c r="S29" s="1382">
        <f>F29</f>
        <v>100</v>
      </c>
      <c r="T29" s="1381" t="s">
        <v>5</v>
      </c>
      <c r="U29" s="1382">
        <f>H29</f>
        <v>100</v>
      </c>
      <c r="V29" s="1381" t="s">
        <v>5</v>
      </c>
      <c r="W29" s="1382">
        <f>J29</f>
        <v>100</v>
      </c>
      <c r="X29" s="1383"/>
      <c r="Y29" s="3863"/>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863"/>
      <c r="Q30" s="1050"/>
      <c r="R30" s="1381"/>
      <c r="S30" s="1382"/>
      <c r="T30" s="1381"/>
      <c r="U30" s="1382"/>
      <c r="V30" s="1381"/>
      <c r="W30" s="1382"/>
      <c r="X30" s="1383"/>
      <c r="Y30" s="3863"/>
      <c r="Z30" s="1049"/>
      <c r="AA30" s="1389">
        <v>1</v>
      </c>
      <c r="AB30" s="1389">
        <v>1</v>
      </c>
      <c r="AC30" s="1389">
        <v>1</v>
      </c>
    </row>
    <row r="31" spans="1:29" s="1118" customFormat="1" ht="27.6">
      <c r="A31" s="547"/>
      <c r="B31" s="2199"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63"/>
      <c r="Q31" s="2192" t="str">
        <f>B31</f>
        <v>基础设施水平</v>
      </c>
      <c r="R31" s="1381" t="s">
        <v>5</v>
      </c>
      <c r="S31" s="1382">
        <f>F31</f>
        <v>100</v>
      </c>
      <c r="T31" s="1381" t="s">
        <v>5</v>
      </c>
      <c r="U31" s="1382">
        <f>H31</f>
        <v>100</v>
      </c>
      <c r="V31" s="1381" t="s">
        <v>5</v>
      </c>
      <c r="W31" s="1382">
        <f>J31</f>
        <v>100</v>
      </c>
      <c r="X31" s="1383"/>
      <c r="Y31" s="3863"/>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63"/>
      <c r="Q32" s="2192"/>
      <c r="R32" s="1381"/>
      <c r="S32" s="1382"/>
      <c r="T32" s="1381"/>
      <c r="U32" s="1382"/>
      <c r="V32" s="1381"/>
      <c r="W32" s="1382"/>
      <c r="X32" s="1383"/>
      <c r="Y32" s="3863"/>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6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63"/>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63"/>
      <c r="Q34" s="1385" t="str">
        <f t="shared" si="8"/>
        <v>毗邻道路的类型与等级</v>
      </c>
      <c r="R34" s="1386" t="s">
        <v>5</v>
      </c>
      <c r="S34" s="1387">
        <f t="shared" si="9"/>
        <v>100</v>
      </c>
      <c r="T34" s="1386" t="s">
        <v>5</v>
      </c>
      <c r="U34" s="1387">
        <f t="shared" si="10"/>
        <v>100</v>
      </c>
      <c r="V34" s="1386" t="s">
        <v>5</v>
      </c>
      <c r="W34" s="1387">
        <f t="shared" si="11"/>
        <v>100</v>
      </c>
      <c r="X34" s="1380"/>
      <c r="Y34" s="3863"/>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63"/>
      <c r="Q35" s="1385"/>
      <c r="R35" s="1386"/>
      <c r="S35" s="1387"/>
      <c r="T35" s="1386"/>
      <c r="U35" s="1387"/>
      <c r="V35" s="1386"/>
      <c r="W35" s="1387"/>
      <c r="X35" s="1380"/>
      <c r="Y35" s="3863"/>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63"/>
      <c r="Q36" s="1385" t="str">
        <f t="shared" si="8"/>
        <v>土地级别</v>
      </c>
      <c r="R36" s="1386" t="s">
        <v>5</v>
      </c>
      <c r="S36" s="1387">
        <f t="shared" si="9"/>
        <v>100</v>
      </c>
      <c r="T36" s="1386" t="s">
        <v>5</v>
      </c>
      <c r="U36" s="1387">
        <f t="shared" si="10"/>
        <v>100</v>
      </c>
      <c r="V36" s="1386" t="s">
        <v>5</v>
      </c>
      <c r="W36" s="1387">
        <f t="shared" si="11"/>
        <v>100</v>
      </c>
      <c r="X36" s="1380"/>
      <c r="Y36" s="3863"/>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63"/>
      <c r="Q37" s="1385">
        <f t="shared" si="8"/>
        <v>111</v>
      </c>
      <c r="R37" s="1386" t="s">
        <v>5</v>
      </c>
      <c r="S37" s="1387">
        <f t="shared" si="9"/>
        <v>100</v>
      </c>
      <c r="T37" s="1386" t="s">
        <v>5</v>
      </c>
      <c r="U37" s="1387">
        <f t="shared" si="10"/>
        <v>100</v>
      </c>
      <c r="V37" s="1386" t="s">
        <v>5</v>
      </c>
      <c r="W37" s="1387">
        <f t="shared" si="11"/>
        <v>100</v>
      </c>
      <c r="X37" s="1380"/>
      <c r="Y37" s="3863"/>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64" t="s">
        <v>499</v>
      </c>
      <c r="Q38" s="1385">
        <f t="shared" si="8"/>
        <v>111</v>
      </c>
      <c r="R38" s="1386" t="s">
        <v>5</v>
      </c>
      <c r="S38" s="1387">
        <f t="shared" si="9"/>
        <v>100</v>
      </c>
      <c r="T38" s="1386" t="s">
        <v>5</v>
      </c>
      <c r="U38" s="1387">
        <f t="shared" si="10"/>
        <v>100</v>
      </c>
      <c r="V38" s="1386" t="s">
        <v>5</v>
      </c>
      <c r="W38" s="1387">
        <f t="shared" si="11"/>
        <v>100</v>
      </c>
      <c r="X38" s="1380"/>
      <c r="Y38" s="3865"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65"/>
      <c r="Q39" s="1385">
        <f t="shared" si="8"/>
        <v>111</v>
      </c>
      <c r="R39" s="1390" t="s">
        <v>5</v>
      </c>
      <c r="S39" s="1391">
        <f t="shared" si="9"/>
        <v>100</v>
      </c>
      <c r="T39" s="1390" t="s">
        <v>5</v>
      </c>
      <c r="U39" s="1391">
        <f t="shared" si="10"/>
        <v>100</v>
      </c>
      <c r="V39" s="1390" t="s">
        <v>5</v>
      </c>
      <c r="W39" s="1391">
        <f t="shared" si="11"/>
        <v>100</v>
      </c>
      <c r="X39" s="1392"/>
      <c r="Y39" s="3865"/>
      <c r="Z39" s="1393">
        <f t="shared" si="12"/>
        <v>111</v>
      </c>
      <c r="AA39" s="1389">
        <f t="shared" si="3"/>
        <v>1</v>
      </c>
      <c r="AB39" s="1389">
        <f t="shared" si="4"/>
        <v>1</v>
      </c>
      <c r="AC39" s="1389">
        <f t="shared" si="5"/>
        <v>1</v>
      </c>
    </row>
    <row r="40" spans="1:29" ht="21">
      <c r="A40" s="2387" t="s">
        <v>2036</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65"/>
      <c r="Q40" s="1385" t="str">
        <f>B40</f>
        <v>宗地面积</v>
      </c>
      <c r="R40" s="1386" t="s">
        <v>5</v>
      </c>
      <c r="S40" s="1387" t="e">
        <f t="shared" si="9"/>
        <v>#N/A</v>
      </c>
      <c r="T40" s="1386" t="s">
        <v>5</v>
      </c>
      <c r="U40" s="1387" t="e">
        <f t="shared" si="10"/>
        <v>#N/A</v>
      </c>
      <c r="V40" s="1386" t="s">
        <v>5</v>
      </c>
      <c r="W40" s="1387" t="e">
        <f t="shared" si="11"/>
        <v>#N/A</v>
      </c>
      <c r="X40" s="1380"/>
      <c r="Y40" s="3865"/>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65"/>
      <c r="Q41" s="1385" t="str">
        <f t="shared" ref="Q41:Q47" si="13">B41</f>
        <v>宗地形状</v>
      </c>
      <c r="R41" s="1386" t="s">
        <v>5</v>
      </c>
      <c r="S41" s="1387">
        <f t="shared" si="9"/>
        <v>100</v>
      </c>
      <c r="T41" s="1386" t="s">
        <v>5</v>
      </c>
      <c r="U41" s="1387">
        <f t="shared" si="10"/>
        <v>100</v>
      </c>
      <c r="V41" s="1386" t="s">
        <v>5</v>
      </c>
      <c r="W41" s="1387">
        <f t="shared" si="11"/>
        <v>100</v>
      </c>
      <c r="X41" s="1380"/>
      <c r="Y41" s="3865"/>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65"/>
      <c r="Q42" s="1385" t="str">
        <f t="shared" si="13"/>
        <v>临街宽度及深度</v>
      </c>
      <c r="R42" s="1386" t="s">
        <v>5</v>
      </c>
      <c r="S42" s="1387">
        <f t="shared" si="9"/>
        <v>100</v>
      </c>
      <c r="T42" s="1386" t="s">
        <v>5</v>
      </c>
      <c r="U42" s="1387">
        <f t="shared" si="10"/>
        <v>100</v>
      </c>
      <c r="V42" s="1386" t="s">
        <v>5</v>
      </c>
      <c r="W42" s="1387">
        <f t="shared" si="11"/>
        <v>100</v>
      </c>
      <c r="X42" s="1380"/>
      <c r="Y42" s="3865"/>
      <c r="Z42" s="1388" t="str">
        <f t="shared" si="12"/>
        <v>临街宽度及深度</v>
      </c>
      <c r="AA42" s="1389">
        <f t="shared" si="3"/>
        <v>1</v>
      </c>
      <c r="AB42" s="1389">
        <f t="shared" si="4"/>
        <v>1</v>
      </c>
      <c r="AC42" s="1389">
        <f t="shared" si="5"/>
        <v>1</v>
      </c>
    </row>
    <row r="43" spans="1:29" s="1118" customFormat="1" ht="21">
      <c r="A43" s="570"/>
      <c r="B43" s="1651"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65"/>
      <c r="Q43" s="1385" t="str">
        <f t="shared" si="13"/>
        <v>宗地开发程度</v>
      </c>
      <c r="R43" s="1381" t="s">
        <v>5</v>
      </c>
      <c r="S43" s="1382">
        <f t="shared" si="9"/>
        <v>100</v>
      </c>
      <c r="T43" s="1381" t="s">
        <v>5</v>
      </c>
      <c r="U43" s="1382">
        <f t="shared" si="10"/>
        <v>100</v>
      </c>
      <c r="V43" s="1381" t="s">
        <v>5</v>
      </c>
      <c r="W43" s="1382">
        <f t="shared" si="11"/>
        <v>100</v>
      </c>
      <c r="X43" s="1383"/>
      <c r="Y43" s="3865"/>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65" t="s">
        <v>499</v>
      </c>
      <c r="Q44" s="1385" t="str">
        <f t="shared" si="13"/>
        <v>工程地质条件</v>
      </c>
      <c r="R44" s="1386" t="s">
        <v>5</v>
      </c>
      <c r="S44" s="1387">
        <f t="shared" si="9"/>
        <v>100</v>
      </c>
      <c r="T44" s="1386" t="s">
        <v>5</v>
      </c>
      <c r="U44" s="1387">
        <f t="shared" si="10"/>
        <v>100</v>
      </c>
      <c r="V44" s="1386" t="s">
        <v>5</v>
      </c>
      <c r="W44" s="1387">
        <f t="shared" si="11"/>
        <v>100</v>
      </c>
      <c r="X44" s="1380"/>
      <c r="Y44" s="3865"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65"/>
      <c r="Q45" s="1385">
        <f t="shared" si="13"/>
        <v>111</v>
      </c>
      <c r="R45" s="1386" t="s">
        <v>5</v>
      </c>
      <c r="S45" s="1387">
        <f t="shared" si="9"/>
        <v>100</v>
      </c>
      <c r="T45" s="1386" t="s">
        <v>5</v>
      </c>
      <c r="U45" s="1387">
        <f t="shared" si="10"/>
        <v>100</v>
      </c>
      <c r="V45" s="1386" t="s">
        <v>5</v>
      </c>
      <c r="W45" s="1387">
        <f t="shared" si="11"/>
        <v>100</v>
      </c>
      <c r="X45" s="1380"/>
      <c r="Y45" s="3865"/>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65"/>
      <c r="Q46" s="1385">
        <f t="shared" si="13"/>
        <v>111</v>
      </c>
      <c r="R46" s="1386" t="s">
        <v>5</v>
      </c>
      <c r="S46" s="1387">
        <f t="shared" si="9"/>
        <v>100</v>
      </c>
      <c r="T46" s="1386" t="s">
        <v>5</v>
      </c>
      <c r="U46" s="1387">
        <f t="shared" si="10"/>
        <v>100</v>
      </c>
      <c r="V46" s="1386" t="s">
        <v>5</v>
      </c>
      <c r="W46" s="1387">
        <f t="shared" si="11"/>
        <v>100</v>
      </c>
      <c r="X46" s="1380"/>
      <c r="Y46" s="3865"/>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65"/>
      <c r="Q47" s="1385">
        <f t="shared" si="13"/>
        <v>111</v>
      </c>
      <c r="R47" s="1390" t="s">
        <v>5</v>
      </c>
      <c r="S47" s="1391">
        <f t="shared" si="9"/>
        <v>100</v>
      </c>
      <c r="T47" s="1390" t="s">
        <v>5</v>
      </c>
      <c r="U47" s="1391">
        <f t="shared" si="10"/>
        <v>100</v>
      </c>
      <c r="V47" s="1390" t="s">
        <v>5</v>
      </c>
      <c r="W47" s="1391">
        <f t="shared" si="11"/>
        <v>100</v>
      </c>
      <c r="X47" s="1392"/>
      <c r="Y47" s="3865"/>
      <c r="Z47" s="1393">
        <f t="shared" si="12"/>
        <v>111</v>
      </c>
      <c r="AA47" s="1389">
        <f t="shared" si="3"/>
        <v>1</v>
      </c>
      <c r="AB47" s="1389">
        <f t="shared" si="4"/>
        <v>1</v>
      </c>
      <c r="AC47" s="1389">
        <f t="shared" si="5"/>
        <v>1</v>
      </c>
    </row>
    <row r="48" spans="1:29" ht="21">
      <c r="A48" s="577" t="s">
        <v>505</v>
      </c>
      <c r="B48" s="578" t="s">
        <v>2196</v>
      </c>
      <c r="C48" s="579" t="s">
        <v>0</v>
      </c>
      <c r="D48" s="580"/>
      <c r="E48" s="581"/>
      <c r="F48" s="582"/>
      <c r="G48" s="583"/>
      <c r="H48" s="584"/>
      <c r="I48" s="581"/>
      <c r="J48" s="584"/>
      <c r="K48" s="1201"/>
      <c r="L48" s="1867"/>
      <c r="M48" s="1855"/>
      <c r="N48" s="1855"/>
      <c r="O48" s="1868"/>
      <c r="P48" s="3860" t="str">
        <f>A48</f>
        <v>成交单价</v>
      </c>
      <c r="Q48" s="3860"/>
      <c r="R48" s="3876">
        <f>E48</f>
        <v>0</v>
      </c>
      <c r="S48" s="3876"/>
      <c r="T48" s="3876">
        <f>G48</f>
        <v>0</v>
      </c>
      <c r="U48" s="3876"/>
      <c r="V48" s="3876">
        <f>I48</f>
        <v>0</v>
      </c>
      <c r="W48" s="3876"/>
      <c r="X48" s="1375"/>
      <c r="Y48" s="1394"/>
      <c r="Z48" s="1375"/>
      <c r="AA48" s="1375"/>
      <c r="AB48" s="1375"/>
      <c r="AC48" s="1375"/>
    </row>
    <row r="49" spans="1:29" ht="21.6" thickBot="1">
      <c r="A49" s="585" t="s">
        <v>1974</v>
      </c>
      <c r="B49" s="586"/>
      <c r="C49" s="587" t="e">
        <f>R50</f>
        <v>#DIV/0!</v>
      </c>
      <c r="D49" s="2757" t="s">
        <v>2260</v>
      </c>
      <c r="E49" s="587" t="e">
        <f>R49</f>
        <v>#DIV/0!</v>
      </c>
      <c r="F49" s="2758"/>
      <c r="G49" s="588" t="e">
        <f>T49</f>
        <v>#DIV/0!</v>
      </c>
      <c r="H49" s="2758"/>
      <c r="I49" s="587" t="e">
        <f>V49</f>
        <v>#DIV/0!</v>
      </c>
      <c r="J49" s="2758"/>
      <c r="K49" s="2759">
        <f>F49+H49+J49</f>
        <v>0</v>
      </c>
      <c r="L49" s="1867"/>
      <c r="M49" s="1855"/>
      <c r="N49" s="1855"/>
      <c r="O49" s="1868"/>
      <c r="P49" s="3860" t="str">
        <f>A49</f>
        <v>比较价格（元/平方米）</v>
      </c>
      <c r="Q49" s="3860"/>
      <c r="R49" s="3884" t="e">
        <f>ROUND(PRODUCT(R48,AA9:AA47),0)</f>
        <v>#DIV/0!</v>
      </c>
      <c r="S49" s="3884"/>
      <c r="T49" s="3884" t="e">
        <f>ROUND(PRODUCT(T48,AB9:AB47),0)</f>
        <v>#DIV/0!</v>
      </c>
      <c r="U49" s="3884"/>
      <c r="V49" s="3884" t="e">
        <f>ROUND(PRODUCT(V48,AC9:AC47),0)</f>
        <v>#DIV/0!</v>
      </c>
      <c r="W49" s="3884"/>
      <c r="X49" s="1375"/>
      <c r="Y49" s="1375"/>
      <c r="Z49" s="1375"/>
      <c r="AA49" s="1375"/>
      <c r="AB49" s="1375"/>
      <c r="AC49" s="1375"/>
    </row>
    <row r="50" spans="1:29" ht="21.6" thickBot="1">
      <c r="A50" s="589" t="s">
        <v>2197</v>
      </c>
      <c r="B50" s="590"/>
      <c r="C50" s="591" t="e">
        <f>R50</f>
        <v>#DIV/0!</v>
      </c>
      <c r="D50" s="591"/>
      <c r="E50" s="591"/>
      <c r="F50" s="591"/>
      <c r="G50" s="591"/>
      <c r="H50" s="591"/>
      <c r="I50" s="591"/>
      <c r="J50" s="591"/>
      <c r="K50" s="1202"/>
      <c r="L50" s="1867"/>
      <c r="M50" s="1855"/>
      <c r="N50" s="1855"/>
      <c r="O50" s="1868"/>
      <c r="P50" s="3866" t="str">
        <f>A50</f>
        <v>估价对象XX用房的比较价格（楼面单价，元/平方米）</v>
      </c>
      <c r="Q50" s="3867"/>
      <c r="R50" s="3883" t="e">
        <f>ROUND(IF(D49="简单平均",AVERAGE(R49:W49),R49*F49+T49*H49+V49*J49),0)</f>
        <v>#DIV/0!</v>
      </c>
      <c r="S50" s="3883"/>
      <c r="T50" s="3883"/>
      <c r="U50" s="3883"/>
      <c r="V50" s="3883"/>
      <c r="W50" s="3883"/>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1252</v>
      </c>
      <c r="D57" s="1946" t="s">
        <v>1649</v>
      </c>
      <c r="E57" s="599" t="s">
        <v>511</v>
      </c>
      <c r="F57" s="600" t="s">
        <v>512</v>
      </c>
      <c r="G57" s="3845" t="s">
        <v>1638</v>
      </c>
      <c r="H57" s="3846"/>
      <c r="I57" s="1372" t="s">
        <v>1250</v>
      </c>
      <c r="J57" s="1372" t="str">
        <f>项目基本情况!F41</f>
        <v>北京市朝阳区十里堡1号</v>
      </c>
      <c r="K57" s="1876" t="s">
        <v>1251</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35000</v>
      </c>
      <c r="F58" s="604" t="e">
        <f t="shared" ref="F58:F66" si="14">ROUND(B58*E58/10000,0)</f>
        <v>#DIV/0!</v>
      </c>
      <c r="G58" s="3847"/>
      <c r="H58" s="384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7" t="s">
        <v>1639</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1684</v>
      </c>
      <c r="B62" s="606" t="e">
        <f t="shared" si="16"/>
        <v>#DIV/0!</v>
      </c>
      <c r="C62" s="365">
        <f t="shared" si="15"/>
        <v>0</v>
      </c>
      <c r="D62" s="1948">
        <v>0.25</v>
      </c>
      <c r="E62" s="609">
        <f>'数据-汇总表'!E11</f>
        <v>0</v>
      </c>
      <c r="F62" s="604" t="e">
        <f t="shared" si="14"/>
        <v>#DIV/0!</v>
      </c>
      <c r="G62" s="1701" t="s">
        <v>1640</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1211</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850</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1639</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1640</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1650</v>
      </c>
      <c r="E67" s="611">
        <f>IF(B48="楼面地价",SUM(E58:E66),'数据-汇总表'!D3)</f>
        <v>106677.19</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2024-8-1</v>
      </c>
      <c r="D69" s="2279">
        <f>EDATE(C69,-3)</f>
        <v>45413</v>
      </c>
      <c r="E69" s="2279">
        <f t="shared" ref="E69:N69" si="17">EDATE(D69,-3)</f>
        <v>45323</v>
      </c>
      <c r="F69" s="2279">
        <f t="shared" si="17"/>
        <v>45231</v>
      </c>
      <c r="G69" s="2279">
        <f t="shared" si="17"/>
        <v>45139</v>
      </c>
      <c r="H69" s="2279">
        <f t="shared" si="17"/>
        <v>45047</v>
      </c>
      <c r="I69" s="2279">
        <f t="shared" si="17"/>
        <v>44958</v>
      </c>
      <c r="J69" s="2279">
        <f t="shared" si="17"/>
        <v>44866</v>
      </c>
      <c r="K69" s="2279">
        <f t="shared" si="17"/>
        <v>44774</v>
      </c>
      <c r="L69" s="2279">
        <f t="shared" si="17"/>
        <v>44682</v>
      </c>
      <c r="M69" s="2279">
        <f t="shared" si="17"/>
        <v>44593</v>
      </c>
      <c r="N69" s="2279">
        <f t="shared" si="17"/>
        <v>44501</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1814</v>
      </c>
      <c r="B71" s="2186"/>
      <c r="C71" s="2276" t="str">
        <f>YEAR(C69)&amp;"-"&amp;ROUNDUP(MONTH(C69)/3,0)</f>
        <v>2024-3</v>
      </c>
      <c r="D71" s="2281" t="str">
        <f>YEAR(D69)&amp;"-"&amp;ROUNDUP(MONTH(D69)/3,0)</f>
        <v>2024-2</v>
      </c>
      <c r="E71" s="2281" t="str">
        <f t="shared" ref="E71:N71" si="18">YEAR(E69)&amp;"-"&amp;ROUNDUP(MONTH(E69)/3,0)</f>
        <v>2024-1</v>
      </c>
      <c r="F71" s="2281" t="str">
        <f t="shared" si="18"/>
        <v>2023-4</v>
      </c>
      <c r="G71" s="2281" t="str">
        <f t="shared" si="18"/>
        <v>2023-3</v>
      </c>
      <c r="H71" s="2281" t="str">
        <f t="shared" si="18"/>
        <v>2023-2</v>
      </c>
      <c r="I71" s="2281" t="str">
        <f t="shared" si="18"/>
        <v>2023-1</v>
      </c>
      <c r="J71" s="2281" t="str">
        <f t="shared" si="18"/>
        <v>2022-4</v>
      </c>
      <c r="K71" s="2281" t="str">
        <f t="shared" si="18"/>
        <v>2022-3</v>
      </c>
      <c r="L71" s="2281" t="str">
        <f t="shared" si="18"/>
        <v>2022-2</v>
      </c>
      <c r="M71" s="2281" t="str">
        <f t="shared" si="18"/>
        <v>2022-1</v>
      </c>
      <c r="N71" s="2281" t="str">
        <f t="shared" si="18"/>
        <v>2021-4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1928</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1927</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1830</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1832</v>
      </c>
      <c r="C103" s="2206" t="s">
        <v>1833</v>
      </c>
      <c r="D103" s="2206" t="s">
        <v>1834</v>
      </c>
      <c r="E103" s="2206" t="s">
        <v>1835</v>
      </c>
      <c r="F103" s="2206" t="s">
        <v>1836</v>
      </c>
      <c r="G103" s="2206" t="s">
        <v>1837</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1776</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204" priority="18" stopIfTrue="1" operator="containsText" text="超过">
      <formula>NOT(ISERROR(SEARCH("超过",F53)))</formula>
    </cfRule>
  </conditionalFormatting>
  <conditionalFormatting sqref="J55">
    <cfRule type="containsText" dxfId="203" priority="17" stopIfTrue="1" operator="containsText" text="超过">
      <formula>NOT(ISERROR(SEARCH("超过",J55)))</formula>
    </cfRule>
  </conditionalFormatting>
  <conditionalFormatting sqref="H55">
    <cfRule type="containsText" dxfId="202" priority="16" stopIfTrue="1" operator="containsText" text="超过">
      <formula>NOT(ISERROR(SEARCH("超过",H55)))</formula>
    </cfRule>
  </conditionalFormatting>
  <conditionalFormatting sqref="F55">
    <cfRule type="containsText" dxfId="201" priority="15" stopIfTrue="1" operator="containsText" text="超过">
      <formula>NOT(ISERROR(SEARCH("超过",F55)))</formula>
    </cfRule>
  </conditionalFormatting>
  <conditionalFormatting sqref="F54 H54 J54">
    <cfRule type="containsText" dxfId="200" priority="14" stopIfTrue="1" operator="containsText" text="超过">
      <formula>NOT(ISERROR(SEARCH("超过",F54)))</formula>
    </cfRule>
  </conditionalFormatting>
  <conditionalFormatting sqref="E53">
    <cfRule type="expression" dxfId="199" priority="13" stopIfTrue="1">
      <formula>$F$53="超过30%"</formula>
    </cfRule>
  </conditionalFormatting>
  <conditionalFormatting sqref="G55">
    <cfRule type="expression" dxfId="198" priority="12" stopIfTrue="1">
      <formula>$H$55="超过30%"</formula>
    </cfRule>
  </conditionalFormatting>
  <conditionalFormatting sqref="E54">
    <cfRule type="expression" dxfId="197" priority="11" stopIfTrue="1">
      <formula>$F$54="超过20%"</formula>
    </cfRule>
  </conditionalFormatting>
  <conditionalFormatting sqref="E55">
    <cfRule type="expression" dxfId="196" priority="10" stopIfTrue="1">
      <formula>$F$55="超过30%"</formula>
    </cfRule>
  </conditionalFormatting>
  <conditionalFormatting sqref="G53">
    <cfRule type="expression" dxfId="195" priority="9" stopIfTrue="1">
      <formula>$H$55+$H$53="超过30%"</formula>
    </cfRule>
  </conditionalFormatting>
  <conditionalFormatting sqref="G54">
    <cfRule type="expression" dxfId="194" priority="8" stopIfTrue="1">
      <formula>$H$54="超过20%"</formula>
    </cfRule>
  </conditionalFormatting>
  <conditionalFormatting sqref="I53">
    <cfRule type="expression" dxfId="193" priority="7" stopIfTrue="1">
      <formula>$J$53="超过30%"</formula>
    </cfRule>
  </conditionalFormatting>
  <conditionalFormatting sqref="I54">
    <cfRule type="expression" dxfId="192" priority="6" stopIfTrue="1">
      <formula>$J$54="超过20%"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9:F47 H9:H47 J9:J47">
    <cfRule type="cellIs" dxfId="18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21" sqref="F21"/>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1226</v>
      </c>
      <c r="B1" s="1255"/>
      <c r="C1" s="1261" t="s">
        <v>1777</v>
      </c>
      <c r="D1" s="1341">
        <f>SUM(D33:D34,D37:D42)</f>
        <v>0</v>
      </c>
      <c r="E1" s="1261" t="s">
        <v>1778</v>
      </c>
      <c r="F1" s="2105"/>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2042</v>
      </c>
      <c r="S1" s="2415" t="s">
        <v>2043</v>
      </c>
      <c r="T1" s="2415" t="s">
        <v>2060</v>
      </c>
      <c r="U1" s="2415" t="s">
        <v>2061</v>
      </c>
      <c r="V1" s="2415" t="s">
        <v>2062</v>
      </c>
      <c r="W1" s="1911"/>
      <c r="X1" s="1911"/>
      <c r="Y1" s="1911"/>
      <c r="Z1" s="1911"/>
      <c r="AA1" s="1911"/>
      <c r="AB1" s="1911"/>
      <c r="AC1" s="1912"/>
    </row>
    <row r="2" spans="1:39" ht="15.6">
      <c r="A2" s="1261" t="s">
        <v>847</v>
      </c>
      <c r="B2" s="991">
        <f>C30</f>
        <v>0</v>
      </c>
      <c r="C2" s="1262" t="s">
        <v>848</v>
      </c>
      <c r="D2" s="1263" t="s">
        <v>849</v>
      </c>
      <c r="E2" s="1264" t="s">
        <v>904</v>
      </c>
      <c r="F2" s="1263" t="s">
        <v>851</v>
      </c>
      <c r="G2" s="1457" t="str">
        <f>IF(E2="商业",项目基本情况!B43,IF(E2="办公",项目基本情况!C43,IF(E2="住宅",项目基本情况!D43,IF(E2="工业",项目基本情况!E43,项目基本情况!F43))))</f>
        <v>四级</v>
      </c>
      <c r="H2" s="1263" t="s">
        <v>853</v>
      </c>
      <c r="I2" s="1458" t="str">
        <f>IF(E2="商业",项目基本情况!B44,IF(E2="办公",项目基本情况!C44,IF(E2="住宅",项目基本情况!D44,IF(E2="工业",项目基本情况!E44,项目基本情况!F44))))</f>
        <v>Ⅳ-13</v>
      </c>
      <c r="J2" s="1265"/>
      <c r="K2" s="2975"/>
      <c r="L2" s="1641" t="s">
        <v>1597</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8385</v>
      </c>
      <c r="U2" s="2406"/>
      <c r="V2" s="2416">
        <f>ROUND(T2*U2/10000,0)</f>
        <v>0</v>
      </c>
      <c r="W2" s="1911"/>
      <c r="X2" s="1911"/>
      <c r="Y2" s="1911"/>
      <c r="Z2" s="1911"/>
      <c r="AA2" s="1911"/>
      <c r="AB2" s="1911"/>
      <c r="AC2" s="1912"/>
    </row>
    <row r="3" spans="1:39" ht="15.6">
      <c r="A3" s="1266" t="s">
        <v>1219</v>
      </c>
      <c r="B3" s="991" t="e">
        <f>ROUND(B2*10000/D1,0)</f>
        <v>#DIV/0!</v>
      </c>
      <c r="C3" s="1262" t="s">
        <v>854</v>
      </c>
      <c r="D3" s="1263" t="s">
        <v>855</v>
      </c>
      <c r="E3" s="1267" t="s">
        <v>2504</v>
      </c>
      <c r="F3" s="1268" t="s">
        <v>3274</v>
      </c>
      <c r="G3" s="992">
        <f>IF(F3="宗地容积率",'数据-汇总表'!I4,IF(F3="估价对象容积率",'数据-汇总表'!I6,'数据-汇总表'!I7))</f>
        <v>1</v>
      </c>
      <c r="H3" s="1269" t="s">
        <v>856</v>
      </c>
      <c r="I3" s="993"/>
      <c r="J3" s="1265" t="s">
        <v>857</v>
      </c>
      <c r="K3" s="2975"/>
      <c r="L3" s="1641" t="s">
        <v>1598</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6609</v>
      </c>
      <c r="U3" s="2406"/>
      <c r="V3" s="2416">
        <f t="shared" ref="V3:V16" si="1">ROUND(T3*U3/10000,0)</f>
        <v>0</v>
      </c>
      <c r="W3" s="1911"/>
      <c r="X3" s="1911"/>
      <c r="Y3" s="1911"/>
      <c r="Z3" s="1911"/>
      <c r="AA3" s="1911"/>
      <c r="AB3" s="1911"/>
      <c r="AC3" s="1912"/>
    </row>
    <row r="4" spans="1:39" ht="31.2">
      <c r="A4" s="1647" t="s">
        <v>1637</v>
      </c>
      <c r="B4" s="2106" t="e">
        <f>ROUND(B2*10000/F1,0)</f>
        <v>#DIV/0!</v>
      </c>
      <c r="C4" s="1650" t="s">
        <v>1612</v>
      </c>
      <c r="D4" s="1650" t="e">
        <f>ROUND(B2/(F1/666.67),0)</f>
        <v>#DIV/0!</v>
      </c>
      <c r="E4" s="1650" t="s">
        <v>1613</v>
      </c>
      <c r="F4" s="1648"/>
      <c r="G4" s="1648"/>
      <c r="H4" s="1648"/>
      <c r="I4" s="1648"/>
      <c r="J4" s="1649"/>
      <c r="K4" s="2976"/>
      <c r="L4" s="1641" t="s">
        <v>1599</v>
      </c>
      <c r="M4" s="1642">
        <f>SUMPRODUCT((区片价!B55:B86=I2)*(区片价!C3:G3=E2)*(区片价!C55:G86))</f>
        <v>5150</v>
      </c>
      <c r="N4" s="1643">
        <f>SUMPRODUCT((因素修正幅度!B55:B86=I2)*(因素修正幅度!C3:G3=E2)*(因素修正幅度!C55:G86))</f>
        <v>0.1</v>
      </c>
      <c r="O4" s="2976"/>
      <c r="P4" s="1911"/>
      <c r="Q4" s="1911"/>
      <c r="R4" s="2416">
        <v>3</v>
      </c>
      <c r="S4" s="2416">
        <f>ROUND(SUMPRODUCT((B107:B111=R4)*(C106:N106=G2)*(C107:N111)),4)</f>
        <v>1.0004999999999999</v>
      </c>
      <c r="T4" s="2416">
        <f t="shared" si="0"/>
        <v>5586</v>
      </c>
      <c r="U4" s="2406"/>
      <c r="V4" s="2416">
        <f t="shared" si="1"/>
        <v>0</v>
      </c>
      <c r="W4" s="1911"/>
      <c r="X4" s="1911"/>
      <c r="Y4" s="1911"/>
      <c r="Z4" s="1911"/>
      <c r="AA4" s="1911"/>
      <c r="AB4" s="1911"/>
      <c r="AC4" s="1912"/>
    </row>
    <row r="5" spans="1:39" s="1276" customFormat="1" ht="15.6" thickBot="1">
      <c r="A5" s="1444" t="s">
        <v>1351</v>
      </c>
      <c r="B5" s="1270" t="s">
        <v>858</v>
      </c>
      <c r="C5" s="994">
        <f>ROUND(IF(E2="商业",C6*C7*C17+C20,(IF(E2="住宅",C6*C13*C17+C20,IF(E2="办公",C6*C12*C17+C20,C6+C20)))),0)</f>
        <v>5150</v>
      </c>
      <c r="D5" s="2548">
        <f>ROUND(C6*C17+C20,0)</f>
        <v>5150</v>
      </c>
      <c r="E5" s="2548"/>
      <c r="F5" s="1271"/>
      <c r="G5" s="1272"/>
      <c r="H5" s="1272"/>
      <c r="I5" s="1272"/>
      <c r="J5" s="1273"/>
      <c r="K5" s="2977"/>
      <c r="L5" s="1641" t="s">
        <v>1600</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4927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1394</v>
      </c>
      <c r="B6" s="1277" t="s">
        <v>858</v>
      </c>
      <c r="C6" s="3522">
        <f>SUMIF(L1:L12,G2,M1:M12)</f>
        <v>5150</v>
      </c>
      <c r="D6" s="3523" t="s">
        <v>1227</v>
      </c>
      <c r="E6" s="1277"/>
      <c r="F6" s="1277"/>
      <c r="G6" s="3524"/>
      <c r="H6" s="3524"/>
      <c r="I6" s="3524"/>
      <c r="J6" s="3525"/>
      <c r="K6" s="2978"/>
      <c r="L6" s="1641" t="s">
        <v>1601</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4734</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3192</v>
      </c>
      <c r="B7" s="1278" t="s">
        <v>859</v>
      </c>
      <c r="C7" s="3527">
        <f>IF(C8="不临65条商业街",1,ROUND(1+(1.6*E8+1.2*E9+0.8*E10+0.4*E11)*C9,4))</f>
        <v>1</v>
      </c>
      <c r="D7" s="3528" t="s">
        <v>860</v>
      </c>
      <c r="E7" s="3529"/>
      <c r="F7" s="3530"/>
      <c r="G7" s="3530"/>
      <c r="H7" s="3530"/>
      <c r="I7" s="3530"/>
      <c r="J7" s="3531"/>
      <c r="K7" s="2978"/>
      <c r="L7" s="1641" t="s">
        <v>1602</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2045</v>
      </c>
      <c r="X7" s="2407" t="str">
        <f>G2</f>
        <v>四级</v>
      </c>
      <c r="Y7" s="2407" t="s">
        <v>2046</v>
      </c>
      <c r="Z7" s="2408">
        <f>G3</f>
        <v>1</v>
      </c>
      <c r="AA7" s="1914"/>
      <c r="AB7" s="1914"/>
      <c r="AC7" s="1915"/>
      <c r="AD7" s="2409"/>
      <c r="AE7" s="2409"/>
      <c r="AF7" s="2409"/>
      <c r="AG7" s="2409"/>
      <c r="AH7" s="2409"/>
      <c r="AI7" s="2409"/>
      <c r="AJ7" s="2410"/>
    </row>
    <row r="8" spans="1:39" ht="26.4">
      <c r="A8" s="3532"/>
      <c r="B8" s="1269" t="s">
        <v>861</v>
      </c>
      <c r="C8" s="3533" t="s">
        <v>3467</v>
      </c>
      <c r="D8" s="3534" t="s">
        <v>862</v>
      </c>
      <c r="E8" s="3535" t="e">
        <f>ROUND(C11/E7,4)</f>
        <v>#DIV/0!</v>
      </c>
      <c r="F8" s="3536" t="s">
        <v>863</v>
      </c>
      <c r="G8" s="3537"/>
      <c r="H8" s="3537"/>
      <c r="I8" s="3537"/>
      <c r="J8" s="3538"/>
      <c r="K8" s="2978"/>
      <c r="L8" s="1641" t="s">
        <v>1603</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04" t="s">
        <v>2059</v>
      </c>
      <c r="X8" s="3905"/>
      <c r="Y8" s="1635" t="s">
        <v>2047</v>
      </c>
      <c r="Z8" s="1635" t="s">
        <v>2048</v>
      </c>
      <c r="AA8" s="1635" t="s">
        <v>2049</v>
      </c>
      <c r="AB8" s="1635" t="s">
        <v>2050</v>
      </c>
      <c r="AC8" s="1635" t="s">
        <v>2051</v>
      </c>
      <c r="AD8" s="1635" t="s">
        <v>2052</v>
      </c>
      <c r="AE8" s="1635" t="s">
        <v>2053</v>
      </c>
      <c r="AF8" s="1635" t="s">
        <v>2054</v>
      </c>
      <c r="AG8" s="1635" t="s">
        <v>2055</v>
      </c>
      <c r="AH8" s="1635" t="s">
        <v>2056</v>
      </c>
      <c r="AI8" s="1635" t="s">
        <v>2057</v>
      </c>
      <c r="AJ8" s="1635" t="s">
        <v>2058</v>
      </c>
    </row>
    <row r="9" spans="1:39" ht="15">
      <c r="A9" s="3532"/>
      <c r="B9" s="1269" t="s">
        <v>864</v>
      </c>
      <c r="C9" s="3539">
        <f>SUMIF(修正!C71:C139,C8,修正!E71:E139)</f>
        <v>0</v>
      </c>
      <c r="D9" s="3540" t="s">
        <v>865</v>
      </c>
      <c r="E9" s="3540" t="e">
        <f>ROUND(C11/E7,4)</f>
        <v>#DIV/0!</v>
      </c>
      <c r="F9" s="3536" t="s">
        <v>866</v>
      </c>
      <c r="G9" s="3537"/>
      <c r="H9" s="3537"/>
      <c r="I9" s="3537"/>
      <c r="J9" s="3538"/>
      <c r="K9" s="2978"/>
      <c r="L9" s="1641" t="s">
        <v>1604</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03"/>
      <c r="X9" s="2411" t="s">
        <v>3215</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867</v>
      </c>
      <c r="C10" s="3540">
        <f>SUMIF(修正!C71:C139,C8,修正!F71:F139)</f>
        <v>0</v>
      </c>
      <c r="D10" s="3540" t="s">
        <v>868</v>
      </c>
      <c r="E10" s="3540" t="e">
        <f>ROUND(C11/E7,4)</f>
        <v>#DIV/0!</v>
      </c>
      <c r="F10" s="3536" t="s">
        <v>869</v>
      </c>
      <c r="G10" s="3537"/>
      <c r="H10" s="3537"/>
      <c r="I10" s="3537"/>
      <c r="J10" s="3538"/>
      <c r="K10" s="2978"/>
      <c r="L10" s="1641" t="s">
        <v>1605</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03"/>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870</v>
      </c>
      <c r="C11" s="3541">
        <f>C10/4</f>
        <v>0</v>
      </c>
      <c r="D11" s="3541" t="s">
        <v>871</v>
      </c>
      <c r="E11" s="3541" t="e">
        <f>ROUND(C11/E7,4)</f>
        <v>#DIV/0!</v>
      </c>
      <c r="F11" s="3542" t="s">
        <v>872</v>
      </c>
      <c r="G11" s="3543"/>
      <c r="H11" s="3543"/>
      <c r="I11" s="3543"/>
      <c r="J11" s="3544"/>
      <c r="K11" s="2978"/>
      <c r="L11" s="1641" t="s">
        <v>1606</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3193</v>
      </c>
      <c r="B12" s="3507" t="s">
        <v>3194</v>
      </c>
      <c r="C12" s="3513">
        <v>1</v>
      </c>
      <c r="D12" s="3508" t="s">
        <v>3195</v>
      </c>
      <c r="E12" s="3509" t="s">
        <v>3196</v>
      </c>
      <c r="F12" s="3510"/>
      <c r="G12" s="3511"/>
      <c r="H12" s="3511"/>
      <c r="I12" s="3511"/>
      <c r="J12" s="3512"/>
      <c r="K12" s="2978"/>
      <c r="L12" s="1644" t="s">
        <v>1607</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3197</v>
      </c>
      <c r="B13" s="1283" t="s">
        <v>873</v>
      </c>
      <c r="C13" s="3527">
        <f>ROUND(C16*D16*E16*F16*G16*H16*I16*J16,4)</f>
        <v>1</v>
      </c>
      <c r="D13" s="3545" t="s">
        <v>3198</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1228</v>
      </c>
      <c r="C14" s="3461" t="s">
        <v>1229</v>
      </c>
      <c r="D14" s="1289" t="s">
        <v>1230</v>
      </c>
      <c r="E14" s="781" t="s">
        <v>3199</v>
      </c>
      <c r="F14" s="3549" t="s">
        <v>1177</v>
      </c>
      <c r="G14" s="3549" t="s">
        <v>1177</v>
      </c>
      <c r="H14" s="3550" t="s">
        <v>1177</v>
      </c>
      <c r="I14" s="3551" t="s">
        <v>1177</v>
      </c>
      <c r="J14" s="3551" t="s">
        <v>1177</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3739</v>
      </c>
      <c r="D15" s="3553"/>
      <c r="E15" s="3554"/>
      <c r="F15" s="3554"/>
      <c r="G15" s="3516" t="s">
        <v>3200</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1231</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3201</v>
      </c>
      <c r="B17" s="3557" t="s">
        <v>3202</v>
      </c>
      <c r="C17" s="3565">
        <f>ROUND(IF(OR(E2="工业",E2="公共服务"),1,IF(AND(E18=0,E19=0),1,IF(AND(E18=J24,E19=G19),0.8,IF(E19=0,1+E17*(-0.2),1+E17*G17*(-0.2))))),4)</f>
        <v>1</v>
      </c>
      <c r="D17" s="3558" t="s">
        <v>3203</v>
      </c>
      <c r="E17" s="3565">
        <f>ROUND(G18/I18,2)</f>
        <v>0</v>
      </c>
      <c r="F17" s="3558" t="s">
        <v>3206</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3204</v>
      </c>
      <c r="E18" s="3564"/>
      <c r="F18" s="3561" t="s">
        <v>3207</v>
      </c>
      <c r="G18" s="3563">
        <f>ROUND(1-(1/(POWER(1+G24,E18))),4)</f>
        <v>0</v>
      </c>
      <c r="H18" s="3561" t="s">
        <v>3209</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3205</v>
      </c>
      <c r="E19" s="3566"/>
      <c r="F19" s="3562" t="s">
        <v>3208</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897" t="s">
        <v>1369</v>
      </c>
      <c r="B20" s="1278" t="s">
        <v>874</v>
      </c>
      <c r="C20" s="998">
        <f>ROUND(IF(F21="与级别开发程度一致",0,(G21-E21)/C21),0)</f>
        <v>0</v>
      </c>
      <c r="D20" s="3909" t="s">
        <v>878</v>
      </c>
      <c r="E20" s="3910"/>
      <c r="F20" s="3909" t="s">
        <v>875</v>
      </c>
      <c r="G20" s="3910"/>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898"/>
      <c r="B21" s="2607" t="s">
        <v>877</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3740</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1357</v>
      </c>
      <c r="B22" s="2602" t="s">
        <v>879</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1363</v>
      </c>
      <c r="B23" s="1294" t="s">
        <v>880</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1.0841000000000001</v>
      </c>
      <c r="D23" s="1297" t="s">
        <v>881</v>
      </c>
      <c r="E23" s="1000">
        <v>44197</v>
      </c>
      <c r="F23" s="1297" t="s">
        <v>882</v>
      </c>
      <c r="G23" s="1001">
        <f>'数据-取费表'!B2</f>
        <v>45506</v>
      </c>
      <c r="H23" s="1298" t="s">
        <v>2246</v>
      </c>
      <c r="I23" s="2266" t="str">
        <f>IF(H23="季度增幅（自定义）",SUMIF(N25:N28,E2,O25:O28),"")</f>
        <v/>
      </c>
      <c r="J23" s="3567" t="s">
        <v>3262</v>
      </c>
      <c r="K23" s="2977"/>
      <c r="L23" s="2511" t="s">
        <v>2115</v>
      </c>
      <c r="M23" s="2512">
        <f>ROUND(SUMIF(地价!B2:F2,E2,地价!B41:F41),0)</f>
        <v>230</v>
      </c>
      <c r="N23" s="2268" t="s">
        <v>1210</v>
      </c>
      <c r="O23" s="2267">
        <f>ROUNDDOWN(DATEDIF(E23,G23,"M")/3,0)</f>
        <v>14</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1364</v>
      </c>
      <c r="B24" s="2261" t="s">
        <v>895</v>
      </c>
      <c r="C24" s="2262">
        <f>ROUND(POWER(1+G24,J24-I24)*(POWER(1+G24,I24)-1)/(POWER(1+G24,J24)-1),4)</f>
        <v>1</v>
      </c>
      <c r="D24" s="2263" t="s">
        <v>896</v>
      </c>
      <c r="E24" s="2540">
        <f>存贷款利率!E26/100</f>
        <v>4.3499999999999997E-2</v>
      </c>
      <c r="F24" s="2263" t="s">
        <v>897</v>
      </c>
      <c r="G24" s="2264">
        <f>SUMIF(M30:Q30,E2,M33:Q33)</f>
        <v>0.05</v>
      </c>
      <c r="H24" s="2263" t="s">
        <v>898</v>
      </c>
      <c r="I24" s="2259">
        <f>SUMIF('数据-取费表'!C6:C15,E2,'数据-取费表'!F6:F15)/COUNTIF('数据-取费表'!C6:C15,E2)</f>
        <v>50</v>
      </c>
      <c r="J24" s="2265">
        <f>IF(E2="住宅",70,IF(E2="商业",40,50))</f>
        <v>50</v>
      </c>
      <c r="K24" s="2597"/>
      <c r="L24" s="2513" t="s">
        <v>2116</v>
      </c>
      <c r="M24" s="2592">
        <f>ROUND(SUMPRODUCT((地价!A4:A41=YEAR(G23)&amp;"-"&amp;ROUNDUP(MONTH(G23)/3,0))*(地价!B2:F2=E2)*(地价!B4:F41)),0)</f>
        <v>0</v>
      </c>
      <c r="N24" s="2271" t="s">
        <v>1926</v>
      </c>
      <c r="O24" s="2269" t="s">
        <v>1925</v>
      </c>
      <c r="P24" s="2270" t="s">
        <v>1931</v>
      </c>
      <c r="Q24" s="2405"/>
      <c r="R24" s="1917"/>
      <c r="S24" s="1917"/>
      <c r="T24" s="1917"/>
      <c r="U24" s="1917"/>
      <c r="V24" s="1917"/>
      <c r="W24" s="1917"/>
      <c r="X24" s="1917"/>
      <c r="Y24" s="1295"/>
      <c r="Z24" s="1295"/>
      <c r="AA24" s="1295"/>
      <c r="AB24" s="1295"/>
      <c r="AC24" s="1295"/>
      <c r="AD24" s="1295"/>
    </row>
    <row r="25" spans="1:40" ht="14.4">
      <c r="A25" s="1447" t="s">
        <v>1365</v>
      </c>
      <c r="B25" s="1303" t="s">
        <v>2276</v>
      </c>
      <c r="C25" s="1057">
        <f>IF(B25="容积率修正",IF(G3&lt;10,D26,J26),C27)</f>
        <v>1.1220000000000001</v>
      </c>
      <c r="D25" s="1304"/>
      <c r="E25" s="1304"/>
      <c r="F25" s="1304"/>
      <c r="G25" s="1304"/>
      <c r="H25" s="1304"/>
      <c r="I25" s="1304"/>
      <c r="J25" s="1305"/>
      <c r="K25" s="2977"/>
      <c r="L25" s="1304"/>
      <c r="M25" s="1304"/>
      <c r="N25" s="1301" t="s">
        <v>899</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1394</v>
      </c>
      <c r="B26" s="1306" t="s">
        <v>900</v>
      </c>
      <c r="C26" s="3568" t="s">
        <v>3210</v>
      </c>
      <c r="D26" s="1002">
        <f>IF(E26=G26,F26,IF(G3&lt;10,ROUND(F26+(H26-F26)*(G3-E26)/(G26-E26),4),"——"))</f>
        <v>1.1220000000000001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568" t="s">
        <v>3211</v>
      </c>
      <c r="J26" s="1002" t="str">
        <f>IF(G3&gt;=10,D116,"——")</f>
        <v>——</v>
      </c>
      <c r="K26" s="2983"/>
      <c r="L26" s="1304"/>
      <c r="M26" s="1304"/>
      <c r="N26" s="1301" t="s">
        <v>901</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1395</v>
      </c>
      <c r="B27" s="1306" t="s">
        <v>902</v>
      </c>
      <c r="C27" s="1003">
        <f>ROUND(IF(I3&lt;6,SUMPRODUCT((B107:B111=I3)*(C106:N106=G2)*(C107:N111)),SUMIF(C106:N106,G2,C113:N113)),4)</f>
        <v>0</v>
      </c>
      <c r="D27" s="1349"/>
      <c r="E27" s="1349"/>
      <c r="F27" s="1350"/>
      <c r="G27" s="1351"/>
      <c r="H27" s="1352"/>
      <c r="I27" s="1353"/>
      <c r="J27" s="1353"/>
      <c r="K27" s="2984"/>
      <c r="L27" s="1256"/>
      <c r="M27" s="1256"/>
      <c r="N27" s="1301" t="s">
        <v>850</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1396</v>
      </c>
      <c r="B28" s="1270" t="s">
        <v>903</v>
      </c>
      <c r="C28" s="1004">
        <f>SUMIF(A47:A101,E2,B47:B101)</f>
        <v>1</v>
      </c>
      <c r="D28" s="1354"/>
      <c r="E28" s="1355"/>
      <c r="F28" s="1355"/>
      <c r="G28" s="1355"/>
      <c r="H28" s="1355"/>
      <c r="I28" s="1355"/>
      <c r="J28" s="1355"/>
      <c r="K28" s="2984"/>
      <c r="L28" s="1304"/>
      <c r="M28" s="1304"/>
      <c r="N28" s="1301" t="s">
        <v>904</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1397</v>
      </c>
      <c r="B29" s="1308" t="s">
        <v>905</v>
      </c>
      <c r="C29" s="1309"/>
      <c r="D29" s="1280"/>
      <c r="E29" s="1280"/>
      <c r="F29" s="1310"/>
      <c r="G29" s="1280"/>
      <c r="H29" s="1280"/>
      <c r="I29" s="1280"/>
      <c r="J29" s="1281"/>
      <c r="K29" s="2978"/>
      <c r="L29" s="1917"/>
      <c r="M29" s="1917"/>
      <c r="N29" s="2593" t="s">
        <v>1929</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909</v>
      </c>
      <c r="C30" s="2760">
        <f>IF(B25="容积率修正",E33+SUM(E37:E42),SUM(V2:V16)+SUM(E37:E42))</f>
        <v>0</v>
      </c>
      <c r="D30" s="1312"/>
      <c r="E30" s="1290"/>
      <c r="F30" s="1313"/>
      <c r="G30" s="1290"/>
      <c r="H30" s="1290"/>
      <c r="I30" s="1290"/>
      <c r="J30" s="1314"/>
      <c r="K30" s="2978"/>
      <c r="L30" s="1407" t="s">
        <v>832</v>
      </c>
      <c r="M30" s="1279" t="s">
        <v>906</v>
      </c>
      <c r="N30" s="1279" t="s">
        <v>907</v>
      </c>
      <c r="O30" s="1279" t="s">
        <v>834</v>
      </c>
      <c r="P30" s="1299" t="s">
        <v>908</v>
      </c>
      <c r="Q30" s="1299" t="s">
        <v>3237</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911</v>
      </c>
      <c r="C31" s="1006">
        <f>E34+SUM(I37:I42)</f>
        <v>0</v>
      </c>
      <c r="D31" s="1316"/>
      <c r="E31" s="1317"/>
      <c r="F31" s="1318"/>
      <c r="G31" s="1317"/>
      <c r="H31" s="1317"/>
      <c r="I31" s="1317"/>
      <c r="J31" s="1319"/>
      <c r="K31" s="2978"/>
      <c r="L31" s="1292" t="s">
        <v>910</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912</v>
      </c>
      <c r="C32" s="1321" t="s">
        <v>913</v>
      </c>
      <c r="D32" s="1321" t="s">
        <v>914</v>
      </c>
      <c r="E32" s="1322" t="s">
        <v>915</v>
      </c>
      <c r="F32" s="1323"/>
      <c r="G32" s="1285"/>
      <c r="H32" s="1285"/>
      <c r="I32" s="1285"/>
      <c r="J32" s="1286"/>
      <c r="K32" s="2978"/>
      <c r="L32" s="1293" t="s">
        <v>897</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916</v>
      </c>
      <c r="C33" s="1005">
        <f>ROUND(C5*C22*C23*C24*C25*C28,0)</f>
        <v>6264</v>
      </c>
      <c r="D33" s="1326"/>
      <c r="E33" s="1635">
        <f>ROUND(C33*D33/10000,0)</f>
        <v>0</v>
      </c>
      <c r="F33" s="3569" t="s">
        <v>3212</v>
      </c>
      <c r="G33" s="1327"/>
      <c r="H33" s="1327"/>
      <c r="I33" s="1327"/>
      <c r="J33" s="1328"/>
      <c r="K33" s="2985"/>
      <c r="L33" s="3639" t="s">
        <v>3238</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917</v>
      </c>
      <c r="C34" s="997">
        <f>ROUND(IF(E2="工业",C33*M42,IF(B25="楼层修正",SUM(V2:V16)*M41*10000/D34,C33*M41)),0)</f>
        <v>940</v>
      </c>
      <c r="D34" s="1331"/>
      <c r="E34" s="1635">
        <f>ROUND(IF(B25="楼层修正",SUM(V2:V16)*#REF!,C34*D34/10000),0)</f>
        <v>0</v>
      </c>
      <c r="F34" s="3570" t="s">
        <v>3213</v>
      </c>
      <c r="G34" s="1332"/>
      <c r="H34" s="1332"/>
      <c r="I34" s="1332"/>
      <c r="J34" s="1333"/>
      <c r="K34" s="2978"/>
      <c r="L34" s="3639" t="s">
        <v>3239</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913</v>
      </c>
      <c r="D36" s="1340" t="s">
        <v>914</v>
      </c>
      <c r="E36" s="1340" t="s">
        <v>915</v>
      </c>
      <c r="F36" s="1341" t="s">
        <v>921</v>
      </c>
      <c r="G36" s="1302" t="s">
        <v>913</v>
      </c>
      <c r="H36" s="1302" t="s">
        <v>914</v>
      </c>
      <c r="I36" s="1302" t="s">
        <v>915</v>
      </c>
      <c r="J36" s="1342"/>
      <c r="K36" s="3641" t="s">
        <v>3240</v>
      </c>
      <c r="L36" s="3643">
        <f ca="1">'数据-取费表'!B40</f>
        <v>4.2500000000000003E-2</v>
      </c>
      <c r="M36" s="3644">
        <f ca="1">ROUND($L$36*(1+M31),3)</f>
        <v>5.2999999999999999E-2</v>
      </c>
      <c r="N36" s="3644">
        <f ca="1">ROUND($L$36*(1+N31),3)</f>
        <v>5.0999999999999997E-2</v>
      </c>
      <c r="O36" s="3644">
        <f ca="1">ROUND($L$36*(1+O31),3)</f>
        <v>4.9000000000000002E-2</v>
      </c>
      <c r="P36" s="3644">
        <f ca="1">ROUND($L$36*(1+P31),3)</f>
        <v>4.7E-2</v>
      </c>
      <c r="Q36" s="3644">
        <f ca="1">ROUND($L$36*(1+Q31),3)</f>
        <v>4.9000000000000002E-2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01"/>
      <c r="B37" s="1344" t="s">
        <v>922</v>
      </c>
      <c r="C37" s="1005">
        <f>ROUND(D5*C22*C23*C24*C28*F37,0)</f>
        <v>3350</v>
      </c>
      <c r="D37" s="1356"/>
      <c r="E37" s="996">
        <f t="shared" ref="E37:E42" si="3">ROUND(C37*D37/10000,0)</f>
        <v>0</v>
      </c>
      <c r="F37" s="996">
        <f>SUMIF(修正!A57:A68,G2,修正!B57:B68)</f>
        <v>0.6</v>
      </c>
      <c r="G37" s="996">
        <f>ROUND(IF(E2="工业",C37*$M$42,C37*$M$41),0)</f>
        <v>503</v>
      </c>
      <c r="H37" s="996">
        <f t="shared" ref="H37:H42" si="4">D37</f>
        <v>0</v>
      </c>
      <c r="I37" s="996">
        <f t="shared" ref="I37:I42" si="5">ROUND(G37*H37/10000,0)</f>
        <v>0</v>
      </c>
      <c r="J37" s="3901"/>
      <c r="K37" s="3642" t="s">
        <v>3241</v>
      </c>
      <c r="L37" s="3643">
        <f ca="1">L36+K38</f>
        <v>4.7500000000000001E-2</v>
      </c>
      <c r="M37" s="3644">
        <f ca="1">ROUND($L$37*(1+M31),3)</f>
        <v>5.8999999999999997E-2</v>
      </c>
      <c r="N37" s="3644">
        <f ca="1">ROUND($L$37*(1+N31),3)</f>
        <v>5.7000000000000002E-2</v>
      </c>
      <c r="O37" s="3644">
        <f ca="1">ROUND($L$37*(1+O31),3)</f>
        <v>5.5E-2</v>
      </c>
      <c r="P37" s="3644">
        <f ca="1">ROUND($L$37*(1+P31),3)</f>
        <v>5.1999999999999998E-2</v>
      </c>
      <c r="Q37" s="3644">
        <f ca="1">ROUND($L$37*(1+Q31),3)</f>
        <v>5.5E-2</v>
      </c>
      <c r="R37" s="1912"/>
      <c r="S37" s="1912"/>
      <c r="T37" s="1912"/>
      <c r="U37" s="1912"/>
      <c r="V37" s="1912"/>
      <c r="W37" s="1911"/>
      <c r="X37" s="1911"/>
      <c r="Y37" s="1911"/>
      <c r="Z37" s="1911"/>
      <c r="AA37" s="1911"/>
      <c r="AB37" s="1911"/>
      <c r="AC37" s="1912"/>
    </row>
    <row r="38" spans="1:44" ht="13.2">
      <c r="A38" s="3902"/>
      <c r="B38" s="1288" t="s">
        <v>923</v>
      </c>
      <c r="C38" s="1005">
        <f>ROUND(D5*C22*C23*C24*C28*F38,0)</f>
        <v>1675</v>
      </c>
      <c r="D38" s="1356"/>
      <c r="E38" s="996">
        <f t="shared" si="3"/>
        <v>0</v>
      </c>
      <c r="F38" s="996">
        <f>SUMIF(修正!A57:A68,G2,修正!C57:C68)</f>
        <v>0.3</v>
      </c>
      <c r="G38" s="996">
        <f>ROUND(IF(E2="工业",C38*$M$42,C38*$M$41),0)</f>
        <v>251</v>
      </c>
      <c r="H38" s="996">
        <f t="shared" si="4"/>
        <v>0</v>
      </c>
      <c r="I38" s="996">
        <f t="shared" si="5"/>
        <v>0</v>
      </c>
      <c r="J38" s="3902"/>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902"/>
      <c r="B39" s="3571" t="s">
        <v>3214</v>
      </c>
      <c r="C39" s="1005">
        <f>ROUND(D5*C22*C23*C24*C28*F39,0)</f>
        <v>1396</v>
      </c>
      <c r="D39" s="1356"/>
      <c r="E39" s="996">
        <f t="shared" si="3"/>
        <v>0</v>
      </c>
      <c r="F39" s="996">
        <f>SUMIF(修正!A57:A68,G2,修正!D57:D68)</f>
        <v>0.25</v>
      </c>
      <c r="G39" s="996">
        <f>ROUND(IF(E2="工业",C39*$M$42,C39*$M$41),0)</f>
        <v>209</v>
      </c>
      <c r="H39" s="996">
        <f t="shared" si="4"/>
        <v>0</v>
      </c>
      <c r="I39" s="996">
        <f t="shared" si="5"/>
        <v>0</v>
      </c>
      <c r="J39" s="3902"/>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924</v>
      </c>
      <c r="C40" s="996">
        <f>ROUND(D5*C22*C23*C24*C28*F40,0)</f>
        <v>1396</v>
      </c>
      <c r="D40" s="1356"/>
      <c r="E40" s="996">
        <f t="shared" si="3"/>
        <v>0</v>
      </c>
      <c r="F40" s="1005">
        <f>SUMIF(修正!A57:A68,G2,修正!E57:E68)</f>
        <v>0.25</v>
      </c>
      <c r="G40" s="996">
        <f>ROUND(IF(E2="工业",C40*$M$42,C40*$M$41),0)</f>
        <v>209</v>
      </c>
      <c r="H40" s="996">
        <f t="shared" si="4"/>
        <v>0</v>
      </c>
      <c r="I40" s="996">
        <f t="shared" si="5"/>
        <v>0</v>
      </c>
      <c r="J40" s="1345"/>
      <c r="K40" s="1911"/>
      <c r="L40" s="1362" t="s">
        <v>1232</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925</v>
      </c>
      <c r="C41" s="996">
        <f>ROUND(D5*C22*C23*C44*C28*F41,0)</f>
        <v>0</v>
      </c>
      <c r="D41" s="1356"/>
      <c r="E41" s="996">
        <f t="shared" si="3"/>
        <v>0</v>
      </c>
      <c r="F41" s="1005">
        <f>SUMIF(修正!A57:A68,G2,修正!F57:F68)</f>
        <v>0.25</v>
      </c>
      <c r="G41" s="996">
        <f>ROUND(IF(E2="工业",C41*$M$42,C41*$M$41),0)</f>
        <v>0</v>
      </c>
      <c r="H41" s="996">
        <f t="shared" si="4"/>
        <v>0</v>
      </c>
      <c r="I41" s="996">
        <f t="shared" si="5"/>
        <v>0</v>
      </c>
      <c r="J41" s="1345"/>
      <c r="K41" s="1911"/>
      <c r="L41" s="3645" t="s">
        <v>3242</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926</v>
      </c>
      <c r="C42" s="997">
        <f>ROUND(D5*C22*C23*C44*C28*F42,0)</f>
        <v>0</v>
      </c>
      <c r="D42" s="1357"/>
      <c r="E42" s="997">
        <f t="shared" si="3"/>
        <v>0</v>
      </c>
      <c r="F42" s="1007">
        <f>SUMIF(修正!A57:A68,G2,修正!G57:G68)</f>
        <v>0.15</v>
      </c>
      <c r="G42" s="997">
        <f>ROUND(IF(E2="工业",C42*$M$42,C42*$M$41),0)</f>
        <v>0</v>
      </c>
      <c r="H42" s="997">
        <f t="shared" si="4"/>
        <v>0</v>
      </c>
      <c r="I42" s="997">
        <f t="shared" si="5"/>
        <v>0</v>
      </c>
      <c r="J42" s="1347"/>
      <c r="K42" s="1911"/>
      <c r="L42" s="1365" t="s">
        <v>1233</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2242</v>
      </c>
      <c r="C44" s="804">
        <f>ROUND(POWER(1+E44,H44-G44)*(POWER(1+E44,G44)-1)/(POWER(1+E44,H44)-1),4)</f>
        <v>0</v>
      </c>
      <c r="D44" s="365" t="s">
        <v>2240</v>
      </c>
      <c r="E44" s="2587">
        <f>G24</f>
        <v>0.05</v>
      </c>
      <c r="F44" s="365" t="s">
        <v>2241</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927</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928</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929</v>
      </c>
      <c r="B49" s="3591" t="s">
        <v>930</v>
      </c>
      <c r="C49" s="3592" t="s">
        <v>931</v>
      </c>
      <c r="D49" s="3593" t="s">
        <v>932</v>
      </c>
      <c r="E49" s="3594" t="s">
        <v>934</v>
      </c>
      <c r="F49" s="3463" t="s">
        <v>1608</v>
      </c>
      <c r="G49" s="3593" t="s">
        <v>935</v>
      </c>
      <c r="H49" s="3595" t="s">
        <v>1771</v>
      </c>
      <c r="I49" s="3593" t="s">
        <v>933</v>
      </c>
      <c r="J49" s="3596" t="s">
        <v>936</v>
      </c>
      <c r="K49" s="3596" t="s">
        <v>937</v>
      </c>
      <c r="L49" s="3596" t="s">
        <v>938</v>
      </c>
      <c r="M49" s="3596" t="s">
        <v>939</v>
      </c>
      <c r="N49" s="3596" t="s">
        <v>940</v>
      </c>
      <c r="P49" s="1920"/>
      <c r="Q49" s="1920"/>
      <c r="R49" s="1920"/>
      <c r="S49" s="1920"/>
      <c r="T49" s="1920"/>
      <c r="U49" s="1920"/>
      <c r="V49" s="1920"/>
      <c r="W49" s="1920"/>
      <c r="X49" s="1920"/>
      <c r="Y49" s="1920"/>
      <c r="Z49" s="1920"/>
      <c r="AA49" s="1920"/>
      <c r="AB49" s="1920"/>
      <c r="AC49" s="1920"/>
      <c r="AD49" s="1920"/>
    </row>
    <row r="50" spans="1:30" s="3584" customFormat="1" ht="36">
      <c r="A50" s="3590" t="s">
        <v>941</v>
      </c>
      <c r="B50" s="3597" t="str">
        <f>估价对象房地状况!C16</f>
        <v>估价对象位于XX商圈，周边商业氛围成熟，人流量大，商业繁华度好</v>
      </c>
      <c r="C50" s="3598"/>
      <c r="D50" s="3599">
        <f t="shared" ref="D50:D58" si="6">SUMIF($J$49:$N$49,C50,J50:N50)</f>
        <v>0</v>
      </c>
      <c r="E50" s="3600">
        <f>ROUND(SUM(D50:D58),4)</f>
        <v>0</v>
      </c>
      <c r="F50" s="3601" t="str">
        <f>IF(E2="商业",SUMIF(L1:L12,G2,N1:N12),"——")</f>
        <v>——</v>
      </c>
      <c r="G50" s="3602"/>
      <c r="H50" s="3603" t="str">
        <f t="shared" ref="H50:H58" si="7">IFERROR(ROUNDDOWN(($F$50*I50/2),4),"——")</f>
        <v>——</v>
      </c>
      <c r="I50" s="3577">
        <v>0.3</v>
      </c>
      <c r="J50" s="3604">
        <f t="shared" ref="J50:J58" si="8">K50+$G50</f>
        <v>0</v>
      </c>
      <c r="K50" s="3604">
        <f t="shared" ref="K50:K58" si="9">$L50+$G50</f>
        <v>0</v>
      </c>
      <c r="L50" s="3604">
        <v>0</v>
      </c>
      <c r="M50" s="3604">
        <f t="shared" ref="M50:N58" si="10">L50-$G50</f>
        <v>0</v>
      </c>
      <c r="N50" s="3604">
        <f t="shared" si="10"/>
        <v>0</v>
      </c>
      <c r="P50" s="1920"/>
      <c r="Q50" s="1920"/>
      <c r="R50" s="1920"/>
      <c r="S50" s="1920"/>
      <c r="T50" s="1920"/>
      <c r="U50" s="1920"/>
      <c r="V50" s="1920"/>
      <c r="W50" s="1920"/>
      <c r="X50" s="1920"/>
      <c r="Y50" s="1920"/>
      <c r="Z50" s="1920"/>
      <c r="AA50" s="1920"/>
      <c r="AB50" s="1920"/>
      <c r="AC50" s="1920"/>
      <c r="AD50" s="1920"/>
    </row>
    <row r="51" spans="1:30" s="3584" customFormat="1" ht="48">
      <c r="A51" s="3590" t="s">
        <v>942</v>
      </c>
      <c r="B51" s="3591" t="str">
        <f>估价对象房地状况!C18</f>
        <v>估价对象周边道路状况、公共交通通达情况、停车便捷程度，综合评价交通便捷度较好</v>
      </c>
      <c r="C51" s="3598"/>
      <c r="D51" s="3599">
        <f t="shared" si="6"/>
        <v>0</v>
      </c>
      <c r="E51" s="3605"/>
      <c r="F51" s="3601"/>
      <c r="G51" s="3602"/>
      <c r="H51" s="3603" t="str">
        <f t="shared" si="7"/>
        <v>——</v>
      </c>
      <c r="I51" s="3577">
        <v>0.22</v>
      </c>
      <c r="J51" s="3604">
        <f t="shared" si="8"/>
        <v>0</v>
      </c>
      <c r="K51" s="3604">
        <f t="shared" si="9"/>
        <v>0</v>
      </c>
      <c r="L51" s="3604">
        <v>0</v>
      </c>
      <c r="M51" s="3604">
        <f t="shared" si="10"/>
        <v>0</v>
      </c>
      <c r="N51" s="3604">
        <f t="shared" si="10"/>
        <v>0</v>
      </c>
      <c r="P51" s="1920"/>
      <c r="Q51" s="1920"/>
      <c r="R51" s="1920"/>
      <c r="S51" s="1920"/>
      <c r="T51" s="1920"/>
      <c r="U51" s="1920"/>
      <c r="V51" s="1920"/>
      <c r="W51" s="1920"/>
      <c r="X51" s="1920"/>
      <c r="Y51" s="1920"/>
      <c r="Z51" s="1920"/>
      <c r="AA51" s="1920"/>
      <c r="AB51" s="1920"/>
      <c r="AC51" s="1920"/>
      <c r="AD51" s="1920"/>
    </row>
    <row r="52" spans="1:30" s="3584" customFormat="1" ht="48">
      <c r="A52" s="3572" t="s">
        <v>3216</v>
      </c>
      <c r="B52" s="3591">
        <f>估价对象房地状况!C19</f>
        <v>0</v>
      </c>
      <c r="C52" s="3598"/>
      <c r="D52" s="3599">
        <f t="shared" si="6"/>
        <v>0</v>
      </c>
      <c r="E52" s="3605"/>
      <c r="F52" s="3601"/>
      <c r="G52" s="3602"/>
      <c r="H52" s="3603" t="str">
        <f t="shared" si="7"/>
        <v>——</v>
      </c>
      <c r="I52" s="3577">
        <v>0.12</v>
      </c>
      <c r="J52" s="3604">
        <f t="shared" si="8"/>
        <v>0</v>
      </c>
      <c r="K52" s="3604">
        <f t="shared" si="9"/>
        <v>0</v>
      </c>
      <c r="L52" s="3604">
        <v>0</v>
      </c>
      <c r="M52" s="3604">
        <f t="shared" si="10"/>
        <v>0</v>
      </c>
      <c r="N52" s="3604">
        <f t="shared" si="10"/>
        <v>0</v>
      </c>
      <c r="P52" s="1920"/>
      <c r="Q52" s="1920"/>
      <c r="R52" s="1920"/>
      <c r="S52" s="1920"/>
      <c r="T52" s="1920"/>
      <c r="U52" s="1920"/>
      <c r="V52" s="1920"/>
      <c r="W52" s="1920"/>
      <c r="X52" s="1920"/>
      <c r="Y52" s="1920"/>
      <c r="Z52" s="1920"/>
      <c r="AA52" s="1920"/>
      <c r="AB52" s="1920"/>
      <c r="AC52" s="1920"/>
      <c r="AD52" s="1920"/>
    </row>
    <row r="53" spans="1:30" s="3584" customFormat="1" ht="36">
      <c r="A53" s="3590" t="s">
        <v>944</v>
      </c>
      <c r="B53" s="3606" t="s">
        <v>2199</v>
      </c>
      <c r="C53" s="3598"/>
      <c r="D53" s="3599">
        <f t="shared" si="6"/>
        <v>0</v>
      </c>
      <c r="E53" s="3605"/>
      <c r="F53" s="3601"/>
      <c r="G53" s="3602"/>
      <c r="H53" s="3603" t="str">
        <f t="shared" si="7"/>
        <v>——</v>
      </c>
      <c r="I53" s="3577">
        <v>0.05</v>
      </c>
      <c r="J53" s="3604">
        <f t="shared" si="8"/>
        <v>0</v>
      </c>
      <c r="K53" s="3604">
        <f t="shared" si="9"/>
        <v>0</v>
      </c>
      <c r="L53" s="3604">
        <v>0</v>
      </c>
      <c r="M53" s="3604">
        <f t="shared" si="10"/>
        <v>0</v>
      </c>
      <c r="N53" s="3604">
        <f t="shared" si="10"/>
        <v>0</v>
      </c>
      <c r="P53" s="1920"/>
      <c r="Q53" s="1920"/>
      <c r="R53" s="1920"/>
      <c r="S53" s="1920"/>
      <c r="T53" s="1920"/>
      <c r="U53" s="1920"/>
      <c r="V53" s="1920"/>
      <c r="W53" s="1920"/>
      <c r="X53" s="1920"/>
      <c r="Y53" s="1920"/>
      <c r="Z53" s="1920"/>
      <c r="AA53" s="1920"/>
      <c r="AB53" s="1920"/>
      <c r="AC53" s="1920"/>
      <c r="AD53" s="1920"/>
    </row>
    <row r="54" spans="1:30" s="3584" customFormat="1" ht="24">
      <c r="A54" s="3590" t="s">
        <v>945</v>
      </c>
      <c r="B54" s="3591">
        <f>估价对象房地状况!C24</f>
        <v>0</v>
      </c>
      <c r="C54" s="3598"/>
      <c r="D54" s="3599">
        <f t="shared" si="6"/>
        <v>0</v>
      </c>
      <c r="E54" s="3605"/>
      <c r="F54" s="3601"/>
      <c r="G54" s="3602"/>
      <c r="H54" s="3603" t="str">
        <f t="shared" si="7"/>
        <v>——</v>
      </c>
      <c r="I54" s="3577">
        <v>0.08</v>
      </c>
      <c r="J54" s="3604">
        <f t="shared" si="8"/>
        <v>0</v>
      </c>
      <c r="K54" s="3604">
        <f t="shared" si="9"/>
        <v>0</v>
      </c>
      <c r="L54" s="3604">
        <v>0</v>
      </c>
      <c r="M54" s="3604">
        <f t="shared" si="10"/>
        <v>0</v>
      </c>
      <c r="N54" s="3604">
        <f t="shared" si="10"/>
        <v>0</v>
      </c>
      <c r="P54" s="1920"/>
      <c r="Q54" s="1920"/>
      <c r="R54" s="1920"/>
      <c r="S54" s="1920"/>
      <c r="T54" s="1920"/>
      <c r="U54" s="1920"/>
      <c r="V54" s="1920"/>
      <c r="W54" s="1920"/>
      <c r="X54" s="1920"/>
      <c r="Y54" s="1920"/>
      <c r="Z54" s="1920"/>
      <c r="AA54" s="1920"/>
      <c r="AB54" s="1920"/>
      <c r="AC54" s="1920"/>
      <c r="AD54" s="1920"/>
    </row>
    <row r="55" spans="1:30" s="3584" customFormat="1" ht="36">
      <c r="A55" s="3590" t="s">
        <v>946</v>
      </c>
      <c r="B55" s="3607" t="s">
        <v>2198</v>
      </c>
      <c r="C55" s="3598"/>
      <c r="D55" s="3599">
        <f t="shared" si="6"/>
        <v>0</v>
      </c>
      <c r="E55" s="3605"/>
      <c r="F55" s="3601"/>
      <c r="G55" s="3602"/>
      <c r="H55" s="3603" t="str">
        <f t="shared" si="7"/>
        <v>——</v>
      </c>
      <c r="I55" s="3577">
        <v>0.05</v>
      </c>
      <c r="J55" s="3604">
        <f t="shared" si="8"/>
        <v>0</v>
      </c>
      <c r="K55" s="3604">
        <f t="shared" si="9"/>
        <v>0</v>
      </c>
      <c r="L55" s="3604">
        <v>0</v>
      </c>
      <c r="M55" s="3604">
        <f t="shared" si="10"/>
        <v>0</v>
      </c>
      <c r="N55" s="3604">
        <f t="shared" si="10"/>
        <v>0</v>
      </c>
      <c r="P55" s="1920"/>
      <c r="Q55" s="1920"/>
      <c r="R55" s="1920"/>
      <c r="S55" s="1920"/>
      <c r="T55" s="1920"/>
      <c r="U55" s="1920"/>
      <c r="V55" s="1920"/>
      <c r="W55" s="1920"/>
      <c r="X55" s="1920"/>
      <c r="Y55" s="1920"/>
      <c r="Z55" s="1920"/>
      <c r="AA55" s="1920"/>
      <c r="AB55" s="1920"/>
      <c r="AC55" s="1920"/>
      <c r="AD55" s="1920"/>
    </row>
    <row r="56" spans="1:30" s="3584" customFormat="1" ht="24">
      <c r="A56" s="3608" t="s">
        <v>947</v>
      </c>
      <c r="B56" s="3609" t="str">
        <f>估价对象房地状况!C21</f>
        <v>估价对象所在区域公共配套设施齐备情况</v>
      </c>
      <c r="C56" s="3598"/>
      <c r="D56" s="3599">
        <f t="shared" si="6"/>
        <v>0</v>
      </c>
      <c r="E56" s="3605"/>
      <c r="F56" s="3601"/>
      <c r="G56" s="3602"/>
      <c r="H56" s="3603" t="str">
        <f t="shared" si="7"/>
        <v>——</v>
      </c>
      <c r="I56" s="3577">
        <v>0.05</v>
      </c>
      <c r="J56" s="3604">
        <f t="shared" si="8"/>
        <v>0</v>
      </c>
      <c r="K56" s="3604">
        <f t="shared" si="9"/>
        <v>0</v>
      </c>
      <c r="L56" s="3604">
        <v>0</v>
      </c>
      <c r="M56" s="3604">
        <f t="shared" si="10"/>
        <v>0</v>
      </c>
      <c r="N56" s="3604">
        <f t="shared" si="10"/>
        <v>0</v>
      </c>
      <c r="P56" s="1920"/>
      <c r="Q56" s="1920"/>
      <c r="R56" s="1920"/>
      <c r="S56" s="1920"/>
      <c r="T56" s="1920"/>
      <c r="U56" s="1920"/>
      <c r="V56" s="1920"/>
      <c r="W56" s="1920"/>
      <c r="X56" s="1920"/>
      <c r="Y56" s="1920"/>
      <c r="Z56" s="1920"/>
      <c r="AA56" s="1920"/>
      <c r="AB56" s="1920"/>
      <c r="AC56" s="1920"/>
      <c r="AD56" s="1920"/>
    </row>
    <row r="57" spans="1:30" s="3584" customFormat="1" ht="24">
      <c r="A57" s="3608" t="s">
        <v>948</v>
      </c>
      <c r="B57" s="3591" t="str">
        <f>估价对象房地状况!C22</f>
        <v>估价对象所在区域基础设施水平</v>
      </c>
      <c r="C57" s="3598"/>
      <c r="D57" s="3599">
        <f t="shared" si="6"/>
        <v>0</v>
      </c>
      <c r="E57" s="3605"/>
      <c r="F57" s="3601"/>
      <c r="G57" s="3602"/>
      <c r="H57" s="3603" t="str">
        <f t="shared" si="7"/>
        <v>——</v>
      </c>
      <c r="I57" s="3577">
        <v>0.08</v>
      </c>
      <c r="J57" s="3604">
        <f t="shared" si="8"/>
        <v>0</v>
      </c>
      <c r="K57" s="3604">
        <f t="shared" si="9"/>
        <v>0</v>
      </c>
      <c r="L57" s="3604">
        <v>0</v>
      </c>
      <c r="M57" s="3604">
        <f t="shared" si="10"/>
        <v>0</v>
      </c>
      <c r="N57" s="3604">
        <f t="shared" si="10"/>
        <v>0</v>
      </c>
      <c r="P57" s="1920"/>
      <c r="Q57" s="1920"/>
      <c r="R57" s="1920"/>
      <c r="S57" s="1920"/>
      <c r="T57" s="1920"/>
      <c r="U57" s="1920"/>
      <c r="V57" s="1920"/>
      <c r="W57" s="1920"/>
      <c r="X57" s="1920"/>
      <c r="Y57" s="1920"/>
      <c r="Z57" s="1920"/>
      <c r="AA57" s="1920"/>
      <c r="AB57" s="1920"/>
      <c r="AC57" s="1920"/>
      <c r="AD57" s="1920"/>
    </row>
    <row r="58" spans="1:30" s="3584" customFormat="1" ht="36.6" thickBot="1">
      <c r="A58" s="3610" t="s">
        <v>949</v>
      </c>
      <c r="B58" s="3611" t="str">
        <f>估价对象房地状况!C20</f>
        <v>区域自然环境：；人文环境；综合评价环境状况一般</v>
      </c>
      <c r="C58" s="3598"/>
      <c r="D58" s="3599">
        <f t="shared" si="6"/>
        <v>0</v>
      </c>
      <c r="E58" s="3612"/>
      <c r="F58" s="3601"/>
      <c r="G58" s="3602"/>
      <c r="H58" s="3603" t="str">
        <f t="shared" si="7"/>
        <v>——</v>
      </c>
      <c r="I58" s="3579">
        <v>0.05</v>
      </c>
      <c r="J58" s="3604">
        <f t="shared" si="8"/>
        <v>0</v>
      </c>
      <c r="K58" s="3604">
        <f t="shared" si="9"/>
        <v>0</v>
      </c>
      <c r="L58" s="3604">
        <v>0</v>
      </c>
      <c r="M58" s="3604">
        <f t="shared" si="10"/>
        <v>0</v>
      </c>
      <c r="N58" s="3604">
        <f t="shared" si="10"/>
        <v>0</v>
      </c>
      <c r="P58" s="1920"/>
      <c r="Q58" s="1920"/>
      <c r="R58" s="1920"/>
      <c r="S58" s="1920"/>
      <c r="T58" s="1920"/>
      <c r="U58" s="1920"/>
      <c r="V58" s="1920"/>
      <c r="W58" s="1920"/>
      <c r="X58" s="1920"/>
      <c r="Y58" s="1920"/>
      <c r="Z58" s="1920"/>
      <c r="AA58" s="1920"/>
      <c r="AB58" s="1920"/>
      <c r="AC58" s="1920"/>
      <c r="AD58" s="1920"/>
    </row>
    <row r="59" spans="1:30" s="3584" customFormat="1" ht="14.4">
      <c r="A59" s="3585" t="s">
        <v>950</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929</v>
      </c>
      <c r="B60" s="3591"/>
      <c r="C60" s="3592" t="s">
        <v>931</v>
      </c>
      <c r="D60" s="3593" t="s">
        <v>932</v>
      </c>
      <c r="E60" s="3594" t="s">
        <v>934</v>
      </c>
      <c r="F60" s="3463" t="s">
        <v>1609</v>
      </c>
      <c r="G60" s="3593" t="s">
        <v>935</v>
      </c>
      <c r="H60" s="3595" t="s">
        <v>1771</v>
      </c>
      <c r="I60" s="3593" t="s">
        <v>933</v>
      </c>
      <c r="J60" s="3596" t="s">
        <v>936</v>
      </c>
      <c r="K60" s="3596" t="s">
        <v>937</v>
      </c>
      <c r="L60" s="3596" t="s">
        <v>938</v>
      </c>
      <c r="M60" s="3596" t="s">
        <v>939</v>
      </c>
      <c r="N60" s="3596" t="s">
        <v>940</v>
      </c>
      <c r="P60" s="1920"/>
      <c r="Q60" s="1920"/>
      <c r="R60" s="1920"/>
      <c r="S60" s="1920"/>
      <c r="T60" s="1920"/>
      <c r="U60" s="1920"/>
      <c r="V60" s="1920"/>
      <c r="W60" s="1920"/>
      <c r="X60" s="1920"/>
      <c r="Y60" s="1920"/>
      <c r="Z60" s="1920"/>
      <c r="AA60" s="1920"/>
      <c r="AB60" s="1920"/>
      <c r="AC60" s="1920"/>
      <c r="AD60" s="1920"/>
    </row>
    <row r="61" spans="1:30" s="3584" customFormat="1" ht="36">
      <c r="A61" s="3590" t="s">
        <v>951</v>
      </c>
      <c r="B61" s="3597" t="str">
        <f>估价对象房地状况!C17</f>
        <v>估价对象位于XX商圈，周边办公楼项目较多，入驻率高，办公集聚程度较好</v>
      </c>
      <c r="C61" s="3598"/>
      <c r="D61" s="3599">
        <f t="shared" ref="D61:D69" si="11">SUMIF($J$60:$N$60,C61,J61:N61)</f>
        <v>0</v>
      </c>
      <c r="E61" s="3600">
        <f>ROUND(SUM(D61:D69),4)</f>
        <v>0</v>
      </c>
      <c r="F61" s="3601" t="str">
        <f>IF(E2="办公",SUMIF(L1:L12,G2,N1:N12),"——")</f>
        <v>——</v>
      </c>
      <c r="G61" s="3602"/>
      <c r="H61" s="3603" t="str">
        <f>IFERROR(ROUNDDOWN($F$61*I61/2,4),"——")</f>
        <v>——</v>
      </c>
      <c r="I61" s="3577">
        <v>0.25</v>
      </c>
      <c r="J61" s="3604">
        <f t="shared" ref="J61:J69" si="12">K61+$G61</f>
        <v>0</v>
      </c>
      <c r="K61" s="3604">
        <f t="shared" ref="K61:K69" si="13">$L61+$G61</f>
        <v>0</v>
      </c>
      <c r="L61" s="3604">
        <v>0</v>
      </c>
      <c r="M61" s="3604">
        <f t="shared" ref="M61:N69" si="14">L61-$G61</f>
        <v>0</v>
      </c>
      <c r="N61" s="3604">
        <f t="shared" si="14"/>
        <v>0</v>
      </c>
      <c r="P61" s="1920"/>
      <c r="Q61" s="1920"/>
      <c r="R61" s="1920"/>
      <c r="S61" s="1920"/>
      <c r="T61" s="1920"/>
      <c r="U61" s="1920"/>
      <c r="V61" s="1920"/>
      <c r="W61" s="1920"/>
      <c r="X61" s="1920"/>
      <c r="Y61" s="1920"/>
      <c r="Z61" s="1920"/>
      <c r="AA61" s="1920"/>
      <c r="AB61" s="1920"/>
      <c r="AC61" s="1920"/>
      <c r="AD61" s="1920"/>
    </row>
    <row r="62" spans="1:30" s="3584" customFormat="1" ht="48">
      <c r="A62" s="3590" t="s">
        <v>942</v>
      </c>
      <c r="B62" s="3591" t="str">
        <f>估价对象房地状况!C18</f>
        <v>估价对象周边道路状况、公共交通通达情况、停车便捷程度，综合评价交通便捷度较好</v>
      </c>
      <c r="C62" s="3598"/>
      <c r="D62" s="3599">
        <f t="shared" si="11"/>
        <v>0</v>
      </c>
      <c r="E62" s="3605"/>
      <c r="F62" s="3601"/>
      <c r="G62" s="3602"/>
      <c r="H62" s="3603" t="str">
        <f t="shared" ref="H62:H69" si="15">IFERROR(ROUNDDOWN($F$61*I62/2,4),"——")</f>
        <v>——</v>
      </c>
      <c r="I62" s="3577">
        <v>0.26</v>
      </c>
      <c r="J62" s="3604">
        <f t="shared" si="12"/>
        <v>0</v>
      </c>
      <c r="K62" s="3604">
        <f t="shared" si="13"/>
        <v>0</v>
      </c>
      <c r="L62" s="3604">
        <v>0</v>
      </c>
      <c r="M62" s="3604">
        <f t="shared" si="14"/>
        <v>0</v>
      </c>
      <c r="N62" s="3604">
        <f t="shared" si="14"/>
        <v>0</v>
      </c>
      <c r="P62" s="1920"/>
      <c r="Q62" s="1920"/>
      <c r="R62" s="1920"/>
      <c r="S62" s="1920"/>
      <c r="T62" s="1920"/>
      <c r="U62" s="1920"/>
      <c r="V62" s="1920"/>
      <c r="W62" s="1920"/>
      <c r="X62" s="1920"/>
      <c r="Y62" s="1920"/>
      <c r="Z62" s="1920"/>
      <c r="AA62" s="1920"/>
      <c r="AB62" s="1920"/>
      <c r="AC62" s="1920"/>
      <c r="AD62" s="1920"/>
    </row>
    <row r="63" spans="1:30" s="3584" customFormat="1" ht="48">
      <c r="A63" s="3572" t="s">
        <v>3216</v>
      </c>
      <c r="B63" s="3591">
        <f>估价对象房地状况!C19</f>
        <v>0</v>
      </c>
      <c r="C63" s="3598"/>
      <c r="D63" s="3599">
        <f t="shared" si="11"/>
        <v>0</v>
      </c>
      <c r="E63" s="3605"/>
      <c r="F63" s="3601"/>
      <c r="G63" s="3602"/>
      <c r="H63" s="3603" t="str">
        <f t="shared" si="15"/>
        <v>——</v>
      </c>
      <c r="I63" s="3577">
        <v>0.11</v>
      </c>
      <c r="J63" s="3604">
        <f t="shared" si="12"/>
        <v>0</v>
      </c>
      <c r="K63" s="3604">
        <f t="shared" si="13"/>
        <v>0</v>
      </c>
      <c r="L63" s="3604">
        <v>0</v>
      </c>
      <c r="M63" s="3604">
        <f t="shared" si="14"/>
        <v>0</v>
      </c>
      <c r="N63" s="3604">
        <f t="shared" si="14"/>
        <v>0</v>
      </c>
      <c r="P63" s="1920"/>
      <c r="Q63" s="1920"/>
      <c r="R63" s="1920"/>
      <c r="S63" s="1920"/>
      <c r="T63" s="1920"/>
      <c r="U63" s="1920"/>
      <c r="V63" s="1920"/>
      <c r="W63" s="1920"/>
      <c r="X63" s="1920"/>
      <c r="Y63" s="1920"/>
      <c r="Z63" s="1920"/>
      <c r="AA63" s="1920"/>
      <c r="AB63" s="1920"/>
      <c r="AC63" s="1920"/>
      <c r="AD63" s="1920"/>
    </row>
    <row r="64" spans="1:30" s="3584" customFormat="1" ht="36">
      <c r="A64" s="3590" t="s">
        <v>944</v>
      </c>
      <c r="B64" s="3606" t="s">
        <v>2200</v>
      </c>
      <c r="C64" s="3598"/>
      <c r="D64" s="3599">
        <f t="shared" si="11"/>
        <v>0</v>
      </c>
      <c r="E64" s="3605"/>
      <c r="F64" s="3601"/>
      <c r="G64" s="3602"/>
      <c r="H64" s="3603" t="str">
        <f t="shared" si="15"/>
        <v>——</v>
      </c>
      <c r="I64" s="3577">
        <v>0.05</v>
      </c>
      <c r="J64" s="3604">
        <f t="shared" si="12"/>
        <v>0</v>
      </c>
      <c r="K64" s="3604">
        <f t="shared" si="13"/>
        <v>0</v>
      </c>
      <c r="L64" s="3604">
        <v>0</v>
      </c>
      <c r="M64" s="3604">
        <f t="shared" si="14"/>
        <v>0</v>
      </c>
      <c r="N64" s="3604">
        <f t="shared" si="14"/>
        <v>0</v>
      </c>
      <c r="P64" s="1920"/>
      <c r="Q64" s="1920"/>
      <c r="R64" s="1920"/>
      <c r="S64" s="1920"/>
      <c r="T64" s="1920"/>
      <c r="U64" s="1920"/>
      <c r="V64" s="1920"/>
      <c r="W64" s="1920"/>
      <c r="X64" s="1920"/>
      <c r="Y64" s="1920"/>
      <c r="Z64" s="1920"/>
      <c r="AA64" s="1920"/>
      <c r="AB64" s="1920"/>
      <c r="AC64" s="1920"/>
      <c r="AD64" s="1920"/>
    </row>
    <row r="65" spans="1:36" s="3584" customFormat="1" ht="24">
      <c r="A65" s="3590" t="s">
        <v>945</v>
      </c>
      <c r="B65" s="3591">
        <f>估价对象房地状况!C24</f>
        <v>0</v>
      </c>
      <c r="C65" s="3598"/>
      <c r="D65" s="3599">
        <f t="shared" si="11"/>
        <v>0</v>
      </c>
      <c r="E65" s="3605"/>
      <c r="F65" s="3601"/>
      <c r="G65" s="3602"/>
      <c r="H65" s="3603" t="str">
        <f t="shared" si="15"/>
        <v>——</v>
      </c>
      <c r="I65" s="3577">
        <v>0.05</v>
      </c>
      <c r="J65" s="3604">
        <f t="shared" si="12"/>
        <v>0</v>
      </c>
      <c r="K65" s="3604">
        <f t="shared" si="13"/>
        <v>0</v>
      </c>
      <c r="L65" s="3604">
        <v>0</v>
      </c>
      <c r="M65" s="3604">
        <f t="shared" si="14"/>
        <v>0</v>
      </c>
      <c r="N65" s="3604">
        <f t="shared" si="14"/>
        <v>0</v>
      </c>
      <c r="P65" s="1920"/>
      <c r="Q65" s="1920"/>
      <c r="R65" s="1920"/>
      <c r="S65" s="1920"/>
      <c r="T65" s="1920"/>
      <c r="U65" s="1920"/>
      <c r="V65" s="1920"/>
      <c r="W65" s="1920"/>
      <c r="X65" s="1920"/>
      <c r="Y65" s="1920"/>
      <c r="Z65" s="1920"/>
      <c r="AA65" s="1920"/>
      <c r="AB65" s="1920"/>
      <c r="AC65" s="1920"/>
      <c r="AD65" s="1920"/>
    </row>
    <row r="66" spans="1:36" s="3584" customFormat="1" ht="36">
      <c r="A66" s="3590" t="s">
        <v>946</v>
      </c>
      <c r="B66" s="3607" t="s">
        <v>2198</v>
      </c>
      <c r="C66" s="3598"/>
      <c r="D66" s="3599">
        <f t="shared" si="11"/>
        <v>0</v>
      </c>
      <c r="E66" s="3605"/>
      <c r="F66" s="3601"/>
      <c r="G66" s="3602"/>
      <c r="H66" s="3603" t="str">
        <f t="shared" si="15"/>
        <v>——</v>
      </c>
      <c r="I66" s="3577">
        <v>0.06</v>
      </c>
      <c r="J66" s="3604">
        <f t="shared" si="12"/>
        <v>0</v>
      </c>
      <c r="K66" s="3604">
        <f t="shared" si="13"/>
        <v>0</v>
      </c>
      <c r="L66" s="3604">
        <v>0</v>
      </c>
      <c r="M66" s="3604">
        <f t="shared" si="14"/>
        <v>0</v>
      </c>
      <c r="N66" s="3604">
        <f t="shared" si="14"/>
        <v>0</v>
      </c>
      <c r="P66" s="1920"/>
      <c r="Q66" s="1920"/>
      <c r="R66" s="1920"/>
      <c r="S66" s="1920"/>
      <c r="T66" s="1920"/>
      <c r="U66" s="1920"/>
      <c r="V66" s="1920"/>
      <c r="W66" s="1920"/>
      <c r="X66" s="1920"/>
      <c r="Y66" s="1920"/>
      <c r="Z66" s="1920"/>
      <c r="AA66" s="1920"/>
      <c r="AB66" s="1920"/>
      <c r="AC66" s="1920"/>
      <c r="AD66" s="1920"/>
    </row>
    <row r="67" spans="1:36" s="3584" customFormat="1" ht="24">
      <c r="A67" s="3590" t="s">
        <v>947</v>
      </c>
      <c r="B67" s="3609" t="str">
        <f>估价对象房地状况!C21</f>
        <v>估价对象所在区域公共配套设施齐备情况</v>
      </c>
      <c r="C67" s="3598"/>
      <c r="D67" s="3599">
        <f t="shared" si="11"/>
        <v>0</v>
      </c>
      <c r="E67" s="3605"/>
      <c r="F67" s="3601"/>
      <c r="G67" s="3602"/>
      <c r="H67" s="3603" t="str">
        <f t="shared" si="15"/>
        <v>——</v>
      </c>
      <c r="I67" s="3577">
        <v>0.06</v>
      </c>
      <c r="J67" s="3604">
        <f t="shared" si="12"/>
        <v>0</v>
      </c>
      <c r="K67" s="3604">
        <f t="shared" si="13"/>
        <v>0</v>
      </c>
      <c r="L67" s="3604">
        <v>0</v>
      </c>
      <c r="M67" s="3604">
        <f t="shared" si="14"/>
        <v>0</v>
      </c>
      <c r="N67" s="3604">
        <f t="shared" si="14"/>
        <v>0</v>
      </c>
      <c r="P67" s="1920"/>
      <c r="Q67" s="1920"/>
      <c r="R67" s="1920"/>
      <c r="S67" s="1920"/>
      <c r="T67" s="1920"/>
      <c r="U67" s="1920"/>
      <c r="V67" s="1920"/>
      <c r="W67" s="1920"/>
      <c r="X67" s="1920"/>
      <c r="Y67" s="1920"/>
      <c r="Z67" s="1920"/>
      <c r="AA67" s="1920"/>
      <c r="AB67" s="1920"/>
      <c r="AC67" s="1920"/>
      <c r="AD67" s="1920"/>
    </row>
    <row r="68" spans="1:36" s="3584" customFormat="1" ht="24">
      <c r="A68" s="3590" t="s">
        <v>948</v>
      </c>
      <c r="B68" s="3609" t="str">
        <f>估价对象房地状况!C22</f>
        <v>估价对象所在区域基础设施水平</v>
      </c>
      <c r="C68" s="3598"/>
      <c r="D68" s="3599">
        <f t="shared" si="11"/>
        <v>0</v>
      </c>
      <c r="E68" s="3605"/>
      <c r="F68" s="3601"/>
      <c r="G68" s="3602"/>
      <c r="H68" s="3603" t="str">
        <f t="shared" si="15"/>
        <v>——</v>
      </c>
      <c r="I68" s="3577">
        <v>0.09</v>
      </c>
      <c r="J68" s="3604">
        <f t="shared" si="12"/>
        <v>0</v>
      </c>
      <c r="K68" s="3604">
        <f t="shared" si="13"/>
        <v>0</v>
      </c>
      <c r="L68" s="3604">
        <v>0</v>
      </c>
      <c r="M68" s="3604">
        <f t="shared" si="14"/>
        <v>0</v>
      </c>
      <c r="N68" s="3604">
        <f t="shared" si="14"/>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949</v>
      </c>
      <c r="B69" s="3614" t="str">
        <f>估价对象房地状况!C20</f>
        <v>区域自然环境：；人文环境；综合评价环境状况一般</v>
      </c>
      <c r="C69" s="3598"/>
      <c r="D69" s="3599">
        <f t="shared" si="11"/>
        <v>0</v>
      </c>
      <c r="E69" s="3612"/>
      <c r="F69" s="3601"/>
      <c r="G69" s="3602"/>
      <c r="H69" s="3603" t="str">
        <f t="shared" si="15"/>
        <v>——</v>
      </c>
      <c r="I69" s="3579">
        <v>7.0000000000000007E-2</v>
      </c>
      <c r="J69" s="3604">
        <f t="shared" si="12"/>
        <v>0</v>
      </c>
      <c r="K69" s="3604">
        <f t="shared" si="13"/>
        <v>0</v>
      </c>
      <c r="L69" s="3604">
        <v>0</v>
      </c>
      <c r="M69" s="3604">
        <f t="shared" si="14"/>
        <v>0</v>
      </c>
      <c r="N69" s="3604">
        <f t="shared" si="14"/>
        <v>0</v>
      </c>
      <c r="P69" s="1920"/>
      <c r="Q69" s="1920"/>
      <c r="R69" s="1920"/>
      <c r="S69" s="1920"/>
      <c r="T69" s="1920"/>
      <c r="U69" s="1920"/>
      <c r="V69" s="1920"/>
      <c r="W69" s="1920"/>
      <c r="X69" s="1920"/>
      <c r="Y69" s="1920"/>
      <c r="Z69" s="1920"/>
      <c r="AA69" s="1920"/>
      <c r="AB69" s="1920"/>
      <c r="AC69" s="1920"/>
      <c r="AD69" s="1920"/>
    </row>
    <row r="70" spans="1:36" s="3584" customFormat="1" ht="14.4">
      <c r="A70" s="3585" t="s">
        <v>952</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929</v>
      </c>
      <c r="B71" s="3591"/>
      <c r="C71" s="3592" t="s">
        <v>931</v>
      </c>
      <c r="D71" s="3593" t="s">
        <v>932</v>
      </c>
      <c r="E71" s="3594" t="s">
        <v>934</v>
      </c>
      <c r="F71" s="3463" t="s">
        <v>1610</v>
      </c>
      <c r="G71" s="3593" t="s">
        <v>935</v>
      </c>
      <c r="H71" s="3595" t="s">
        <v>1771</v>
      </c>
      <c r="I71" s="3593" t="s">
        <v>933</v>
      </c>
      <c r="J71" s="3596" t="s">
        <v>936</v>
      </c>
      <c r="K71" s="3596" t="s">
        <v>937</v>
      </c>
      <c r="L71" s="3596" t="s">
        <v>938</v>
      </c>
      <c r="M71" s="3596" t="s">
        <v>939</v>
      </c>
      <c r="N71" s="3596" t="s">
        <v>940</v>
      </c>
      <c r="P71" s="1920"/>
      <c r="Q71" s="1920"/>
      <c r="R71" s="1920"/>
      <c r="S71" s="1920"/>
      <c r="T71" s="1920"/>
      <c r="U71" s="1920"/>
      <c r="V71" s="1920"/>
      <c r="W71" s="1920"/>
      <c r="X71" s="1920"/>
      <c r="Y71" s="1920"/>
      <c r="Z71" s="1920"/>
      <c r="AA71" s="1920"/>
      <c r="AB71" s="1920"/>
      <c r="AC71" s="1920"/>
      <c r="AD71" s="1920"/>
    </row>
    <row r="72" spans="1:36" s="3584" customFormat="1" ht="48">
      <c r="A72" s="3590" t="s">
        <v>953</v>
      </c>
      <c r="B72" s="3591" t="str">
        <f>估价对象房地状况!C15</f>
        <v>估价对象周边居住用地比例、居住小区规模和社区发展完善程度，综合评价居住社区成熟度一般</v>
      </c>
      <c r="C72" s="3615"/>
      <c r="D72" s="3599">
        <f t="shared" ref="D72:D80" si="16">SUMIF($J$71:$N$71,C72,J72:N72)</f>
        <v>0</v>
      </c>
      <c r="E72" s="3600">
        <f>ROUND(SUM(D72:D80),4)</f>
        <v>0</v>
      </c>
      <c r="F72" s="3601" t="str">
        <f>IF(E2="住宅",SUMIF(L1:L12,G2,N1:N12),"——")</f>
        <v>——</v>
      </c>
      <c r="G72" s="3616"/>
      <c r="H72" s="3617" t="str">
        <f t="shared" ref="H72:H80" si="17">IFERROR(ROUNDDOWN($F$72*I72/2,4),"——")</f>
        <v>——</v>
      </c>
      <c r="I72" s="3577">
        <v>0.2</v>
      </c>
      <c r="J72" s="3604">
        <f t="shared" ref="J72:J80" si="18">K72+$G72</f>
        <v>0</v>
      </c>
      <c r="K72" s="3604">
        <f t="shared" ref="K72:K80" si="19">$L72+$G72</f>
        <v>0</v>
      </c>
      <c r="L72" s="3604">
        <v>0</v>
      </c>
      <c r="M72" s="3604">
        <f t="shared" ref="M72:N80" si="20">L72-$G72</f>
        <v>0</v>
      </c>
      <c r="N72" s="3604">
        <f t="shared" si="20"/>
        <v>0</v>
      </c>
      <c r="P72" s="1920"/>
      <c r="Q72" s="1920"/>
      <c r="R72" s="1920"/>
      <c r="S72" s="1920"/>
      <c r="T72" s="1920"/>
      <c r="U72" s="1920"/>
      <c r="V72" s="1920"/>
      <c r="W72" s="1920"/>
      <c r="X72" s="1920"/>
      <c r="Y72" s="1920"/>
      <c r="Z72" s="1920"/>
      <c r="AA72" s="1920"/>
      <c r="AB72" s="1920"/>
      <c r="AC72" s="1920"/>
      <c r="AD72" s="1920"/>
    </row>
    <row r="73" spans="1:36" s="3584" customFormat="1" ht="48">
      <c r="A73" s="3590" t="s">
        <v>954</v>
      </c>
      <c r="B73" s="3591" t="str">
        <f>估价对象房地状况!C18</f>
        <v>估价对象周边道路状况、公共交通通达情况、停车便捷程度，综合评价交通便捷度较好</v>
      </c>
      <c r="C73" s="3615"/>
      <c r="D73" s="3599">
        <f t="shared" si="16"/>
        <v>0</v>
      </c>
      <c r="E73" s="3605"/>
      <c r="F73" s="3601"/>
      <c r="G73" s="3616"/>
      <c r="H73" s="3617" t="str">
        <f t="shared" si="17"/>
        <v>——</v>
      </c>
      <c r="I73" s="3577">
        <v>0.26</v>
      </c>
      <c r="J73" s="3604">
        <f t="shared" si="18"/>
        <v>0</v>
      </c>
      <c r="K73" s="3604">
        <f t="shared" si="19"/>
        <v>0</v>
      </c>
      <c r="L73" s="3604">
        <v>0</v>
      </c>
      <c r="M73" s="3604">
        <f t="shared" si="20"/>
        <v>0</v>
      </c>
      <c r="N73" s="3604">
        <f t="shared" si="20"/>
        <v>0</v>
      </c>
      <c r="P73" s="1920"/>
      <c r="Q73" s="1920"/>
      <c r="R73" s="1920"/>
      <c r="S73" s="1920"/>
      <c r="T73" s="1920"/>
      <c r="U73" s="1920"/>
      <c r="V73" s="1920"/>
      <c r="W73" s="1920"/>
      <c r="X73" s="1920"/>
      <c r="Y73" s="1920"/>
      <c r="Z73" s="1920"/>
      <c r="AA73" s="1920"/>
      <c r="AB73" s="1920"/>
      <c r="AC73" s="1920"/>
      <c r="AD73" s="1920"/>
    </row>
    <row r="74" spans="1:36" s="3584" customFormat="1" ht="48">
      <c r="A74" s="3572" t="s">
        <v>3216</v>
      </c>
      <c r="B74" s="3591">
        <f>估价对象房地状况!C19</f>
        <v>0</v>
      </c>
      <c r="C74" s="3615"/>
      <c r="D74" s="3599">
        <f t="shared" si="16"/>
        <v>0</v>
      </c>
      <c r="E74" s="3605"/>
      <c r="F74" s="3601"/>
      <c r="G74" s="3616"/>
      <c r="H74" s="3617" t="str">
        <f t="shared" si="17"/>
        <v>——</v>
      </c>
      <c r="I74" s="3577">
        <v>0.1</v>
      </c>
      <c r="J74" s="3604">
        <f t="shared" si="18"/>
        <v>0</v>
      </c>
      <c r="K74" s="3604">
        <f t="shared" si="19"/>
        <v>0</v>
      </c>
      <c r="L74" s="3604">
        <v>0</v>
      </c>
      <c r="M74" s="3604">
        <f t="shared" si="20"/>
        <v>0</v>
      </c>
      <c r="N74" s="3604">
        <f t="shared" si="20"/>
        <v>0</v>
      </c>
      <c r="P74" s="1920"/>
      <c r="Q74" s="1920"/>
      <c r="R74" s="1920"/>
      <c r="S74" s="1920"/>
      <c r="T74" s="1920"/>
      <c r="U74" s="1920"/>
      <c r="V74" s="1920"/>
      <c r="W74" s="1920"/>
      <c r="X74" s="1920"/>
      <c r="Y74" s="1920"/>
      <c r="Z74" s="1920"/>
      <c r="AA74" s="1920"/>
      <c r="AB74" s="1920"/>
      <c r="AC74" s="1920"/>
      <c r="AD74" s="1920"/>
    </row>
    <row r="75" spans="1:36" s="1348" customFormat="1" ht="13.8">
      <c r="A75" s="3590" t="s">
        <v>955</v>
      </c>
      <c r="B75" s="3591">
        <f>估价对象房地状况!C24</f>
        <v>0</v>
      </c>
      <c r="C75" s="3615"/>
      <c r="D75" s="3599">
        <f t="shared" si="16"/>
        <v>0</v>
      </c>
      <c r="E75" s="3605"/>
      <c r="F75" s="3601"/>
      <c r="G75" s="3616"/>
      <c r="H75" s="3617" t="str">
        <f t="shared" si="17"/>
        <v>——</v>
      </c>
      <c r="I75" s="3577">
        <v>0.05</v>
      </c>
      <c r="J75" s="3604">
        <f t="shared" si="18"/>
        <v>0</v>
      </c>
      <c r="K75" s="3604">
        <f t="shared" si="19"/>
        <v>0</v>
      </c>
      <c r="L75" s="3604">
        <v>0</v>
      </c>
      <c r="M75" s="3604">
        <f t="shared" si="20"/>
        <v>0</v>
      </c>
      <c r="N75" s="3604">
        <f t="shared" si="20"/>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947</v>
      </c>
      <c r="B76" s="3609" t="str">
        <f>估价对象房地状况!C21</f>
        <v>估价对象所在区域公共配套设施齐备情况</v>
      </c>
      <c r="C76" s="3615"/>
      <c r="D76" s="3599">
        <f t="shared" si="16"/>
        <v>0</v>
      </c>
      <c r="E76" s="3605"/>
      <c r="F76" s="3601"/>
      <c r="G76" s="3616"/>
      <c r="H76" s="3617" t="str">
        <f t="shared" si="17"/>
        <v>——</v>
      </c>
      <c r="I76" s="3577">
        <v>0.08</v>
      </c>
      <c r="J76" s="3604">
        <f t="shared" si="18"/>
        <v>0</v>
      </c>
      <c r="K76" s="3604">
        <f t="shared" si="19"/>
        <v>0</v>
      </c>
      <c r="L76" s="3604">
        <v>0</v>
      </c>
      <c r="M76" s="3604">
        <f t="shared" si="20"/>
        <v>0</v>
      </c>
      <c r="N76" s="3604">
        <f t="shared" si="20"/>
        <v>0</v>
      </c>
      <c r="O76" s="3584"/>
      <c r="P76" s="1920"/>
      <c r="Q76" s="1920"/>
      <c r="AE76" s="3584"/>
      <c r="AF76" s="3584"/>
      <c r="AG76" s="3584"/>
      <c r="AH76" s="3584"/>
      <c r="AI76" s="3584"/>
      <c r="AJ76" s="3584"/>
    </row>
    <row r="77" spans="1:36" s="1348" customFormat="1" ht="24">
      <c r="A77" s="3590" t="s">
        <v>948</v>
      </c>
      <c r="B77" s="3609" t="str">
        <f>估价对象房地状况!C22</f>
        <v>估价对象所在区域基础设施水平</v>
      </c>
      <c r="C77" s="3615"/>
      <c r="D77" s="3599">
        <f t="shared" si="16"/>
        <v>0</v>
      </c>
      <c r="E77" s="3605"/>
      <c r="F77" s="3601"/>
      <c r="G77" s="3616"/>
      <c r="H77" s="3617" t="str">
        <f t="shared" si="17"/>
        <v>——</v>
      </c>
      <c r="I77" s="3577">
        <v>0.09</v>
      </c>
      <c r="J77" s="3604">
        <f t="shared" si="18"/>
        <v>0</v>
      </c>
      <c r="K77" s="3604">
        <f t="shared" si="19"/>
        <v>0</v>
      </c>
      <c r="L77" s="3604">
        <v>0</v>
      </c>
      <c r="M77" s="3604">
        <f t="shared" si="20"/>
        <v>0</v>
      </c>
      <c r="N77" s="3604">
        <f t="shared" si="20"/>
        <v>0</v>
      </c>
      <c r="O77" s="3584"/>
      <c r="P77" s="1920"/>
      <c r="Q77" s="1920"/>
      <c r="AE77" s="3584"/>
      <c r="AF77" s="3584"/>
      <c r="AG77" s="3584"/>
      <c r="AH77" s="3584"/>
      <c r="AI77" s="3584"/>
      <c r="AJ77" s="3584"/>
    </row>
    <row r="78" spans="1:36" s="1348" customFormat="1" ht="36">
      <c r="A78" s="3590" t="s">
        <v>946</v>
      </c>
      <c r="B78" s="3607" t="s">
        <v>2198</v>
      </c>
      <c r="C78" s="3615"/>
      <c r="D78" s="3599">
        <f t="shared" si="16"/>
        <v>0</v>
      </c>
      <c r="E78" s="3605"/>
      <c r="F78" s="3601"/>
      <c r="G78" s="3616"/>
      <c r="H78" s="3617" t="str">
        <f t="shared" si="17"/>
        <v>——</v>
      </c>
      <c r="I78" s="3577">
        <v>0.05</v>
      </c>
      <c r="J78" s="3604">
        <f t="shared" si="18"/>
        <v>0</v>
      </c>
      <c r="K78" s="3604">
        <f t="shared" si="19"/>
        <v>0</v>
      </c>
      <c r="L78" s="3604">
        <v>0</v>
      </c>
      <c r="M78" s="3604">
        <f t="shared" si="20"/>
        <v>0</v>
      </c>
      <c r="N78" s="3604">
        <f t="shared" si="20"/>
        <v>0</v>
      </c>
      <c r="O78" s="3584"/>
      <c r="P78" s="1920"/>
      <c r="Q78" s="1920"/>
      <c r="AE78" s="3584"/>
      <c r="AF78" s="3584"/>
      <c r="AG78" s="3584"/>
      <c r="AH78" s="3584"/>
      <c r="AI78" s="3584"/>
      <c r="AJ78" s="3584"/>
    </row>
    <row r="79" spans="1:36" s="1348" customFormat="1" ht="36">
      <c r="A79" s="3590" t="s">
        <v>949</v>
      </c>
      <c r="B79" s="3597" t="str">
        <f>估价对象房地状况!C20</f>
        <v>区域自然环境：；人文环境；综合评价环境状况一般</v>
      </c>
      <c r="C79" s="3615"/>
      <c r="D79" s="3599">
        <f t="shared" si="16"/>
        <v>0</v>
      </c>
      <c r="E79" s="3605"/>
      <c r="F79" s="3601"/>
      <c r="G79" s="3616"/>
      <c r="H79" s="3617" t="str">
        <f t="shared" si="17"/>
        <v>——</v>
      </c>
      <c r="I79" s="3577">
        <v>0.12</v>
      </c>
      <c r="J79" s="3604">
        <f t="shared" si="18"/>
        <v>0</v>
      </c>
      <c r="K79" s="3604">
        <f t="shared" si="19"/>
        <v>0</v>
      </c>
      <c r="L79" s="3604">
        <v>0</v>
      </c>
      <c r="M79" s="3604">
        <f t="shared" si="20"/>
        <v>0</v>
      </c>
      <c r="N79" s="3604">
        <f t="shared" si="20"/>
        <v>0</v>
      </c>
      <c r="P79" s="3618"/>
      <c r="Q79" s="3618"/>
      <c r="AE79" s="3584"/>
      <c r="AF79" s="3584"/>
      <c r="AG79" s="3584"/>
      <c r="AH79" s="3584"/>
      <c r="AI79" s="3584"/>
      <c r="AJ79" s="3584"/>
    </row>
    <row r="80" spans="1:36" s="1348" customFormat="1" ht="36.6" thickBot="1">
      <c r="A80" s="3610" t="s">
        <v>956</v>
      </c>
      <c r="B80" s="3619"/>
      <c r="C80" s="3615"/>
      <c r="D80" s="3599">
        <f t="shared" si="16"/>
        <v>0</v>
      </c>
      <c r="E80" s="3612"/>
      <c r="F80" s="3601"/>
      <c r="G80" s="3616"/>
      <c r="H80" s="3617" t="str">
        <f t="shared" si="17"/>
        <v>——</v>
      </c>
      <c r="I80" s="3579">
        <v>0.05</v>
      </c>
      <c r="J80" s="3604">
        <f t="shared" si="18"/>
        <v>0</v>
      </c>
      <c r="K80" s="3604">
        <f t="shared" si="19"/>
        <v>0</v>
      </c>
      <c r="L80" s="3604">
        <v>0</v>
      </c>
      <c r="M80" s="3604">
        <f t="shared" si="20"/>
        <v>0</v>
      </c>
      <c r="N80" s="3604">
        <f t="shared" si="20"/>
        <v>0</v>
      </c>
      <c r="AE80" s="3584"/>
      <c r="AF80" s="3584"/>
      <c r="AG80" s="3584"/>
      <c r="AH80" s="3584"/>
      <c r="AI80" s="3584"/>
      <c r="AJ80" s="3584"/>
    </row>
    <row r="81" spans="1:36" s="1348" customFormat="1" ht="14.4">
      <c r="A81" s="3585" t="s">
        <v>957</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929</v>
      </c>
      <c r="B82" s="3591"/>
      <c r="C82" s="3592" t="s">
        <v>931</v>
      </c>
      <c r="D82" s="3593" t="s">
        <v>932</v>
      </c>
      <c r="E82" s="3594" t="s">
        <v>934</v>
      </c>
      <c r="F82" s="3463" t="s">
        <v>1611</v>
      </c>
      <c r="G82" s="3593" t="s">
        <v>935</v>
      </c>
      <c r="H82" s="3595" t="s">
        <v>1771</v>
      </c>
      <c r="I82" s="3593" t="s">
        <v>933</v>
      </c>
      <c r="J82" s="3596" t="s">
        <v>936</v>
      </c>
      <c r="K82" s="3596" t="s">
        <v>937</v>
      </c>
      <c r="L82" s="3596" t="s">
        <v>938</v>
      </c>
      <c r="M82" s="3596" t="s">
        <v>939</v>
      </c>
      <c r="N82" s="3596" t="s">
        <v>940</v>
      </c>
      <c r="AE82" s="3584"/>
      <c r="AF82" s="3584"/>
      <c r="AG82" s="3584"/>
      <c r="AH82" s="3584"/>
      <c r="AI82" s="3584"/>
      <c r="AJ82" s="3584"/>
    </row>
    <row r="83" spans="1:36" s="1348" customFormat="1" ht="36">
      <c r="A83" s="3590" t="s">
        <v>958</v>
      </c>
      <c r="B83" s="3591" t="str">
        <f>估价对象房地状况!G15</f>
        <v>估价对象位于XX开发区，园区建设成熟度XX，产业集聚程度XX</v>
      </c>
      <c r="C83" s="3598"/>
      <c r="D83" s="3599">
        <f t="shared" ref="D83:D90" si="21">SUMIF($J$82:$N$82,C83,J83:N83)</f>
        <v>0</v>
      </c>
      <c r="E83" s="3600">
        <f>ROUND(SUM(D83:D90),4)</f>
        <v>0</v>
      </c>
      <c r="F83" s="3601">
        <f>IF(E2="工业",SUMIF(L1:L12,G2,N1:N12),"——")</f>
        <v>0.1</v>
      </c>
      <c r="G83" s="3602"/>
      <c r="H83" s="3603">
        <f t="shared" ref="H83:H90" si="22">IFERROR(ROUNDDOWN($F$83*I83/2,4),"——")</f>
        <v>1.2999999999999999E-2</v>
      </c>
      <c r="I83" s="3577">
        <v>0.26</v>
      </c>
      <c r="J83" s="3604">
        <f t="shared" ref="J83:J90" si="23">K83+$G83</f>
        <v>0</v>
      </c>
      <c r="K83" s="3604">
        <f t="shared" ref="K83:K90" si="24">$L83+$G83</f>
        <v>0</v>
      </c>
      <c r="L83" s="3604">
        <v>0</v>
      </c>
      <c r="M83" s="3604">
        <f t="shared" ref="M83:N90" si="25">L83-$G83</f>
        <v>0</v>
      </c>
      <c r="N83" s="3604">
        <f t="shared" si="25"/>
        <v>0</v>
      </c>
      <c r="AE83" s="3584"/>
      <c r="AF83" s="3584"/>
      <c r="AG83" s="3584"/>
      <c r="AH83" s="3584"/>
      <c r="AI83" s="3584"/>
      <c r="AJ83" s="3584"/>
    </row>
    <row r="84" spans="1:36" s="1348" customFormat="1" ht="48">
      <c r="A84" s="3590" t="s">
        <v>954</v>
      </c>
      <c r="B84" s="3591" t="str">
        <f>估价对象房地状况!G16</f>
        <v>估价对象周边道路状况、公共交通通达情况、停车便捷程度，综合评价交通便捷度较好</v>
      </c>
      <c r="C84" s="3598"/>
      <c r="D84" s="3599">
        <f t="shared" si="21"/>
        <v>0</v>
      </c>
      <c r="E84" s="3605"/>
      <c r="F84" s="3601"/>
      <c r="G84" s="3602"/>
      <c r="H84" s="3603">
        <f t="shared" si="22"/>
        <v>1.4999999999999999E-2</v>
      </c>
      <c r="I84" s="3577">
        <v>0.3</v>
      </c>
      <c r="J84" s="3604">
        <f t="shared" si="23"/>
        <v>0</v>
      </c>
      <c r="K84" s="3604">
        <f t="shared" si="24"/>
        <v>0</v>
      </c>
      <c r="L84" s="3604">
        <v>0</v>
      </c>
      <c r="M84" s="3604">
        <f t="shared" si="25"/>
        <v>0</v>
      </c>
      <c r="N84" s="3604">
        <f t="shared" si="25"/>
        <v>0</v>
      </c>
      <c r="AE84" s="3584"/>
      <c r="AF84" s="3584"/>
      <c r="AG84" s="3584"/>
      <c r="AH84" s="3584"/>
      <c r="AI84" s="3584"/>
      <c r="AJ84" s="3584"/>
    </row>
    <row r="85" spans="1:36" s="1348" customFormat="1" ht="24">
      <c r="A85" s="3590" t="s">
        <v>943</v>
      </c>
      <c r="B85" s="3591">
        <f>估价对象房地状况!G17</f>
        <v>0</v>
      </c>
      <c r="C85" s="3598"/>
      <c r="D85" s="3599">
        <f t="shared" si="21"/>
        <v>0</v>
      </c>
      <c r="E85" s="3605"/>
      <c r="F85" s="3601"/>
      <c r="G85" s="3602"/>
      <c r="H85" s="3603">
        <f t="shared" si="22"/>
        <v>5.0000000000000001E-3</v>
      </c>
      <c r="I85" s="3577">
        <v>0.1</v>
      </c>
      <c r="J85" s="3604">
        <f t="shared" si="23"/>
        <v>0</v>
      </c>
      <c r="K85" s="3604">
        <f t="shared" si="24"/>
        <v>0</v>
      </c>
      <c r="L85" s="3604">
        <v>0</v>
      </c>
      <c r="M85" s="3604">
        <f t="shared" si="25"/>
        <v>0</v>
      </c>
      <c r="N85" s="3604">
        <f t="shared" si="25"/>
        <v>0</v>
      </c>
      <c r="AE85" s="3584"/>
      <c r="AF85" s="3584"/>
      <c r="AG85" s="3584"/>
      <c r="AH85" s="3584"/>
      <c r="AI85" s="3584"/>
      <c r="AJ85" s="3584"/>
    </row>
    <row r="86" spans="1:36" s="1348" customFormat="1" ht="13.8">
      <c r="A86" s="3590" t="s">
        <v>955</v>
      </c>
      <c r="B86" s="3591">
        <f>估价对象房地状况!G22</f>
        <v>0</v>
      </c>
      <c r="C86" s="3598"/>
      <c r="D86" s="3599">
        <f t="shared" si="21"/>
        <v>0</v>
      </c>
      <c r="E86" s="3605"/>
      <c r="F86" s="3601"/>
      <c r="G86" s="3602"/>
      <c r="H86" s="3603">
        <f t="shared" si="22"/>
        <v>2.5000000000000001E-3</v>
      </c>
      <c r="I86" s="3577">
        <v>0.05</v>
      </c>
      <c r="J86" s="3604">
        <f t="shared" si="23"/>
        <v>0</v>
      </c>
      <c r="K86" s="3604">
        <f t="shared" si="24"/>
        <v>0</v>
      </c>
      <c r="L86" s="3604">
        <v>0</v>
      </c>
      <c r="M86" s="3604">
        <f t="shared" si="25"/>
        <v>0</v>
      </c>
      <c r="N86" s="3604">
        <f t="shared" si="25"/>
        <v>0</v>
      </c>
      <c r="AE86" s="3584"/>
      <c r="AF86" s="3584"/>
      <c r="AG86" s="3584"/>
      <c r="AH86" s="3584"/>
      <c r="AI86" s="3584"/>
      <c r="AJ86" s="3584"/>
    </row>
    <row r="87" spans="1:36" s="1348" customFormat="1" ht="24">
      <c r="A87" s="3590" t="s">
        <v>947</v>
      </c>
      <c r="B87" s="3609" t="str">
        <f>估价对象房地状况!G19</f>
        <v>估价对象所在区域公共配套设施齐备情况</v>
      </c>
      <c r="C87" s="3598"/>
      <c r="D87" s="3599">
        <f t="shared" si="21"/>
        <v>0</v>
      </c>
      <c r="E87" s="3605"/>
      <c r="F87" s="3601"/>
      <c r="G87" s="3602"/>
      <c r="H87" s="3603">
        <f t="shared" si="22"/>
        <v>3.0000000000000001E-3</v>
      </c>
      <c r="I87" s="3577">
        <v>0.06</v>
      </c>
      <c r="J87" s="3604">
        <f t="shared" si="23"/>
        <v>0</v>
      </c>
      <c r="K87" s="3604">
        <f t="shared" si="24"/>
        <v>0</v>
      </c>
      <c r="L87" s="3604">
        <v>0</v>
      </c>
      <c r="M87" s="3604">
        <f t="shared" si="25"/>
        <v>0</v>
      </c>
      <c r="N87" s="3604">
        <f t="shared" si="25"/>
        <v>0</v>
      </c>
      <c r="AE87" s="3584"/>
      <c r="AF87" s="3584"/>
      <c r="AG87" s="3584"/>
      <c r="AH87" s="3584"/>
      <c r="AI87" s="3584"/>
      <c r="AJ87" s="3584"/>
    </row>
    <row r="88" spans="1:36" s="1348" customFormat="1" ht="24">
      <c r="A88" s="3590" t="s">
        <v>948</v>
      </c>
      <c r="B88" s="3609" t="str">
        <f>估价对象房地状况!G20</f>
        <v>估价对象所在区域基础设施水平</v>
      </c>
      <c r="C88" s="3598"/>
      <c r="D88" s="3599">
        <f t="shared" si="21"/>
        <v>0</v>
      </c>
      <c r="E88" s="3605"/>
      <c r="F88" s="3601"/>
      <c r="G88" s="3602"/>
      <c r="H88" s="3603">
        <f t="shared" si="22"/>
        <v>6.0000000000000001E-3</v>
      </c>
      <c r="I88" s="3577">
        <v>0.12</v>
      </c>
      <c r="J88" s="3604">
        <f t="shared" si="23"/>
        <v>0</v>
      </c>
      <c r="K88" s="3604">
        <f t="shared" si="24"/>
        <v>0</v>
      </c>
      <c r="L88" s="3604">
        <v>0</v>
      </c>
      <c r="M88" s="3604">
        <f t="shared" si="25"/>
        <v>0</v>
      </c>
      <c r="N88" s="3604">
        <f t="shared" si="25"/>
        <v>0</v>
      </c>
      <c r="AE88" s="3584"/>
      <c r="AF88" s="3584"/>
      <c r="AG88" s="3584"/>
      <c r="AH88" s="3584"/>
      <c r="AI88" s="3584"/>
      <c r="AJ88" s="3584"/>
    </row>
    <row r="89" spans="1:36" s="1348" customFormat="1" ht="36">
      <c r="A89" s="3590" t="s">
        <v>946</v>
      </c>
      <c r="B89" s="3607" t="s">
        <v>2198</v>
      </c>
      <c r="C89" s="3598"/>
      <c r="D89" s="3599">
        <f t="shared" si="21"/>
        <v>0</v>
      </c>
      <c r="E89" s="3605"/>
      <c r="F89" s="3601"/>
      <c r="G89" s="3602"/>
      <c r="H89" s="3603">
        <f t="shared" si="22"/>
        <v>3.0000000000000001E-3</v>
      </c>
      <c r="I89" s="3577">
        <v>0.06</v>
      </c>
      <c r="J89" s="3604">
        <f t="shared" si="23"/>
        <v>0</v>
      </c>
      <c r="K89" s="3604">
        <f t="shared" si="24"/>
        <v>0</v>
      </c>
      <c r="L89" s="3604">
        <v>0</v>
      </c>
      <c r="M89" s="3604">
        <f t="shared" si="25"/>
        <v>0</v>
      </c>
      <c r="N89" s="3604">
        <f t="shared" si="25"/>
        <v>0</v>
      </c>
      <c r="AE89" s="3584"/>
      <c r="AF89" s="3584"/>
      <c r="AG89" s="3584"/>
      <c r="AH89" s="3584"/>
      <c r="AI89" s="3584"/>
      <c r="AJ89" s="3584"/>
    </row>
    <row r="90" spans="1:36" s="1348" customFormat="1" ht="36.6" thickBot="1">
      <c r="A90" s="3610" t="s">
        <v>959</v>
      </c>
      <c r="B90" s="3620" t="str">
        <f>估价对象房地状况!G18</f>
        <v>该园区内是否有污染型企业，绿化情况，卫生条件，整体环境状况判断</v>
      </c>
      <c r="C90" s="3598"/>
      <c r="D90" s="3599">
        <f t="shared" si="21"/>
        <v>0</v>
      </c>
      <c r="E90" s="3612"/>
      <c r="F90" s="3601"/>
      <c r="G90" s="3602"/>
      <c r="H90" s="3603">
        <f t="shared" si="22"/>
        <v>2.5000000000000001E-3</v>
      </c>
      <c r="I90" s="3579">
        <v>0.05</v>
      </c>
      <c r="J90" s="3604">
        <f t="shared" si="23"/>
        <v>0</v>
      </c>
      <c r="K90" s="3604">
        <f t="shared" si="24"/>
        <v>0</v>
      </c>
      <c r="L90" s="3604">
        <v>0</v>
      </c>
      <c r="M90" s="3604">
        <f t="shared" si="25"/>
        <v>0</v>
      </c>
      <c r="N90" s="3604">
        <f t="shared" si="25"/>
        <v>0</v>
      </c>
      <c r="AE90" s="3584"/>
      <c r="AF90" s="3584"/>
      <c r="AG90" s="3584"/>
      <c r="AH90" s="3584"/>
      <c r="AI90" s="3584"/>
      <c r="AJ90" s="3584"/>
    </row>
    <row r="91" spans="1:36" s="1348" customFormat="1" ht="14.4">
      <c r="A91" s="3573" t="s">
        <v>3225</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3226</v>
      </c>
      <c r="B92" s="3574"/>
      <c r="C92" s="3574" t="s">
        <v>3231</v>
      </c>
      <c r="D92" s="3574" t="s">
        <v>3218</v>
      </c>
      <c r="E92" s="3631" t="s">
        <v>3219</v>
      </c>
      <c r="F92" s="3630" t="s">
        <v>1608</v>
      </c>
      <c r="G92" s="3593" t="s">
        <v>935</v>
      </c>
      <c r="H92" s="3595" t="s">
        <v>1771</v>
      </c>
      <c r="I92" s="3593" t="s">
        <v>933</v>
      </c>
      <c r="J92" s="3596" t="s">
        <v>936</v>
      </c>
      <c r="K92" s="3596" t="s">
        <v>937</v>
      </c>
      <c r="L92" s="3596" t="s">
        <v>938</v>
      </c>
      <c r="M92" s="3596" t="s">
        <v>939</v>
      </c>
      <c r="N92" s="3596" t="s">
        <v>940</v>
      </c>
      <c r="AE92" s="3584"/>
      <c r="AF92" s="3584"/>
      <c r="AG92" s="3584"/>
      <c r="AH92" s="3584"/>
      <c r="AI92" s="3584"/>
      <c r="AJ92" s="3584"/>
    </row>
    <row r="93" spans="1:36" s="1348" customFormat="1" ht="24">
      <c r="A93" s="3629" t="s">
        <v>3227</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6">$L93+$G93</f>
        <v>0</v>
      </c>
      <c r="L93" s="3628">
        <v>0</v>
      </c>
      <c r="M93" s="3628">
        <f>L93-$G93</f>
        <v>0</v>
      </c>
      <c r="N93" s="3628">
        <f>M93-$G93</f>
        <v>0</v>
      </c>
      <c r="AE93" s="3584"/>
      <c r="AF93" s="3584"/>
      <c r="AG93" s="3584"/>
      <c r="AH93" s="3584"/>
      <c r="AI93" s="3584"/>
      <c r="AJ93" s="3584"/>
    </row>
    <row r="94" spans="1:36" s="1348" customFormat="1" ht="48">
      <c r="A94" s="3574" t="s">
        <v>3228</v>
      </c>
      <c r="B94" s="3591" t="str">
        <f>估价对象房地状况!G16</f>
        <v>估价对象周边道路状况、公共交通通达情况、停车便捷程度，综合评价交通便捷度较好</v>
      </c>
      <c r="C94" s="3598"/>
      <c r="D94" s="3599">
        <f t="shared" ref="D94:D101" si="27">SUMIF($J$92:$N$92,C94,J94:N94)</f>
        <v>0</v>
      </c>
      <c r="E94" s="3623"/>
      <c r="F94" s="3601"/>
      <c r="G94" s="3616"/>
      <c r="H94" s="3603" t="str">
        <f t="shared" ref="H94:H101" si="28">IFERROR(ROUNDDOWN($F$93*I94/2,4),"——")</f>
        <v>——</v>
      </c>
      <c r="I94" s="3577">
        <v>0.26</v>
      </c>
      <c r="J94" s="3628">
        <f>K94+$G94</f>
        <v>0</v>
      </c>
      <c r="K94" s="3628">
        <f t="shared" si="26"/>
        <v>0</v>
      </c>
      <c r="L94" s="3628">
        <v>0</v>
      </c>
      <c r="M94" s="3628">
        <f t="shared" ref="M94:M101" si="29">L94-$G94</f>
        <v>0</v>
      </c>
      <c r="N94" s="3628">
        <f t="shared" ref="N94:N101" si="30">M94-$G94</f>
        <v>0</v>
      </c>
      <c r="AE94" s="3584"/>
      <c r="AF94" s="3584"/>
      <c r="AG94" s="3584"/>
      <c r="AH94" s="3584"/>
      <c r="AI94" s="3584"/>
      <c r="AJ94" s="3584"/>
    </row>
    <row r="95" spans="1:36" s="1348" customFormat="1" ht="48">
      <c r="A95" s="3629" t="s">
        <v>3216</v>
      </c>
      <c r="B95" s="3591">
        <f>估价对象房地状况!G17</f>
        <v>0</v>
      </c>
      <c r="C95" s="3598"/>
      <c r="D95" s="3599">
        <f t="shared" si="27"/>
        <v>0</v>
      </c>
      <c r="E95" s="3623"/>
      <c r="F95" s="3601"/>
      <c r="G95" s="3616"/>
      <c r="H95" s="3603" t="str">
        <f t="shared" si="28"/>
        <v>——</v>
      </c>
      <c r="I95" s="3577">
        <v>0.11</v>
      </c>
      <c r="J95" s="3628">
        <f t="shared" ref="J95:J101" si="31">K95+$G95</f>
        <v>0</v>
      </c>
      <c r="K95" s="3628">
        <f t="shared" si="26"/>
        <v>0</v>
      </c>
      <c r="L95" s="3628">
        <v>0</v>
      </c>
      <c r="M95" s="3628">
        <f t="shared" si="29"/>
        <v>0</v>
      </c>
      <c r="N95" s="3628">
        <f t="shared" si="30"/>
        <v>0</v>
      </c>
      <c r="AE95" s="3584"/>
      <c r="AF95" s="3584"/>
      <c r="AG95" s="3584"/>
      <c r="AH95" s="3584"/>
      <c r="AI95" s="3584"/>
      <c r="AJ95" s="3584"/>
    </row>
    <row r="96" spans="1:36" s="1348" customFormat="1" ht="37.200000000000003">
      <c r="A96" s="3574" t="s">
        <v>3220</v>
      </c>
      <c r="B96" s="3578" t="s">
        <v>3221</v>
      </c>
      <c r="C96" s="3598"/>
      <c r="D96" s="3599">
        <f t="shared" si="27"/>
        <v>0</v>
      </c>
      <c r="E96" s="3623"/>
      <c r="F96" s="3601"/>
      <c r="G96" s="3616"/>
      <c r="H96" s="3603" t="str">
        <f t="shared" si="28"/>
        <v>——</v>
      </c>
      <c r="I96" s="3577">
        <v>0.05</v>
      </c>
      <c r="J96" s="3628">
        <f t="shared" si="31"/>
        <v>0</v>
      </c>
      <c r="K96" s="3628">
        <f t="shared" si="26"/>
        <v>0</v>
      </c>
      <c r="L96" s="3628">
        <v>0</v>
      </c>
      <c r="M96" s="3628">
        <f>L96-$G96</f>
        <v>0</v>
      </c>
      <c r="N96" s="3628">
        <f t="shared" si="30"/>
        <v>0</v>
      </c>
      <c r="AE96" s="3584"/>
      <c r="AF96" s="3584"/>
      <c r="AG96" s="3584"/>
      <c r="AH96" s="3584"/>
      <c r="AI96" s="3584"/>
      <c r="AJ96" s="3584"/>
    </row>
    <row r="97" spans="1:36" s="1348" customFormat="1" ht="24">
      <c r="A97" s="3574" t="s">
        <v>3222</v>
      </c>
      <c r="B97" s="3591">
        <f>估价对象房地状况!G22</f>
        <v>0</v>
      </c>
      <c r="C97" s="3598"/>
      <c r="D97" s="3599">
        <f t="shared" si="27"/>
        <v>0</v>
      </c>
      <c r="E97" s="3623"/>
      <c r="F97" s="3601"/>
      <c r="G97" s="3616"/>
      <c r="H97" s="3603" t="str">
        <f t="shared" si="28"/>
        <v>——</v>
      </c>
      <c r="I97" s="3577">
        <v>0.05</v>
      </c>
      <c r="J97" s="3628">
        <f t="shared" si="31"/>
        <v>0</v>
      </c>
      <c r="K97" s="3628">
        <f t="shared" si="26"/>
        <v>0</v>
      </c>
      <c r="L97" s="3628">
        <v>0</v>
      </c>
      <c r="M97" s="3628">
        <f t="shared" si="29"/>
        <v>0</v>
      </c>
      <c r="N97" s="3628">
        <f t="shared" si="30"/>
        <v>0</v>
      </c>
      <c r="AE97" s="3584"/>
      <c r="AF97" s="3584"/>
      <c r="AG97" s="3584"/>
      <c r="AH97" s="3584"/>
      <c r="AI97" s="3584"/>
      <c r="AJ97" s="3584"/>
    </row>
    <row r="98" spans="1:36" s="1348" customFormat="1" ht="36">
      <c r="A98" s="3574" t="s">
        <v>3229</v>
      </c>
      <c r="B98" s="3606" t="s">
        <v>2198</v>
      </c>
      <c r="C98" s="3598"/>
      <c r="D98" s="3599">
        <f t="shared" si="27"/>
        <v>0</v>
      </c>
      <c r="E98" s="3623"/>
      <c r="F98" s="3601"/>
      <c r="G98" s="3616"/>
      <c r="H98" s="3603" t="str">
        <f t="shared" si="28"/>
        <v>——</v>
      </c>
      <c r="I98" s="3577">
        <v>0.06</v>
      </c>
      <c r="J98" s="3628">
        <f t="shared" si="31"/>
        <v>0</v>
      </c>
      <c r="K98" s="3628">
        <f t="shared" si="26"/>
        <v>0</v>
      </c>
      <c r="L98" s="3628">
        <v>0</v>
      </c>
      <c r="M98" s="3628">
        <f t="shared" si="29"/>
        <v>0</v>
      </c>
      <c r="N98" s="3628">
        <f t="shared" si="30"/>
        <v>0</v>
      </c>
      <c r="AE98" s="3584"/>
      <c r="AF98" s="3584"/>
      <c r="AG98" s="3584"/>
      <c r="AH98" s="3584"/>
      <c r="AI98" s="3584"/>
      <c r="AJ98" s="3584"/>
    </row>
    <row r="99" spans="1:36" s="1348" customFormat="1" ht="24">
      <c r="A99" s="3574" t="s">
        <v>3230</v>
      </c>
      <c r="B99" s="3591" t="str">
        <f>估价对象房地状况!C21</f>
        <v>估价对象所在区域公共配套设施齐备情况</v>
      </c>
      <c r="C99" s="3598"/>
      <c r="D99" s="3599">
        <f t="shared" si="27"/>
        <v>0</v>
      </c>
      <c r="E99" s="3623"/>
      <c r="F99" s="3601"/>
      <c r="G99" s="3616"/>
      <c r="H99" s="3603" t="str">
        <f t="shared" si="28"/>
        <v>——</v>
      </c>
      <c r="I99" s="3577">
        <v>0.06</v>
      </c>
      <c r="J99" s="3628">
        <f t="shared" si="31"/>
        <v>0</v>
      </c>
      <c r="K99" s="3628">
        <f t="shared" si="26"/>
        <v>0</v>
      </c>
      <c r="L99" s="3628">
        <v>0</v>
      </c>
      <c r="M99" s="3628">
        <f t="shared" si="29"/>
        <v>0</v>
      </c>
      <c r="N99" s="3628">
        <f t="shared" si="30"/>
        <v>0</v>
      </c>
      <c r="AE99" s="3584"/>
      <c r="AF99" s="3584"/>
      <c r="AG99" s="3584"/>
      <c r="AH99" s="3584"/>
      <c r="AI99" s="3584"/>
      <c r="AJ99" s="3584"/>
    </row>
    <row r="100" spans="1:36" s="1348" customFormat="1" ht="24">
      <c r="A100" s="3574" t="s">
        <v>3223</v>
      </c>
      <c r="B100" s="3591" t="str">
        <f>估价对象房地状况!C22</f>
        <v>估价对象所在区域基础设施水平</v>
      </c>
      <c r="C100" s="3598"/>
      <c r="D100" s="3599">
        <f t="shared" si="27"/>
        <v>0</v>
      </c>
      <c r="E100" s="3623"/>
      <c r="F100" s="3601"/>
      <c r="G100" s="3616"/>
      <c r="H100" s="3603" t="str">
        <f t="shared" si="28"/>
        <v>——</v>
      </c>
      <c r="I100" s="3577">
        <v>0.09</v>
      </c>
      <c r="J100" s="3628">
        <f t="shared" si="31"/>
        <v>0</v>
      </c>
      <c r="K100" s="3628">
        <f t="shared" si="26"/>
        <v>0</v>
      </c>
      <c r="L100" s="3628">
        <v>0</v>
      </c>
      <c r="M100" s="3628">
        <f t="shared" si="29"/>
        <v>0</v>
      </c>
      <c r="N100" s="3628">
        <f t="shared" si="30"/>
        <v>0</v>
      </c>
      <c r="AE100" s="3584"/>
      <c r="AF100" s="3584"/>
      <c r="AG100" s="3584"/>
      <c r="AH100" s="3584"/>
      <c r="AI100" s="3584"/>
      <c r="AJ100" s="3584"/>
    </row>
    <row r="101" spans="1:36" s="1348" customFormat="1" ht="36.6" thickBot="1">
      <c r="A101" s="3574" t="s">
        <v>3224</v>
      </c>
      <c r="B101" s="3597" t="str">
        <f>估价对象房地状况!C20</f>
        <v>区域自然环境：；人文环境；综合评价环境状况一般</v>
      </c>
      <c r="C101" s="3598"/>
      <c r="D101" s="3599">
        <f t="shared" si="27"/>
        <v>0</v>
      </c>
      <c r="E101" s="3623"/>
      <c r="F101" s="3601"/>
      <c r="G101" s="3616"/>
      <c r="H101" s="3603" t="str">
        <f t="shared" si="28"/>
        <v>——</v>
      </c>
      <c r="I101" s="3579">
        <v>7.0000000000000007E-2</v>
      </c>
      <c r="J101" s="3628">
        <f t="shared" si="31"/>
        <v>0</v>
      </c>
      <c r="K101" s="3628">
        <f t="shared" si="26"/>
        <v>0</v>
      </c>
      <c r="L101" s="3628">
        <v>0</v>
      </c>
      <c r="M101" s="3628">
        <f t="shared" si="29"/>
        <v>0</v>
      </c>
      <c r="N101" s="3628">
        <f t="shared" si="30"/>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99" t="s">
        <v>1171</v>
      </c>
      <c r="B104" s="3899"/>
      <c r="C104" s="3899"/>
      <c r="D104" s="3899"/>
      <c r="E104" s="3899"/>
      <c r="F104" s="3899"/>
      <c r="G104" s="3899"/>
      <c r="H104" s="3899"/>
      <c r="I104" s="3899"/>
      <c r="J104" s="3899"/>
      <c r="K104" s="2103"/>
      <c r="L104" s="2103"/>
      <c r="M104" s="2103"/>
      <c r="N104" s="2103"/>
    </row>
    <row r="105" spans="1:36">
      <c r="A105" s="3900" t="s">
        <v>1160</v>
      </c>
      <c r="B105" s="3900" t="s">
        <v>1172</v>
      </c>
      <c r="C105" s="1041" t="s">
        <v>1173</v>
      </c>
      <c r="D105" s="1042"/>
      <c r="E105" s="1042"/>
      <c r="F105" s="1042"/>
      <c r="G105" s="1042"/>
      <c r="H105" s="1042"/>
      <c r="I105" s="1042"/>
      <c r="J105" s="1043"/>
      <c r="K105" s="1035"/>
      <c r="L105" s="1035"/>
      <c r="M105" s="1035"/>
      <c r="N105" s="1035"/>
    </row>
    <row r="106" spans="1:36">
      <c r="A106" s="3900"/>
      <c r="B106" s="3900"/>
      <c r="C106" s="2102" t="s">
        <v>835</v>
      </c>
      <c r="D106" s="2102" t="s">
        <v>819</v>
      </c>
      <c r="E106" s="2102" t="s">
        <v>820</v>
      </c>
      <c r="F106" s="2102" t="s">
        <v>838</v>
      </c>
      <c r="G106" s="2102" t="s">
        <v>822</v>
      </c>
      <c r="H106" s="2102" t="s">
        <v>823</v>
      </c>
      <c r="I106" s="2102" t="s">
        <v>824</v>
      </c>
      <c r="J106" s="2102" t="s">
        <v>825</v>
      </c>
      <c r="K106" s="2102" t="s">
        <v>843</v>
      </c>
      <c r="L106" s="2102" t="s">
        <v>827</v>
      </c>
      <c r="M106" s="2102" t="s">
        <v>828</v>
      </c>
      <c r="N106" s="2102" t="s">
        <v>846</v>
      </c>
    </row>
    <row r="107" spans="1:36">
      <c r="A107" s="3906"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7"/>
      <c r="B112" s="1044" t="s">
        <v>3232</v>
      </c>
      <c r="C112" s="1046">
        <f>$I$3</f>
        <v>0</v>
      </c>
      <c r="D112" s="1046">
        <f t="shared" ref="D112:N112" si="32">$I$3</f>
        <v>0</v>
      </c>
      <c r="E112" s="1046">
        <f t="shared" si="32"/>
        <v>0</v>
      </c>
      <c r="F112" s="1046">
        <f t="shared" si="32"/>
        <v>0</v>
      </c>
      <c r="G112" s="1046">
        <f t="shared" si="32"/>
        <v>0</v>
      </c>
      <c r="H112" s="1046">
        <f t="shared" si="32"/>
        <v>0</v>
      </c>
      <c r="I112" s="1046">
        <f t="shared" si="32"/>
        <v>0</v>
      </c>
      <c r="J112" s="1046">
        <f t="shared" si="32"/>
        <v>0</v>
      </c>
      <c r="K112" s="1046">
        <f t="shared" si="32"/>
        <v>0</v>
      </c>
      <c r="L112" s="1046">
        <f t="shared" si="32"/>
        <v>0</v>
      </c>
      <c r="M112" s="1046">
        <f t="shared" si="32"/>
        <v>0</v>
      </c>
      <c r="N112" s="1046">
        <f t="shared" si="32"/>
        <v>0</v>
      </c>
    </row>
    <row r="113" spans="1:14">
      <c r="A113" s="390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6" t="s">
        <v>1174</v>
      </c>
      <c r="B114" s="3896"/>
      <c r="C114" s="3896"/>
      <c r="D114" s="3896"/>
      <c r="E114" s="3896"/>
      <c r="F114" s="3896"/>
      <c r="G114" s="3896"/>
      <c r="H114" s="3896"/>
      <c r="I114" s="3896"/>
      <c r="J114" s="3896"/>
      <c r="K114" s="2101"/>
      <c r="L114" s="2101"/>
      <c r="M114" s="2101"/>
      <c r="N114" s="2101"/>
    </row>
    <row r="116" spans="1:14" ht="12.6" thickBot="1"/>
    <row r="117" spans="1:14" ht="25.8" thickBot="1">
      <c r="A117" s="976" t="s">
        <v>830</v>
      </c>
      <c r="B117" s="2104">
        <f>G3</f>
        <v>1</v>
      </c>
      <c r="C117" s="977" t="s">
        <v>831</v>
      </c>
      <c r="D117" s="978" t="e">
        <f>SUMPRODUCT((A118:A122=F116)*(B117:M117=H116)*B118:M122)</f>
        <v>#VALUE!</v>
      </c>
      <c r="E117" s="979" t="s">
        <v>832</v>
      </c>
      <c r="F117" s="980" t="str">
        <f>E2</f>
        <v>工业</v>
      </c>
      <c r="G117" s="979" t="s">
        <v>833</v>
      </c>
      <c r="H117" s="980" t="str">
        <f>G2</f>
        <v>四级</v>
      </c>
      <c r="I117" s="979"/>
      <c r="J117" s="971"/>
      <c r="K117" s="971"/>
      <c r="L117" s="971"/>
      <c r="M117" s="971"/>
    </row>
    <row r="118" spans="1:14" ht="13.2">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3.2">
      <c r="A119" s="3633" t="s">
        <v>3233</v>
      </c>
      <c r="B119" s="3575">
        <f>ROUND(0.9968-0.011*B117,4)</f>
        <v>0.98580000000000001</v>
      </c>
      <c r="C119" s="3575">
        <f>B119</f>
        <v>0.98580000000000001</v>
      </c>
      <c r="D119" s="3575">
        <f>ROUND(0.949-0.014*B117,4)</f>
        <v>0.93500000000000005</v>
      </c>
      <c r="E119" s="3575">
        <f>D119</f>
        <v>0.93500000000000005</v>
      </c>
      <c r="F119" s="3575">
        <f>E119</f>
        <v>0.93500000000000005</v>
      </c>
      <c r="G119" s="3575">
        <f>F119</f>
        <v>0.93500000000000005</v>
      </c>
      <c r="H119" s="3575">
        <f>G119</f>
        <v>0.93500000000000005</v>
      </c>
      <c r="I119" s="3575">
        <f>ROUND(0.8486-0.018*B117,4)</f>
        <v>0.8306</v>
      </c>
      <c r="J119" s="3575">
        <f t="shared" ref="J119:M123" si="33">I119</f>
        <v>0.8306</v>
      </c>
      <c r="K119" s="3575">
        <f t="shared" si="33"/>
        <v>0.8306</v>
      </c>
      <c r="L119" s="3575">
        <f t="shared" si="33"/>
        <v>0.8306</v>
      </c>
      <c r="M119" s="3636">
        <f t="shared" si="33"/>
        <v>0.8306</v>
      </c>
    </row>
    <row r="120" spans="1:14" ht="13.2">
      <c r="A120" s="3633" t="s">
        <v>3234</v>
      </c>
      <c r="B120" s="3575">
        <f>ROUND(0.993-0.0112*B117,4)</f>
        <v>0.98180000000000001</v>
      </c>
      <c r="C120" s="3575">
        <f>B120</f>
        <v>0.98180000000000001</v>
      </c>
      <c r="D120" s="3575">
        <f>ROUND(0.9415-0.0142*B117,4)</f>
        <v>0.92730000000000001</v>
      </c>
      <c r="E120" s="3575">
        <f t="shared" ref="E120:H121" si="34">D120</f>
        <v>0.92730000000000001</v>
      </c>
      <c r="F120" s="3575">
        <f t="shared" si="34"/>
        <v>0.92730000000000001</v>
      </c>
      <c r="G120" s="3575">
        <f t="shared" si="34"/>
        <v>0.92730000000000001</v>
      </c>
      <c r="H120" s="3575">
        <f t="shared" si="34"/>
        <v>0.92730000000000001</v>
      </c>
      <c r="I120" s="3575">
        <f>ROUND(0.838-0.0182*B117,4)</f>
        <v>0.81979999999999997</v>
      </c>
      <c r="J120" s="3575">
        <f t="shared" si="33"/>
        <v>0.81979999999999997</v>
      </c>
      <c r="K120" s="3575">
        <f t="shared" si="33"/>
        <v>0.81979999999999997</v>
      </c>
      <c r="L120" s="3575">
        <f t="shared" si="33"/>
        <v>0.81979999999999997</v>
      </c>
      <c r="M120" s="3636">
        <f t="shared" si="33"/>
        <v>0.81979999999999997</v>
      </c>
    </row>
    <row r="121" spans="1:14" ht="13.2">
      <c r="A121" s="3633" t="s">
        <v>3235</v>
      </c>
      <c r="B121" s="3575">
        <f>ROUND(0.9448-0.0115*B117,4)</f>
        <v>0.93330000000000002</v>
      </c>
      <c r="C121" s="3575">
        <f>B121</f>
        <v>0.93330000000000002</v>
      </c>
      <c r="D121" s="3575">
        <f>ROUND(0.937-0.0145*B117,4)</f>
        <v>0.92249999999999999</v>
      </c>
      <c r="E121" s="3575">
        <f t="shared" si="34"/>
        <v>0.92249999999999999</v>
      </c>
      <c r="F121" s="3575">
        <f t="shared" si="34"/>
        <v>0.92249999999999999</v>
      </c>
      <c r="G121" s="3575">
        <f t="shared" si="34"/>
        <v>0.92249999999999999</v>
      </c>
      <c r="H121" s="3575">
        <f t="shared" si="34"/>
        <v>0.92249999999999999</v>
      </c>
      <c r="I121" s="3575">
        <f>ROUND(0.7965-0.0185*B117,4)</f>
        <v>0.77800000000000002</v>
      </c>
      <c r="J121" s="3575">
        <f t="shared" si="33"/>
        <v>0.77800000000000002</v>
      </c>
      <c r="K121" s="3575">
        <f t="shared" si="33"/>
        <v>0.77800000000000002</v>
      </c>
      <c r="L121" s="3575">
        <f t="shared" si="33"/>
        <v>0.77800000000000002</v>
      </c>
      <c r="M121" s="3636">
        <f t="shared" si="33"/>
        <v>0.77800000000000002</v>
      </c>
    </row>
    <row r="122" spans="1:14" ht="13.8" thickBot="1">
      <c r="A122" s="3634" t="s">
        <v>3236</v>
      </c>
      <c r="B122" s="3637">
        <f>ROUND(0.7836-0.012*B117,4)</f>
        <v>0.77159999999999995</v>
      </c>
      <c r="C122" s="3637">
        <f>B122</f>
        <v>0.77159999999999995</v>
      </c>
      <c r="D122" s="3637">
        <f>ROUND(0.753-0.015*B117,4)</f>
        <v>0.73799999999999999</v>
      </c>
      <c r="E122" s="3637">
        <f>D122</f>
        <v>0.73799999999999999</v>
      </c>
      <c r="F122" s="3637">
        <f>E122</f>
        <v>0.73799999999999999</v>
      </c>
      <c r="G122" s="3637">
        <f>ROUND(0.6612-0.018*B117,4)</f>
        <v>0.64319999999999999</v>
      </c>
      <c r="H122" s="3637">
        <f>G122</f>
        <v>0.64319999999999999</v>
      </c>
      <c r="I122" s="3637">
        <f>ROUND(0.5905-0.019*B117,4)</f>
        <v>0.57150000000000001</v>
      </c>
      <c r="J122" s="3637">
        <f t="shared" si="33"/>
        <v>0.57150000000000001</v>
      </c>
      <c r="K122" s="3637">
        <f t="shared" si="33"/>
        <v>0.57150000000000001</v>
      </c>
      <c r="L122" s="3637">
        <f t="shared" si="33"/>
        <v>0.57150000000000001</v>
      </c>
      <c r="M122" s="3638">
        <f t="shared" si="33"/>
        <v>0.57150000000000001</v>
      </c>
    </row>
    <row r="123" spans="1:14" ht="13.2">
      <c r="A123" s="3635" t="s">
        <v>3217</v>
      </c>
      <c r="B123" s="3575">
        <f>ROUND(0.9404-0.0106*B117,4)</f>
        <v>0.92979999999999996</v>
      </c>
      <c r="C123" s="3575">
        <f>B123</f>
        <v>0.92979999999999996</v>
      </c>
      <c r="D123" s="3575">
        <f>ROUND(0.8955-0.0135*B117,4)</f>
        <v>0.88200000000000001</v>
      </c>
      <c r="E123" s="3575">
        <f>D123</f>
        <v>0.88200000000000001</v>
      </c>
      <c r="F123" s="3575">
        <f>E123</f>
        <v>0.88200000000000001</v>
      </c>
      <c r="G123" s="3575">
        <f>F123</f>
        <v>0.88200000000000001</v>
      </c>
      <c r="H123" s="3575">
        <f>G123</f>
        <v>0.88200000000000001</v>
      </c>
      <c r="I123" s="3575">
        <f>ROUND(0.7632-0.0166*B117,4)</f>
        <v>0.74660000000000004</v>
      </c>
      <c r="J123" s="3575">
        <f t="shared" si="33"/>
        <v>0.74660000000000004</v>
      </c>
      <c r="K123" s="3575">
        <f t="shared" si="33"/>
        <v>0.74660000000000004</v>
      </c>
      <c r="L123" s="3575">
        <f t="shared" si="33"/>
        <v>0.74660000000000004</v>
      </c>
      <c r="M123" s="3636">
        <f t="shared" si="33"/>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86" priority="7" stopIfTrue="1" operator="notEqual">
      <formula>"——"</formula>
    </cfRule>
  </conditionalFormatting>
  <conditionalFormatting sqref="F61">
    <cfRule type="cellIs" dxfId="185" priority="6" stopIfTrue="1" operator="notEqual">
      <formula>"——"</formula>
    </cfRule>
  </conditionalFormatting>
  <conditionalFormatting sqref="F72">
    <cfRule type="cellIs" dxfId="184" priority="5" stopIfTrue="1" operator="notEqual">
      <formula>"——"</formula>
    </cfRule>
  </conditionalFormatting>
  <conditionalFormatting sqref="F83">
    <cfRule type="cellIs" dxfId="183" priority="4" stopIfTrue="1" operator="notEqual">
      <formula>"——"</formula>
    </cfRule>
  </conditionalFormatting>
  <conditionalFormatting sqref="H50:H58 H72:H80 H83:H91 H93:H102 H61:H69">
    <cfRule type="cellIs" dxfId="18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2760</v>
      </c>
      <c r="B1" s="1013" t="s">
        <v>989</v>
      </c>
      <c r="C1" s="1013" t="s">
        <v>1030</v>
      </c>
      <c r="D1" s="1013" t="s">
        <v>1144</v>
      </c>
      <c r="E1" s="1013" t="s">
        <v>852</v>
      </c>
      <c r="F1" s="1013" t="s">
        <v>1151</v>
      </c>
      <c r="G1" s="1013" t="s">
        <v>1152</v>
      </c>
      <c r="H1" s="1013" t="s">
        <v>1153</v>
      </c>
      <c r="I1" s="1013" t="s">
        <v>1154</v>
      </c>
      <c r="J1" s="1013" t="s">
        <v>1155</v>
      </c>
      <c r="K1" s="1013" t="s">
        <v>1156</v>
      </c>
      <c r="L1" s="1013" t="s">
        <v>2761</v>
      </c>
      <c r="M1" s="1014" t="s">
        <v>2762</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1211</v>
      </c>
      <c r="B3" s="3239">
        <v>3.5</v>
      </c>
      <c r="C3" s="3239">
        <v>3.5</v>
      </c>
      <c r="D3" s="3240">
        <v>2.5</v>
      </c>
      <c r="E3" s="3240">
        <v>2.5</v>
      </c>
      <c r="F3" s="3240">
        <v>2.5</v>
      </c>
      <c r="G3" s="3240">
        <v>2.5</v>
      </c>
      <c r="H3" s="3240">
        <v>2.5</v>
      </c>
      <c r="I3" s="3239">
        <v>2</v>
      </c>
      <c r="J3" s="3239">
        <v>2</v>
      </c>
      <c r="K3" s="3239">
        <v>2</v>
      </c>
      <c r="L3" s="3239">
        <v>2</v>
      </c>
      <c r="M3" s="3241">
        <v>2</v>
      </c>
    </row>
    <row r="4" spans="1:13">
      <c r="A4" s="3238" t="s">
        <v>850</v>
      </c>
      <c r="B4" s="3240">
        <v>2.5</v>
      </c>
      <c r="C4" s="3240">
        <v>2.5</v>
      </c>
      <c r="D4" s="3240">
        <v>2.5</v>
      </c>
      <c r="E4" s="3240">
        <v>2.5</v>
      </c>
      <c r="F4" s="3240">
        <v>2.5</v>
      </c>
      <c r="G4" s="3240">
        <v>2.5</v>
      </c>
      <c r="H4" s="3240">
        <v>2.5</v>
      </c>
      <c r="I4" s="3239">
        <v>1.5</v>
      </c>
      <c r="J4" s="3239">
        <v>1.5</v>
      </c>
      <c r="K4" s="3239">
        <v>1.5</v>
      </c>
      <c r="L4" s="3239">
        <v>1.5</v>
      </c>
      <c r="M4" s="3241">
        <v>1.5</v>
      </c>
    </row>
    <row r="5" spans="1:13">
      <c r="A5" s="3242" t="s">
        <v>904</v>
      </c>
      <c r="B5" s="3239">
        <v>1.5</v>
      </c>
      <c r="C5" s="3239">
        <v>1.5</v>
      </c>
      <c r="D5" s="3239">
        <v>1.5</v>
      </c>
      <c r="E5" s="3239">
        <v>1.5</v>
      </c>
      <c r="F5" s="3239">
        <v>1.5</v>
      </c>
      <c r="G5" s="3239">
        <v>1.2</v>
      </c>
      <c r="H5" s="3239">
        <v>1.2</v>
      </c>
      <c r="I5" s="3239">
        <v>1</v>
      </c>
      <c r="J5" s="3239">
        <v>1</v>
      </c>
      <c r="K5" s="3239">
        <v>1</v>
      </c>
      <c r="L5" s="3239">
        <v>1</v>
      </c>
      <c r="M5" s="3241">
        <v>1</v>
      </c>
    </row>
    <row r="6" spans="1:13">
      <c r="A6" s="3243" t="s">
        <v>2763</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2764</v>
      </c>
      <c r="B8" s="3251">
        <v>80</v>
      </c>
      <c r="C8" s="3251">
        <v>80</v>
      </c>
      <c r="D8" s="3251">
        <v>70</v>
      </c>
      <c r="E8" s="3251">
        <v>70</v>
      </c>
      <c r="F8" s="3251">
        <v>70</v>
      </c>
      <c r="G8" s="3251">
        <v>70</v>
      </c>
      <c r="H8" s="3251">
        <v>70</v>
      </c>
      <c r="I8" s="3251">
        <v>60</v>
      </c>
      <c r="J8" s="3251">
        <v>60</v>
      </c>
      <c r="K8" s="3251">
        <v>60</v>
      </c>
      <c r="L8" s="3251">
        <v>60</v>
      </c>
      <c r="M8" s="3252">
        <v>60</v>
      </c>
    </row>
    <row r="9" spans="1:13">
      <c r="A9" s="1009" t="s">
        <v>2765</v>
      </c>
      <c r="B9" s="3253">
        <v>70</v>
      </c>
      <c r="C9" s="3253">
        <v>70</v>
      </c>
      <c r="D9" s="3253">
        <v>60</v>
      </c>
      <c r="E9" s="3253">
        <v>60</v>
      </c>
      <c r="F9" s="3253">
        <v>60</v>
      </c>
      <c r="G9" s="3253">
        <v>60</v>
      </c>
      <c r="H9" s="3253">
        <v>60</v>
      </c>
      <c r="I9" s="3253">
        <v>50</v>
      </c>
      <c r="J9" s="3253">
        <v>50</v>
      </c>
      <c r="K9" s="3253">
        <v>50</v>
      </c>
      <c r="L9" s="3253">
        <v>50</v>
      </c>
      <c r="M9" s="3254">
        <v>50</v>
      </c>
    </row>
    <row r="10" spans="1:13">
      <c r="A10" s="1009" t="s">
        <v>2766</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2767</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2768</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2769</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2770</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2771</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8" t="s">
        <v>2772</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1159</v>
      </c>
      <c r="B18" s="1030"/>
      <c r="C18" s="1031"/>
      <c r="D18" s="1031"/>
      <c r="E18" s="1030"/>
      <c r="F18" s="1031"/>
      <c r="G18" s="1031"/>
    </row>
    <row r="19" spans="1:13" ht="15" thickBot="1">
      <c r="A19" s="3255" t="s">
        <v>2455</v>
      </c>
      <c r="B19" s="3257" t="s">
        <v>2456</v>
      </c>
      <c r="C19" s="3258" t="s">
        <v>2457</v>
      </c>
      <c r="D19" s="3259"/>
      <c r="E19" s="3253" t="s">
        <v>2458</v>
      </c>
      <c r="F19" s="1033"/>
      <c r="G19" s="1033"/>
    </row>
    <row r="20" spans="1:13" s="1408" customFormat="1">
      <c r="A20" s="3915" t="s">
        <v>2449</v>
      </c>
      <c r="B20" s="3918" t="s">
        <v>2459</v>
      </c>
      <c r="C20" s="3260" t="s">
        <v>2460</v>
      </c>
      <c r="D20" s="3261"/>
      <c r="E20" s="3262">
        <v>1</v>
      </c>
      <c r="F20" s="3263" t="s">
        <v>2461</v>
      </c>
      <c r="G20" s="1035"/>
      <c r="H20" s="1025"/>
      <c r="I20" s="1025"/>
    </row>
    <row r="21" spans="1:13" s="1408" customFormat="1">
      <c r="A21" s="3916"/>
      <c r="B21" s="3914"/>
      <c r="C21" s="3264" t="s">
        <v>2462</v>
      </c>
      <c r="D21" s="3265"/>
      <c r="E21" s="3266">
        <v>1</v>
      </c>
      <c r="F21" s="3263" t="s">
        <v>2463</v>
      </c>
      <c r="G21" s="1035"/>
      <c r="H21" s="1025"/>
      <c r="I21" s="1025"/>
    </row>
    <row r="22" spans="1:13" s="1408" customFormat="1">
      <c r="A22" s="3916"/>
      <c r="B22" s="3914"/>
      <c r="C22" s="3264" t="s">
        <v>2464</v>
      </c>
      <c r="D22" s="3265"/>
      <c r="E22" s="3266">
        <v>0.9</v>
      </c>
      <c r="F22" s="3263" t="s">
        <v>2465</v>
      </c>
      <c r="G22" s="1035"/>
      <c r="H22" s="1025"/>
      <c r="I22" s="1025"/>
    </row>
    <row r="23" spans="1:13" s="1408" customFormat="1">
      <c r="A23" s="3916"/>
      <c r="B23" s="3914"/>
      <c r="C23" s="3264" t="s">
        <v>2466</v>
      </c>
      <c r="D23" s="3265"/>
      <c r="E23" s="3266">
        <v>0.9</v>
      </c>
      <c r="F23" s="3263" t="s">
        <v>2467</v>
      </c>
      <c r="G23" s="1035"/>
      <c r="H23" s="1025"/>
      <c r="I23" s="1025"/>
    </row>
    <row r="24" spans="1:13" s="1408" customFormat="1">
      <c r="A24" s="3916"/>
      <c r="B24" s="3914"/>
      <c r="C24" s="3264" t="s">
        <v>2468</v>
      </c>
      <c r="D24" s="3265"/>
      <c r="E24" s="3266">
        <v>0.8</v>
      </c>
      <c r="F24" s="3263" t="s">
        <v>2469</v>
      </c>
      <c r="G24" s="1035"/>
      <c r="H24" s="1025"/>
      <c r="I24" s="1025"/>
    </row>
    <row r="25" spans="1:13" s="1408" customFormat="1" ht="15" thickBot="1">
      <c r="A25" s="3917"/>
      <c r="B25" s="3919"/>
      <c r="C25" s="3267" t="s">
        <v>2470</v>
      </c>
      <c r="D25" s="3268"/>
      <c r="E25" s="3269">
        <v>0.8</v>
      </c>
      <c r="F25" s="3263" t="s">
        <v>2471</v>
      </c>
      <c r="G25" s="1035"/>
      <c r="H25" s="1025"/>
      <c r="I25" s="1025"/>
    </row>
    <row r="26" spans="1:13" s="1408" customFormat="1" ht="15" thickBot="1">
      <c r="A26" s="3270" t="s">
        <v>2450</v>
      </c>
      <c r="B26" s="3271" t="s">
        <v>2459</v>
      </c>
      <c r="C26" s="3272" t="s">
        <v>2472</v>
      </c>
      <c r="D26" s="3273"/>
      <c r="E26" s="3274">
        <v>1</v>
      </c>
      <c r="F26" s="3263" t="s">
        <v>2473</v>
      </c>
      <c r="G26" s="1035"/>
      <c r="H26" s="1025"/>
      <c r="I26" s="1025"/>
    </row>
    <row r="27" spans="1:13" s="1408" customFormat="1">
      <c r="A27" s="3920" t="s">
        <v>2454</v>
      </c>
      <c r="B27" s="3918" t="s">
        <v>2454</v>
      </c>
      <c r="C27" s="3260" t="s">
        <v>2474</v>
      </c>
      <c r="D27" s="3261"/>
      <c r="E27" s="3262">
        <v>1</v>
      </c>
      <c r="F27" s="3263" t="s">
        <v>2475</v>
      </c>
      <c r="G27" s="1035"/>
      <c r="H27" s="1025"/>
      <c r="I27" s="1025"/>
    </row>
    <row r="28" spans="1:13" s="1408" customFormat="1">
      <c r="A28" s="3921"/>
      <c r="B28" s="3914"/>
      <c r="C28" s="3264" t="s">
        <v>2476</v>
      </c>
      <c r="D28" s="3265"/>
      <c r="E28" s="3266">
        <v>1</v>
      </c>
      <c r="F28" s="3263" t="s">
        <v>2477</v>
      </c>
      <c r="G28" s="1035"/>
      <c r="H28" s="1025"/>
      <c r="I28" s="1025"/>
    </row>
    <row r="29" spans="1:13" s="1408" customFormat="1">
      <c r="A29" s="3921"/>
      <c r="B29" s="3914"/>
      <c r="C29" s="3264" t="s">
        <v>2478</v>
      </c>
      <c r="D29" s="3265"/>
      <c r="E29" s="3266">
        <v>0.8</v>
      </c>
      <c r="F29" s="3263" t="s">
        <v>2479</v>
      </c>
      <c r="G29" s="1035"/>
      <c r="H29" s="1025"/>
      <c r="I29" s="1025"/>
    </row>
    <row r="30" spans="1:13" s="1408" customFormat="1">
      <c r="A30" s="3921"/>
      <c r="B30" s="3914"/>
      <c r="C30" s="3264" t="s">
        <v>2480</v>
      </c>
      <c r="D30" s="3265"/>
      <c r="E30" s="3266">
        <v>0.8</v>
      </c>
      <c r="F30" s="3263" t="s">
        <v>2481</v>
      </c>
      <c r="G30" s="1035"/>
      <c r="H30" s="1025"/>
      <c r="I30" s="1025"/>
    </row>
    <row r="31" spans="1:13" s="1408" customFormat="1">
      <c r="A31" s="3921"/>
      <c r="B31" s="3914"/>
      <c r="C31" s="3264" t="s">
        <v>2482</v>
      </c>
      <c r="D31" s="3265"/>
      <c r="E31" s="3266">
        <v>0.8</v>
      </c>
      <c r="F31" s="3263" t="s">
        <v>2483</v>
      </c>
      <c r="G31" s="1035"/>
      <c r="H31" s="1025"/>
      <c r="I31" s="1025"/>
    </row>
    <row r="32" spans="1:13" s="1408" customFormat="1">
      <c r="A32" s="3921"/>
      <c r="B32" s="3914"/>
      <c r="C32" s="3264" t="s">
        <v>2484</v>
      </c>
      <c r="D32" s="3265"/>
      <c r="E32" s="3266">
        <v>0.7</v>
      </c>
      <c r="F32" s="3263" t="s">
        <v>2485</v>
      </c>
      <c r="G32" s="1035"/>
      <c r="H32" s="1025"/>
      <c r="I32" s="1025"/>
    </row>
    <row r="33" spans="1:9" s="1408" customFormat="1">
      <c r="A33" s="3921"/>
      <c r="B33" s="3914"/>
      <c r="C33" s="3264" t="s">
        <v>2486</v>
      </c>
      <c r="D33" s="3265"/>
      <c r="E33" s="3266">
        <v>0.8</v>
      </c>
      <c r="F33" s="3263" t="s">
        <v>2487</v>
      </c>
      <c r="G33" s="1035"/>
      <c r="H33" s="1025"/>
      <c r="I33" s="1025"/>
    </row>
    <row r="34" spans="1:9" s="1408" customFormat="1">
      <c r="A34" s="3921"/>
      <c r="B34" s="3914"/>
      <c r="C34" s="3264" t="s">
        <v>2488</v>
      </c>
      <c r="D34" s="3265"/>
      <c r="E34" s="3266">
        <v>0.6</v>
      </c>
      <c r="F34" s="3263" t="s">
        <v>2489</v>
      </c>
      <c r="G34" s="1035"/>
      <c r="H34" s="1025"/>
      <c r="I34" s="1025"/>
    </row>
    <row r="35" spans="1:9" s="1408" customFormat="1">
      <c r="A35" s="3921"/>
      <c r="B35" s="3914"/>
      <c r="C35" s="3264" t="s">
        <v>2490</v>
      </c>
      <c r="D35" s="3265"/>
      <c r="E35" s="3266">
        <v>0.2</v>
      </c>
      <c r="F35" s="3263" t="s">
        <v>2491</v>
      </c>
      <c r="G35" s="1035"/>
      <c r="H35" s="1025"/>
      <c r="I35" s="1025"/>
    </row>
    <row r="36" spans="1:9" s="1408" customFormat="1">
      <c r="A36" s="3921"/>
      <c r="B36" s="3914"/>
      <c r="C36" s="3264" t="s">
        <v>2492</v>
      </c>
      <c r="D36" s="3265"/>
      <c r="E36" s="3266">
        <v>0.2</v>
      </c>
      <c r="F36" s="3263" t="s">
        <v>2493</v>
      </c>
      <c r="G36" s="1035"/>
      <c r="H36" s="1025"/>
      <c r="I36" s="1025"/>
    </row>
    <row r="37" spans="1:9" s="1408" customFormat="1">
      <c r="A37" s="3921"/>
      <c r="B37" s="3912" t="s">
        <v>2494</v>
      </c>
      <c r="C37" s="3264" t="s">
        <v>2495</v>
      </c>
      <c r="D37" s="3265"/>
      <c r="E37" s="3266">
        <v>0.6</v>
      </c>
      <c r="F37" s="3263" t="s">
        <v>2496</v>
      </c>
      <c r="G37" s="1035"/>
      <c r="H37" s="1025"/>
      <c r="I37" s="1025"/>
    </row>
    <row r="38" spans="1:9" s="1408" customFormat="1">
      <c r="A38" s="3921"/>
      <c r="B38" s="3914"/>
      <c r="C38" s="3264" t="s">
        <v>2497</v>
      </c>
      <c r="D38" s="3265"/>
      <c r="E38" s="3266">
        <v>0.6</v>
      </c>
      <c r="F38" s="3263" t="s">
        <v>2498</v>
      </c>
      <c r="G38" s="1035"/>
      <c r="H38" s="1025"/>
      <c r="I38" s="1025"/>
    </row>
    <row r="39" spans="1:9" s="1408" customFormat="1" ht="15" thickBot="1">
      <c r="A39" s="3922"/>
      <c r="B39" s="3919"/>
      <c r="C39" s="3267" t="s">
        <v>2499</v>
      </c>
      <c r="D39" s="3268"/>
      <c r="E39" s="3269">
        <v>0.6</v>
      </c>
      <c r="F39" s="3263" t="s">
        <v>2500</v>
      </c>
      <c r="G39" s="1035"/>
      <c r="H39" s="1025"/>
      <c r="I39" s="1025"/>
    </row>
    <row r="40" spans="1:9" s="1408" customFormat="1" ht="15" thickBot="1">
      <c r="A40" s="3270" t="s">
        <v>2451</v>
      </c>
      <c r="B40" s="3271" t="s">
        <v>2451</v>
      </c>
      <c r="C40" s="3272" t="s">
        <v>2501</v>
      </c>
      <c r="D40" s="3273"/>
      <c r="E40" s="3274">
        <v>1</v>
      </c>
      <c r="F40" s="3263" t="s">
        <v>2502</v>
      </c>
      <c r="G40" s="1035"/>
      <c r="H40" s="1025"/>
      <c r="I40" s="1025"/>
    </row>
    <row r="41" spans="1:9" s="1408" customFormat="1">
      <c r="A41" s="3915" t="s">
        <v>2452</v>
      </c>
      <c r="B41" s="3918" t="s">
        <v>2503</v>
      </c>
      <c r="C41" s="3260" t="s">
        <v>2504</v>
      </c>
      <c r="D41" s="3261"/>
      <c r="E41" s="3262">
        <v>1</v>
      </c>
      <c r="F41" s="3263" t="s">
        <v>2505</v>
      </c>
      <c r="G41" s="1035"/>
      <c r="H41" s="1025"/>
      <c r="I41" s="1025"/>
    </row>
    <row r="42" spans="1:9" s="1408" customFormat="1">
      <c r="A42" s="3916"/>
      <c r="B42" s="3914"/>
      <c r="C42" s="3264" t="s">
        <v>2506</v>
      </c>
      <c r="D42" s="3265"/>
      <c r="E42" s="3266">
        <v>1</v>
      </c>
      <c r="F42" s="3263" t="s">
        <v>2507</v>
      </c>
      <c r="G42" s="1035"/>
      <c r="H42" s="1025"/>
      <c r="I42" s="1025"/>
    </row>
    <row r="43" spans="1:9" s="1408" customFormat="1">
      <c r="A43" s="3916"/>
      <c r="B43" s="3913"/>
      <c r="C43" s="3264" t="s">
        <v>2508</v>
      </c>
      <c r="D43" s="3265"/>
      <c r="E43" s="3266">
        <v>1.5</v>
      </c>
      <c r="F43" s="3263" t="s">
        <v>2509</v>
      </c>
      <c r="G43" s="1035"/>
      <c r="H43" s="1025"/>
      <c r="I43" s="1025"/>
    </row>
    <row r="44" spans="1:9" s="1408" customFormat="1">
      <c r="A44" s="3916"/>
      <c r="B44" s="3275" t="s">
        <v>2454</v>
      </c>
      <c r="C44" s="3264" t="s">
        <v>2453</v>
      </c>
      <c r="D44" s="3265"/>
      <c r="E44" s="3266">
        <v>2</v>
      </c>
      <c r="F44" s="3263" t="s">
        <v>2510</v>
      </c>
      <c r="G44" s="1035"/>
      <c r="H44" s="1025"/>
      <c r="I44" s="1025"/>
    </row>
    <row r="45" spans="1:9" s="1408" customFormat="1">
      <c r="A45" s="3916"/>
      <c r="B45" s="3912" t="s">
        <v>2511</v>
      </c>
      <c r="C45" s="3264" t="s">
        <v>2512</v>
      </c>
      <c r="D45" s="3265"/>
      <c r="E45" s="3266">
        <v>1</v>
      </c>
      <c r="F45" s="3263" t="s">
        <v>2513</v>
      </c>
      <c r="G45" s="1035"/>
      <c r="H45" s="1025"/>
      <c r="I45" s="1025"/>
    </row>
    <row r="46" spans="1:9" s="1408" customFormat="1">
      <c r="A46" s="3916"/>
      <c r="B46" s="3914"/>
      <c r="C46" s="3264" t="s">
        <v>2514</v>
      </c>
      <c r="D46" s="3265"/>
      <c r="E46" s="3266">
        <v>1</v>
      </c>
      <c r="F46" s="3263" t="s">
        <v>2515</v>
      </c>
      <c r="G46" s="1035"/>
      <c r="H46" s="1025"/>
      <c r="I46" s="1025"/>
    </row>
    <row r="47" spans="1:9" s="1408" customFormat="1">
      <c r="A47" s="3916"/>
      <c r="B47" s="3914"/>
      <c r="C47" s="3264" t="s">
        <v>2516</v>
      </c>
      <c r="D47" s="3265"/>
      <c r="E47" s="3266">
        <v>1</v>
      </c>
      <c r="F47" s="3263" t="s">
        <v>2517</v>
      </c>
      <c r="G47" s="1035"/>
      <c r="H47" s="1025"/>
      <c r="I47" s="1025"/>
    </row>
    <row r="48" spans="1:9" s="1408" customFormat="1">
      <c r="A48" s="3916"/>
      <c r="B48" s="3914"/>
      <c r="C48" s="3264" t="s">
        <v>2518</v>
      </c>
      <c r="D48" s="3265"/>
      <c r="E48" s="3266">
        <v>1</v>
      </c>
      <c r="F48" s="3263" t="s">
        <v>2519</v>
      </c>
      <c r="G48" s="1035"/>
      <c r="H48" s="1025"/>
      <c r="I48" s="1025"/>
    </row>
    <row r="49" spans="1:9" s="1408" customFormat="1">
      <c r="A49" s="3916"/>
      <c r="B49" s="3914"/>
      <c r="C49" s="3264" t="s">
        <v>2520</v>
      </c>
      <c r="D49" s="3265"/>
      <c r="E49" s="3266">
        <v>1</v>
      </c>
      <c r="F49" s="3263" t="s">
        <v>2521</v>
      </c>
      <c r="G49" s="1035"/>
      <c r="H49" s="1025"/>
      <c r="I49" s="1025"/>
    </row>
    <row r="50" spans="1:9" s="1408" customFormat="1">
      <c r="A50" s="3916"/>
      <c r="B50" s="3914"/>
      <c r="C50" s="3264" t="s">
        <v>2522</v>
      </c>
      <c r="D50" s="3265"/>
      <c r="E50" s="3266">
        <v>1</v>
      </c>
      <c r="F50" s="3263" t="s">
        <v>2523</v>
      </c>
      <c r="G50" s="1035"/>
      <c r="H50" s="1025"/>
      <c r="I50" s="1025"/>
    </row>
    <row r="51" spans="1:9" s="1408" customFormat="1" ht="15" thickBot="1">
      <c r="A51" s="3917"/>
      <c r="B51" s="3919"/>
      <c r="C51" s="3267" t="s">
        <v>2524</v>
      </c>
      <c r="D51" s="3268"/>
      <c r="E51" s="3269">
        <v>1</v>
      </c>
      <c r="F51" s="3263" t="s">
        <v>2525</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2773</v>
      </c>
      <c r="F56" s="1032" t="s">
        <v>2773</v>
      </c>
      <c r="G56" s="1032" t="s">
        <v>2773</v>
      </c>
      <c r="I56" s="1008"/>
    </row>
    <row r="57" spans="1:9">
      <c r="A57" s="1051" t="s">
        <v>835</v>
      </c>
      <c r="B57" s="3253">
        <v>0.7</v>
      </c>
      <c r="C57" s="3253">
        <v>0.4</v>
      </c>
      <c r="D57" s="3253">
        <v>0.3</v>
      </c>
      <c r="E57" s="3259">
        <v>0.3</v>
      </c>
      <c r="F57" s="3253">
        <v>0.3</v>
      </c>
      <c r="G57" s="3253">
        <v>0.2</v>
      </c>
      <c r="I57" s="1008"/>
    </row>
    <row r="58" spans="1:9">
      <c r="A58" s="1051" t="s">
        <v>836</v>
      </c>
      <c r="B58" s="3253">
        <v>0.7</v>
      </c>
      <c r="C58" s="3253">
        <v>0.4</v>
      </c>
      <c r="D58" s="3253">
        <v>0.3</v>
      </c>
      <c r="E58" s="3253">
        <v>0.3</v>
      </c>
      <c r="F58" s="3253">
        <v>0.3</v>
      </c>
      <c r="G58" s="3253">
        <v>0.2</v>
      </c>
      <c r="I58" s="1008"/>
    </row>
    <row r="59" spans="1:9">
      <c r="A59" s="1051" t="s">
        <v>837</v>
      </c>
      <c r="B59" s="3253">
        <v>0.6</v>
      </c>
      <c r="C59" s="3253">
        <v>0.3</v>
      </c>
      <c r="D59" s="3253">
        <v>0.25</v>
      </c>
      <c r="E59" s="3253">
        <v>0.25</v>
      </c>
      <c r="F59" s="3253">
        <v>0.25</v>
      </c>
      <c r="G59" s="3253">
        <v>0.15</v>
      </c>
      <c r="I59" s="1008"/>
    </row>
    <row r="60" spans="1:9">
      <c r="A60" s="1051" t="s">
        <v>838</v>
      </c>
      <c r="B60" s="3253">
        <v>0.6</v>
      </c>
      <c r="C60" s="3253">
        <v>0.3</v>
      </c>
      <c r="D60" s="3253">
        <v>0.25</v>
      </c>
      <c r="E60" s="3253">
        <v>0.25</v>
      </c>
      <c r="F60" s="3253">
        <v>0.25</v>
      </c>
      <c r="G60" s="3253">
        <v>0.15</v>
      </c>
      <c r="I60" s="1008"/>
    </row>
    <row r="61" spans="1:9" s="1025" customFormat="1">
      <c r="A61" s="1051" t="s">
        <v>839</v>
      </c>
      <c r="B61" s="3253">
        <v>0.6</v>
      </c>
      <c r="C61" s="3253">
        <v>0.3</v>
      </c>
      <c r="D61" s="3253">
        <v>0.25</v>
      </c>
      <c r="E61" s="3253">
        <v>0.25</v>
      </c>
      <c r="F61" s="3253">
        <v>0.25</v>
      </c>
      <c r="G61" s="3253">
        <v>0.15</v>
      </c>
    </row>
    <row r="62" spans="1:9" s="1025" customFormat="1">
      <c r="A62" s="1051" t="s">
        <v>840</v>
      </c>
      <c r="B62" s="3253">
        <v>0.6</v>
      </c>
      <c r="C62" s="3253">
        <v>0.3</v>
      </c>
      <c r="D62" s="3253">
        <v>0.25</v>
      </c>
      <c r="E62" s="3253">
        <v>0.25</v>
      </c>
      <c r="F62" s="3253">
        <v>0.25</v>
      </c>
      <c r="G62" s="3253">
        <v>0.15</v>
      </c>
    </row>
    <row r="63" spans="1:9" s="1025" customFormat="1">
      <c r="A63" s="1051" t="s">
        <v>841</v>
      </c>
      <c r="B63" s="3253">
        <v>0.6</v>
      </c>
      <c r="C63" s="3253">
        <v>0.3</v>
      </c>
      <c r="D63" s="3253">
        <v>0.25</v>
      </c>
      <c r="E63" s="3253">
        <v>0.25</v>
      </c>
      <c r="F63" s="3253">
        <v>0.25</v>
      </c>
      <c r="G63" s="3253">
        <v>0.15</v>
      </c>
    </row>
    <row r="64" spans="1:9" s="1025" customFormat="1">
      <c r="A64" s="1051" t="s">
        <v>842</v>
      </c>
      <c r="B64" s="3253">
        <v>0.5</v>
      </c>
      <c r="C64" s="3253">
        <v>0.2</v>
      </c>
      <c r="D64" s="3253">
        <v>0.2</v>
      </c>
      <c r="E64" s="3253">
        <v>0.2</v>
      </c>
      <c r="F64" s="3253">
        <v>0.2</v>
      </c>
      <c r="G64" s="3253">
        <v>0.1</v>
      </c>
    </row>
    <row r="65" spans="1:8" s="1025" customFormat="1">
      <c r="A65" s="1051" t="s">
        <v>843</v>
      </c>
      <c r="B65" s="3253">
        <v>0.5</v>
      </c>
      <c r="C65" s="3253">
        <v>0.2</v>
      </c>
      <c r="D65" s="3253">
        <v>0.2</v>
      </c>
      <c r="E65" s="3253">
        <v>0.2</v>
      </c>
      <c r="F65" s="3253">
        <v>0.2</v>
      </c>
      <c r="G65" s="3253">
        <v>0.1</v>
      </c>
    </row>
    <row r="66" spans="1:8" s="1025" customFormat="1">
      <c r="A66" s="1051" t="s">
        <v>844</v>
      </c>
      <c r="B66" s="3253">
        <v>0.5</v>
      </c>
      <c r="C66" s="3253">
        <v>0.2</v>
      </c>
      <c r="D66" s="3253">
        <v>0.2</v>
      </c>
      <c r="E66" s="3253">
        <v>0.2</v>
      </c>
      <c r="F66" s="3253">
        <v>0.2</v>
      </c>
      <c r="G66" s="3253">
        <v>0.1</v>
      </c>
    </row>
    <row r="67" spans="1:8" s="1025" customFormat="1">
      <c r="A67" s="1051" t="s">
        <v>845</v>
      </c>
      <c r="B67" s="3253">
        <v>0.5</v>
      </c>
      <c r="C67" s="3253">
        <v>0.2</v>
      </c>
      <c r="D67" s="3253">
        <v>0.2</v>
      </c>
      <c r="E67" s="3253">
        <v>0.2</v>
      </c>
      <c r="F67" s="3253">
        <v>0.2</v>
      </c>
      <c r="G67" s="3253">
        <v>0.1</v>
      </c>
    </row>
    <row r="68" spans="1:8" s="1025" customFormat="1">
      <c r="A68" s="1051" t="s">
        <v>846</v>
      </c>
      <c r="B68" s="3253">
        <v>0.5</v>
      </c>
      <c r="C68" s="3253">
        <v>0.2</v>
      </c>
      <c r="D68" s="3253">
        <v>0.2</v>
      </c>
      <c r="E68" s="3253">
        <v>0.2</v>
      </c>
      <c r="F68" s="3253">
        <v>0.2</v>
      </c>
      <c r="G68" s="3253">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2526</v>
      </c>
      <c r="D72" s="1053"/>
      <c r="E72" s="1040" t="s">
        <v>1158</v>
      </c>
      <c r="F72" s="1053" t="s">
        <v>1158</v>
      </c>
    </row>
    <row r="73" spans="1:8" s="1025" customFormat="1" ht="24">
      <c r="A73" s="3275">
        <v>1</v>
      </c>
      <c r="B73" s="3912" t="s">
        <v>2527</v>
      </c>
      <c r="C73" s="3253" t="s">
        <v>2528</v>
      </c>
      <c r="D73" s="3253" t="s">
        <v>2529</v>
      </c>
      <c r="E73" s="3276">
        <v>0.2</v>
      </c>
      <c r="F73" s="3275">
        <v>25</v>
      </c>
      <c r="H73" s="1025">
        <f>SUMIF(C71:C139,基准地价!C8,E71:E139)</f>
        <v>0</v>
      </c>
    </row>
    <row r="74" spans="1:8" s="1025" customFormat="1" ht="36">
      <c r="A74" s="3275">
        <v>2</v>
      </c>
      <c r="B74" s="3914"/>
      <c r="C74" s="3253" t="s">
        <v>2530</v>
      </c>
      <c r="D74" s="3253" t="s">
        <v>2531</v>
      </c>
      <c r="E74" s="3276">
        <v>0.2</v>
      </c>
      <c r="F74" s="3275">
        <v>25</v>
      </c>
    </row>
    <row r="75" spans="1:8" s="1025" customFormat="1" ht="24">
      <c r="A75" s="3275">
        <v>3</v>
      </c>
      <c r="B75" s="3914"/>
      <c r="C75" s="3253" t="s">
        <v>2532</v>
      </c>
      <c r="D75" s="3253" t="s">
        <v>2533</v>
      </c>
      <c r="E75" s="3276">
        <v>0.2</v>
      </c>
      <c r="F75" s="3275">
        <v>25</v>
      </c>
    </row>
    <row r="76" spans="1:8" s="1025" customFormat="1" ht="24">
      <c r="A76" s="3275">
        <v>4</v>
      </c>
      <c r="B76" s="3914"/>
      <c r="C76" s="3253" t="s">
        <v>2534</v>
      </c>
      <c r="D76" s="3253" t="s">
        <v>2535</v>
      </c>
      <c r="E76" s="3276">
        <v>0.15</v>
      </c>
      <c r="F76" s="3275">
        <v>20</v>
      </c>
    </row>
    <row r="77" spans="1:8" s="1025" customFormat="1" ht="24">
      <c r="A77" s="3275">
        <v>5</v>
      </c>
      <c r="B77" s="3914"/>
      <c r="C77" s="3253" t="s">
        <v>2536</v>
      </c>
      <c r="D77" s="3253" t="s">
        <v>2537</v>
      </c>
      <c r="E77" s="3276">
        <v>0.15</v>
      </c>
      <c r="F77" s="3275">
        <v>20</v>
      </c>
    </row>
    <row r="78" spans="1:8" s="1025" customFormat="1" ht="24">
      <c r="A78" s="3275">
        <v>6</v>
      </c>
      <c r="B78" s="3914"/>
      <c r="C78" s="3253" t="s">
        <v>2538</v>
      </c>
      <c r="D78" s="3253" t="s">
        <v>2539</v>
      </c>
      <c r="E78" s="3276">
        <v>0.15</v>
      </c>
      <c r="F78" s="3275">
        <v>20</v>
      </c>
    </row>
    <row r="79" spans="1:8" s="1025" customFormat="1" ht="36">
      <c r="A79" s="3275">
        <v>7</v>
      </c>
      <c r="B79" s="3914"/>
      <c r="C79" s="3253" t="s">
        <v>2540</v>
      </c>
      <c r="D79" s="3253" t="s">
        <v>2541</v>
      </c>
      <c r="E79" s="3276">
        <v>0.15</v>
      </c>
      <c r="F79" s="3275">
        <v>20</v>
      </c>
    </row>
    <row r="80" spans="1:8" s="1025" customFormat="1" ht="24">
      <c r="A80" s="3275">
        <v>8</v>
      </c>
      <c r="B80" s="3914"/>
      <c r="C80" s="3253" t="s">
        <v>2542</v>
      </c>
      <c r="D80" s="3253" t="s">
        <v>2543</v>
      </c>
      <c r="E80" s="3276">
        <v>0.1</v>
      </c>
      <c r="F80" s="3275">
        <v>15</v>
      </c>
    </row>
    <row r="81" spans="1:6" s="1025" customFormat="1" ht="24">
      <c r="A81" s="3275">
        <v>9</v>
      </c>
      <c r="B81" s="3914"/>
      <c r="C81" s="3253" t="s">
        <v>2544</v>
      </c>
      <c r="D81" s="3253" t="s">
        <v>2545</v>
      </c>
      <c r="E81" s="3276">
        <v>0.1</v>
      </c>
      <c r="F81" s="3275">
        <v>15</v>
      </c>
    </row>
    <row r="82" spans="1:6" s="1025" customFormat="1" ht="24">
      <c r="A82" s="3275">
        <v>10</v>
      </c>
      <c r="B82" s="3914"/>
      <c r="C82" s="3253" t="s">
        <v>2546</v>
      </c>
      <c r="D82" s="3253" t="s">
        <v>2547</v>
      </c>
      <c r="E82" s="3276">
        <v>0.1</v>
      </c>
      <c r="F82" s="3275">
        <v>15</v>
      </c>
    </row>
    <row r="83" spans="1:6" s="1025" customFormat="1" ht="36">
      <c r="A83" s="3275">
        <v>11</v>
      </c>
      <c r="B83" s="3914"/>
      <c r="C83" s="3253" t="s">
        <v>2548</v>
      </c>
      <c r="D83" s="3253" t="s">
        <v>2549</v>
      </c>
      <c r="E83" s="3276">
        <v>0.1</v>
      </c>
      <c r="F83" s="3275">
        <v>15</v>
      </c>
    </row>
    <row r="84" spans="1:6" s="1025" customFormat="1" ht="36">
      <c r="A84" s="3275">
        <v>12</v>
      </c>
      <c r="B84" s="3914"/>
      <c r="C84" s="3253" t="s">
        <v>2550</v>
      </c>
      <c r="D84" s="3253" t="s">
        <v>2551</v>
      </c>
      <c r="E84" s="3276">
        <v>0.1</v>
      </c>
      <c r="F84" s="3275">
        <v>15</v>
      </c>
    </row>
    <row r="85" spans="1:6" s="1025" customFormat="1" ht="24">
      <c r="A85" s="3275">
        <v>13</v>
      </c>
      <c r="B85" s="3914"/>
      <c r="C85" s="3253" t="s">
        <v>2552</v>
      </c>
      <c r="D85" s="3253" t="s">
        <v>2553</v>
      </c>
      <c r="E85" s="3276">
        <v>0.1</v>
      </c>
      <c r="F85" s="3275">
        <v>15</v>
      </c>
    </row>
    <row r="86" spans="1:6" s="1025" customFormat="1" ht="24">
      <c r="A86" s="3275">
        <v>14</v>
      </c>
      <c r="B86" s="3914"/>
      <c r="C86" s="3253" t="s">
        <v>2554</v>
      </c>
      <c r="D86" s="3253" t="s">
        <v>2555</v>
      </c>
      <c r="E86" s="3276">
        <v>0.1</v>
      </c>
      <c r="F86" s="3275">
        <v>15</v>
      </c>
    </row>
    <row r="87" spans="1:6" s="1025" customFormat="1" ht="24">
      <c r="A87" s="3275">
        <v>15</v>
      </c>
      <c r="B87" s="3914"/>
      <c r="C87" s="3253" t="s">
        <v>2556</v>
      </c>
      <c r="D87" s="3253" t="s">
        <v>2557</v>
      </c>
      <c r="E87" s="3276">
        <v>0.1</v>
      </c>
      <c r="F87" s="3275">
        <v>15</v>
      </c>
    </row>
    <row r="88" spans="1:6" s="1025" customFormat="1" ht="24">
      <c r="A88" s="3275">
        <v>16</v>
      </c>
      <c r="B88" s="3914"/>
      <c r="C88" s="3253" t="s">
        <v>2558</v>
      </c>
      <c r="D88" s="3253" t="s">
        <v>2559</v>
      </c>
      <c r="E88" s="3276">
        <v>0.1</v>
      </c>
      <c r="F88" s="3275">
        <v>15</v>
      </c>
    </row>
    <row r="89" spans="1:6" s="1025" customFormat="1" ht="36">
      <c r="A89" s="3275">
        <v>17</v>
      </c>
      <c r="B89" s="3913"/>
      <c r="C89" s="3253" t="s">
        <v>2560</v>
      </c>
      <c r="D89" s="3253" t="s">
        <v>2561</v>
      </c>
      <c r="E89" s="3276">
        <v>0.1</v>
      </c>
      <c r="F89" s="3275">
        <v>15</v>
      </c>
    </row>
    <row r="90" spans="1:6" s="1025" customFormat="1" ht="24">
      <c r="A90" s="3275">
        <v>18</v>
      </c>
      <c r="B90" s="3912" t="s">
        <v>2562</v>
      </c>
      <c r="C90" s="3253" t="s">
        <v>2563</v>
      </c>
      <c r="D90" s="3253" t="s">
        <v>2564</v>
      </c>
      <c r="E90" s="3276">
        <v>0.2</v>
      </c>
      <c r="F90" s="3275">
        <v>25</v>
      </c>
    </row>
    <row r="91" spans="1:6" s="1025" customFormat="1" ht="36">
      <c r="A91" s="3275">
        <v>19</v>
      </c>
      <c r="B91" s="3914"/>
      <c r="C91" s="3253" t="s">
        <v>2565</v>
      </c>
      <c r="D91" s="3253" t="s">
        <v>2566</v>
      </c>
      <c r="E91" s="3276">
        <v>0.2</v>
      </c>
      <c r="F91" s="3275">
        <v>25</v>
      </c>
    </row>
    <row r="92" spans="1:6" s="1025" customFormat="1" ht="24">
      <c r="A92" s="3275">
        <v>20</v>
      </c>
      <c r="B92" s="3914"/>
      <c r="C92" s="3253" t="s">
        <v>2567</v>
      </c>
      <c r="D92" s="3253" t="s">
        <v>2568</v>
      </c>
      <c r="E92" s="3276">
        <v>0.15</v>
      </c>
      <c r="F92" s="3275">
        <v>20</v>
      </c>
    </row>
    <row r="93" spans="1:6" s="1025" customFormat="1" ht="24">
      <c r="A93" s="3275">
        <v>21</v>
      </c>
      <c r="B93" s="3914"/>
      <c r="C93" s="3253" t="s">
        <v>2569</v>
      </c>
      <c r="D93" s="3253" t="s">
        <v>2570</v>
      </c>
      <c r="E93" s="3276">
        <v>0.15</v>
      </c>
      <c r="F93" s="3275">
        <v>20</v>
      </c>
    </row>
    <row r="94" spans="1:6" s="1025" customFormat="1" ht="24">
      <c r="A94" s="3275">
        <v>22</v>
      </c>
      <c r="B94" s="3914"/>
      <c r="C94" s="3253" t="s">
        <v>2571</v>
      </c>
      <c r="D94" s="3253" t="s">
        <v>2572</v>
      </c>
      <c r="E94" s="3276">
        <v>0.15</v>
      </c>
      <c r="F94" s="3275">
        <v>20</v>
      </c>
    </row>
    <row r="95" spans="1:6" s="1025" customFormat="1" ht="48">
      <c r="A95" s="3275">
        <v>23</v>
      </c>
      <c r="B95" s="3914"/>
      <c r="C95" s="3253" t="s">
        <v>2573</v>
      </c>
      <c r="D95" s="3253" t="s">
        <v>2574</v>
      </c>
      <c r="E95" s="3276">
        <v>0.15</v>
      </c>
      <c r="F95" s="3275">
        <v>20</v>
      </c>
    </row>
    <row r="96" spans="1:6" s="1025" customFormat="1" ht="24">
      <c r="A96" s="3275">
        <v>24</v>
      </c>
      <c r="B96" s="3914"/>
      <c r="C96" s="3253" t="s">
        <v>2575</v>
      </c>
      <c r="D96" s="3253" t="s">
        <v>2576</v>
      </c>
      <c r="E96" s="3276">
        <v>0.1</v>
      </c>
      <c r="F96" s="3275">
        <v>15</v>
      </c>
    </row>
    <row r="97" spans="1:6" s="1025" customFormat="1" ht="24">
      <c r="A97" s="3275">
        <v>25</v>
      </c>
      <c r="B97" s="3914"/>
      <c r="C97" s="3253" t="s">
        <v>2577</v>
      </c>
      <c r="D97" s="3253" t="s">
        <v>2578</v>
      </c>
      <c r="E97" s="3276">
        <v>0.1</v>
      </c>
      <c r="F97" s="3275">
        <v>15</v>
      </c>
    </row>
    <row r="98" spans="1:6" s="1025" customFormat="1" ht="36">
      <c r="A98" s="3275">
        <v>26</v>
      </c>
      <c r="B98" s="3914"/>
      <c r="C98" s="3253" t="s">
        <v>2579</v>
      </c>
      <c r="D98" s="3253" t="s">
        <v>2580</v>
      </c>
      <c r="E98" s="3276">
        <v>0.1</v>
      </c>
      <c r="F98" s="3275">
        <v>15</v>
      </c>
    </row>
    <row r="99" spans="1:6" s="1025" customFormat="1" ht="24">
      <c r="A99" s="3275">
        <v>27</v>
      </c>
      <c r="B99" s="3914"/>
      <c r="C99" s="3253" t="s">
        <v>2581</v>
      </c>
      <c r="D99" s="3253" t="s">
        <v>2582</v>
      </c>
      <c r="E99" s="3276">
        <v>0.1</v>
      </c>
      <c r="F99" s="3275">
        <v>15</v>
      </c>
    </row>
    <row r="100" spans="1:6" s="1025" customFormat="1" ht="24">
      <c r="A100" s="3275">
        <v>28</v>
      </c>
      <c r="B100" s="3914"/>
      <c r="C100" s="3253" t="s">
        <v>2583</v>
      </c>
      <c r="D100" s="3253" t="s">
        <v>2584</v>
      </c>
      <c r="E100" s="3276">
        <v>0.1</v>
      </c>
      <c r="F100" s="3275">
        <v>15</v>
      </c>
    </row>
    <row r="101" spans="1:6" s="1025" customFormat="1" ht="24">
      <c r="A101" s="3275">
        <v>29</v>
      </c>
      <c r="B101" s="3914"/>
      <c r="C101" s="3253" t="s">
        <v>2585</v>
      </c>
      <c r="D101" s="3253" t="s">
        <v>2586</v>
      </c>
      <c r="E101" s="3276">
        <v>0.1</v>
      </c>
      <c r="F101" s="3275">
        <v>15</v>
      </c>
    </row>
    <row r="102" spans="1:6" s="1025" customFormat="1" ht="24">
      <c r="A102" s="3275">
        <v>30</v>
      </c>
      <c r="B102" s="3914"/>
      <c r="C102" s="3253" t="s">
        <v>2587</v>
      </c>
      <c r="D102" s="3253" t="s">
        <v>2588</v>
      </c>
      <c r="E102" s="3276">
        <v>0.1</v>
      </c>
      <c r="F102" s="3275">
        <v>15</v>
      </c>
    </row>
    <row r="103" spans="1:6" s="1025" customFormat="1" ht="24">
      <c r="A103" s="3275">
        <v>31</v>
      </c>
      <c r="B103" s="3914"/>
      <c r="C103" s="3253" t="s">
        <v>2589</v>
      </c>
      <c r="D103" s="3253" t="s">
        <v>2590</v>
      </c>
      <c r="E103" s="3276">
        <v>0.1</v>
      </c>
      <c r="F103" s="3275">
        <v>15</v>
      </c>
    </row>
    <row r="104" spans="1:6" s="1025" customFormat="1" ht="36">
      <c r="A104" s="3275">
        <v>32</v>
      </c>
      <c r="B104" s="3914"/>
      <c r="C104" s="3253" t="s">
        <v>2591</v>
      </c>
      <c r="D104" s="3253" t="s">
        <v>2592</v>
      </c>
      <c r="E104" s="3276">
        <v>0.1</v>
      </c>
      <c r="F104" s="3275">
        <v>15</v>
      </c>
    </row>
    <row r="105" spans="1:6" s="1025" customFormat="1" ht="36">
      <c r="A105" s="3275">
        <v>33</v>
      </c>
      <c r="B105" s="3914"/>
      <c r="C105" s="3253" t="s">
        <v>2593</v>
      </c>
      <c r="D105" s="3253" t="s">
        <v>2594</v>
      </c>
      <c r="E105" s="3276">
        <v>0.1</v>
      </c>
      <c r="F105" s="3275">
        <v>15</v>
      </c>
    </row>
    <row r="106" spans="1:6" s="1025" customFormat="1" ht="24">
      <c r="A106" s="3275">
        <v>34</v>
      </c>
      <c r="B106" s="3913"/>
      <c r="C106" s="3253" t="s">
        <v>2595</v>
      </c>
      <c r="D106" s="3253" t="s">
        <v>2596</v>
      </c>
      <c r="E106" s="3276">
        <v>0.1</v>
      </c>
      <c r="F106" s="3275">
        <v>15</v>
      </c>
    </row>
    <row r="107" spans="1:6" s="1025" customFormat="1" ht="36">
      <c r="A107" s="3275">
        <v>35</v>
      </c>
      <c r="B107" s="3912" t="s">
        <v>2597</v>
      </c>
      <c r="C107" s="3275" t="s">
        <v>2598</v>
      </c>
      <c r="D107" s="3253" t="s">
        <v>2599</v>
      </c>
      <c r="E107" s="3276">
        <v>0.15</v>
      </c>
      <c r="F107" s="3275">
        <v>20</v>
      </c>
    </row>
    <row r="108" spans="1:6" s="1025" customFormat="1" ht="24">
      <c r="A108" s="3275">
        <v>36</v>
      </c>
      <c r="B108" s="3914"/>
      <c r="C108" s="3275" t="s">
        <v>2600</v>
      </c>
      <c r="D108" s="3253" t="s">
        <v>2601</v>
      </c>
      <c r="E108" s="3276">
        <v>0.15</v>
      </c>
      <c r="F108" s="3275">
        <v>20</v>
      </c>
    </row>
    <row r="109" spans="1:6" s="1025" customFormat="1" ht="24">
      <c r="A109" s="3275">
        <v>37</v>
      </c>
      <c r="B109" s="3914"/>
      <c r="C109" s="3275" t="s">
        <v>2602</v>
      </c>
      <c r="D109" s="3253" t="s">
        <v>2603</v>
      </c>
      <c r="E109" s="3276">
        <v>0.15</v>
      </c>
      <c r="F109" s="3275">
        <v>20</v>
      </c>
    </row>
    <row r="110" spans="1:6" s="1025" customFormat="1" ht="24">
      <c r="A110" s="3275">
        <v>38</v>
      </c>
      <c r="B110" s="3914"/>
      <c r="C110" s="3275" t="s">
        <v>2604</v>
      </c>
      <c r="D110" s="3253" t="s">
        <v>2605</v>
      </c>
      <c r="E110" s="3276">
        <v>0.1</v>
      </c>
      <c r="F110" s="3275">
        <v>15</v>
      </c>
    </row>
    <row r="111" spans="1:6" s="1025" customFormat="1" ht="24">
      <c r="A111" s="3275">
        <v>39</v>
      </c>
      <c r="B111" s="3914"/>
      <c r="C111" s="3275" t="s">
        <v>2606</v>
      </c>
      <c r="D111" s="3253" t="s">
        <v>2607</v>
      </c>
      <c r="E111" s="3276">
        <v>0.1</v>
      </c>
      <c r="F111" s="3275">
        <v>15</v>
      </c>
    </row>
    <row r="112" spans="1:6" s="1025" customFormat="1" ht="24">
      <c r="A112" s="3275">
        <v>40</v>
      </c>
      <c r="B112" s="3913"/>
      <c r="C112" s="3275" t="s">
        <v>2608</v>
      </c>
      <c r="D112" s="3253" t="s">
        <v>2609</v>
      </c>
      <c r="E112" s="3276">
        <v>0.1</v>
      </c>
      <c r="F112" s="3275">
        <v>15</v>
      </c>
    </row>
    <row r="113" spans="1:6" s="1025" customFormat="1" ht="24">
      <c r="A113" s="3275">
        <v>41</v>
      </c>
      <c r="B113" s="3911" t="s">
        <v>2610</v>
      </c>
      <c r="C113" s="3275" t="s">
        <v>2611</v>
      </c>
      <c r="D113" s="3253" t="s">
        <v>2612</v>
      </c>
      <c r="E113" s="3276">
        <v>0.1</v>
      </c>
      <c r="F113" s="3275">
        <v>15</v>
      </c>
    </row>
    <row r="114" spans="1:6" s="1025" customFormat="1" ht="24">
      <c r="A114" s="3275">
        <v>42</v>
      </c>
      <c r="B114" s="3911"/>
      <c r="C114" s="3275" t="s">
        <v>2613</v>
      </c>
      <c r="D114" s="3253" t="s">
        <v>2614</v>
      </c>
      <c r="E114" s="3276">
        <v>0.1</v>
      </c>
      <c r="F114" s="3275">
        <v>15</v>
      </c>
    </row>
    <row r="115" spans="1:6" s="1025" customFormat="1" ht="24">
      <c r="A115" s="3275">
        <v>43</v>
      </c>
      <c r="B115" s="3911"/>
      <c r="C115" s="3275" t="s">
        <v>2615</v>
      </c>
      <c r="D115" s="3253" t="s">
        <v>2616</v>
      </c>
      <c r="E115" s="3276">
        <v>0.1</v>
      </c>
      <c r="F115" s="3275">
        <v>15</v>
      </c>
    </row>
    <row r="116" spans="1:6" s="1025" customFormat="1" ht="24">
      <c r="A116" s="3275">
        <v>44</v>
      </c>
      <c r="B116" s="3912" t="s">
        <v>2617</v>
      </c>
      <c r="C116" s="3275" t="s">
        <v>2618</v>
      </c>
      <c r="D116" s="3253" t="s">
        <v>2619</v>
      </c>
      <c r="E116" s="3276">
        <v>0.1</v>
      </c>
      <c r="F116" s="3275">
        <v>15</v>
      </c>
    </row>
    <row r="117" spans="1:6" s="1025" customFormat="1" ht="24">
      <c r="A117" s="3275">
        <v>45</v>
      </c>
      <c r="B117" s="3913"/>
      <c r="C117" s="3253" t="s">
        <v>2620</v>
      </c>
      <c r="D117" s="3253" t="s">
        <v>2621</v>
      </c>
      <c r="E117" s="3276">
        <v>0.1</v>
      </c>
      <c r="F117" s="3275">
        <v>15</v>
      </c>
    </row>
    <row r="118" spans="1:6" s="1025" customFormat="1" ht="24">
      <c r="A118" s="3275">
        <v>46</v>
      </c>
      <c r="B118" s="3912" t="s">
        <v>2622</v>
      </c>
      <c r="C118" s="3275" t="s">
        <v>2623</v>
      </c>
      <c r="D118" s="3253" t="s">
        <v>2624</v>
      </c>
      <c r="E118" s="3276">
        <v>0.1</v>
      </c>
      <c r="F118" s="3275">
        <v>15</v>
      </c>
    </row>
    <row r="119" spans="1:6" s="1025" customFormat="1" ht="24">
      <c r="A119" s="3275">
        <v>47</v>
      </c>
      <c r="B119" s="3913"/>
      <c r="C119" s="3275" t="s">
        <v>2625</v>
      </c>
      <c r="D119" s="3253" t="s">
        <v>2626</v>
      </c>
      <c r="E119" s="3276">
        <v>0.1</v>
      </c>
      <c r="F119" s="3275">
        <v>15</v>
      </c>
    </row>
    <row r="120" spans="1:6" s="1025" customFormat="1" ht="24">
      <c r="A120" s="3275">
        <v>48</v>
      </c>
      <c r="B120" s="3912" t="s">
        <v>2627</v>
      </c>
      <c r="C120" s="3275" t="s">
        <v>2628</v>
      </c>
      <c r="D120" s="3253" t="s">
        <v>2629</v>
      </c>
      <c r="E120" s="3276">
        <v>0.1</v>
      </c>
      <c r="F120" s="3275">
        <v>15</v>
      </c>
    </row>
    <row r="121" spans="1:6" s="1025" customFormat="1" ht="24">
      <c r="A121" s="3275">
        <v>49</v>
      </c>
      <c r="B121" s="3913"/>
      <c r="C121" s="3275" t="s">
        <v>2630</v>
      </c>
      <c r="D121" s="3253" t="s">
        <v>2631</v>
      </c>
      <c r="E121" s="3276">
        <v>0.1</v>
      </c>
      <c r="F121" s="3275">
        <v>15</v>
      </c>
    </row>
    <row r="122" spans="1:6" s="1025" customFormat="1" ht="24">
      <c r="A122" s="3275">
        <v>50</v>
      </c>
      <c r="B122" s="3911" t="s">
        <v>2632</v>
      </c>
      <c r="C122" s="3275" t="s">
        <v>2633</v>
      </c>
      <c r="D122" s="3253" t="s">
        <v>2634</v>
      </c>
      <c r="E122" s="3276">
        <v>0.1</v>
      </c>
      <c r="F122" s="3275">
        <v>15</v>
      </c>
    </row>
    <row r="123" spans="1:6" s="1025" customFormat="1" ht="24">
      <c r="A123" s="3275">
        <v>51</v>
      </c>
      <c r="B123" s="3911"/>
      <c r="C123" s="3275" t="s">
        <v>2635</v>
      </c>
      <c r="D123" s="3253" t="s">
        <v>2636</v>
      </c>
      <c r="E123" s="3276">
        <v>0.1</v>
      </c>
      <c r="F123" s="3275">
        <v>15</v>
      </c>
    </row>
    <row r="124" spans="1:6" s="1025" customFormat="1" ht="24">
      <c r="A124" s="3275">
        <v>52</v>
      </c>
      <c r="B124" s="3911" t="s">
        <v>2637</v>
      </c>
      <c r="C124" s="3275" t="s">
        <v>2638</v>
      </c>
      <c r="D124" s="3253" t="s">
        <v>2639</v>
      </c>
      <c r="E124" s="3276">
        <v>0.1</v>
      </c>
      <c r="F124" s="3275">
        <v>15</v>
      </c>
    </row>
    <row r="125" spans="1:6" s="1025" customFormat="1" ht="24">
      <c r="A125" s="3275">
        <v>53</v>
      </c>
      <c r="B125" s="3911"/>
      <c r="C125" s="3275" t="s">
        <v>2640</v>
      </c>
      <c r="D125" s="3253" t="s">
        <v>2641</v>
      </c>
      <c r="E125" s="3276">
        <v>0.1</v>
      </c>
      <c r="F125" s="3275">
        <v>15</v>
      </c>
    </row>
    <row r="126" spans="1:6" ht="24">
      <c r="A126" s="3275">
        <v>54</v>
      </c>
      <c r="B126" s="3275" t="s">
        <v>2642</v>
      </c>
      <c r="C126" s="3275" t="s">
        <v>2643</v>
      </c>
      <c r="D126" s="3253" t="s">
        <v>2644</v>
      </c>
      <c r="E126" s="3276">
        <v>0.1</v>
      </c>
      <c r="F126" s="3275">
        <v>15</v>
      </c>
    </row>
    <row r="127" spans="1:6" ht="24">
      <c r="A127" s="3275">
        <v>55</v>
      </c>
      <c r="B127" s="3911" t="s">
        <v>2645</v>
      </c>
      <c r="C127" s="3275" t="s">
        <v>2646</v>
      </c>
      <c r="D127" s="3253" t="s">
        <v>2647</v>
      </c>
      <c r="E127" s="3276">
        <v>0.1</v>
      </c>
      <c r="F127" s="3275">
        <v>15</v>
      </c>
    </row>
    <row r="128" spans="1:6" ht="24">
      <c r="A128" s="3275">
        <v>56</v>
      </c>
      <c r="B128" s="3911"/>
      <c r="C128" s="3275" t="s">
        <v>2648</v>
      </c>
      <c r="D128" s="3253" t="s">
        <v>2649</v>
      </c>
      <c r="E128" s="3276">
        <v>0.1</v>
      </c>
      <c r="F128" s="3275">
        <v>15</v>
      </c>
    </row>
    <row r="129" spans="1:14" ht="24">
      <c r="A129" s="3275">
        <v>57</v>
      </c>
      <c r="B129" s="3911"/>
      <c r="C129" s="3275" t="s">
        <v>2650</v>
      </c>
      <c r="D129" s="3253" t="s">
        <v>2651</v>
      </c>
      <c r="E129" s="3276">
        <v>0.1</v>
      </c>
      <c r="F129" s="3275">
        <v>15</v>
      </c>
    </row>
    <row r="130" spans="1:14" ht="24">
      <c r="A130" s="3275">
        <v>58</v>
      </c>
      <c r="B130" s="3911" t="s">
        <v>2652</v>
      </c>
      <c r="C130" s="3275" t="s">
        <v>2653</v>
      </c>
      <c r="D130" s="3253" t="s">
        <v>2654</v>
      </c>
      <c r="E130" s="3276">
        <v>0.1</v>
      </c>
      <c r="F130" s="3275">
        <v>15</v>
      </c>
    </row>
    <row r="131" spans="1:14" ht="24">
      <c r="A131" s="3275">
        <v>59</v>
      </c>
      <c r="B131" s="3911"/>
      <c r="C131" s="3275" t="s">
        <v>2655</v>
      </c>
      <c r="D131" s="3253" t="s">
        <v>2656</v>
      </c>
      <c r="E131" s="3276">
        <v>0.1</v>
      </c>
      <c r="F131" s="3275">
        <v>15</v>
      </c>
    </row>
    <row r="132" spans="1:14" ht="24">
      <c r="A132" s="3275">
        <v>60</v>
      </c>
      <c r="B132" s="3912" t="s">
        <v>2657</v>
      </c>
      <c r="C132" s="3275" t="s">
        <v>2658</v>
      </c>
      <c r="D132" s="3253" t="s">
        <v>2659</v>
      </c>
      <c r="E132" s="3276">
        <v>0.1</v>
      </c>
      <c r="F132" s="3275">
        <v>15</v>
      </c>
    </row>
    <row r="133" spans="1:14" ht="24">
      <c r="A133" s="3275">
        <v>61</v>
      </c>
      <c r="B133" s="3913"/>
      <c r="C133" s="3275" t="s">
        <v>2660</v>
      </c>
      <c r="D133" s="3253" t="s">
        <v>2661</v>
      </c>
      <c r="E133" s="3276">
        <v>0.1</v>
      </c>
      <c r="F133" s="3275">
        <v>15</v>
      </c>
    </row>
    <row r="134" spans="1:14" ht="24">
      <c r="A134" s="3275">
        <v>62</v>
      </c>
      <c r="B134" s="3275" t="s">
        <v>2662</v>
      </c>
      <c r="C134" s="3275" t="s">
        <v>2663</v>
      </c>
      <c r="D134" s="3253" t="s">
        <v>2664</v>
      </c>
      <c r="E134" s="3276">
        <v>0.1</v>
      </c>
      <c r="F134" s="3275">
        <v>15</v>
      </c>
    </row>
    <row r="135" spans="1:14" ht="24">
      <c r="A135" s="3275">
        <v>63</v>
      </c>
      <c r="B135" s="3911" t="s">
        <v>2665</v>
      </c>
      <c r="C135" s="3275" t="s">
        <v>2666</v>
      </c>
      <c r="D135" s="3253" t="s">
        <v>2667</v>
      </c>
      <c r="E135" s="3276">
        <v>0.1</v>
      </c>
      <c r="F135" s="3275">
        <v>15</v>
      </c>
    </row>
    <row r="136" spans="1:14" ht="24">
      <c r="A136" s="3275">
        <v>64</v>
      </c>
      <c r="B136" s="3911"/>
      <c r="C136" s="3275" t="s">
        <v>2668</v>
      </c>
      <c r="D136" s="3253" t="s">
        <v>2669</v>
      </c>
      <c r="E136" s="3276">
        <v>0.1</v>
      </c>
      <c r="F136" s="3275">
        <v>15</v>
      </c>
    </row>
    <row r="137" spans="1:14" ht="24">
      <c r="A137" s="3275">
        <v>65</v>
      </c>
      <c r="B137" s="3275" t="s">
        <v>2670</v>
      </c>
      <c r="C137" s="3275" t="s">
        <v>2671</v>
      </c>
      <c r="D137" s="3253" t="s">
        <v>2672</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4" customWidth="1"/>
    <col min="2" max="2" width="15" style="3434" customWidth="1"/>
    <col min="3" max="6" width="10.21875" style="3434" customWidth="1"/>
    <col min="7" max="7" width="9" style="3434"/>
    <col min="8" max="8" width="9" style="1011"/>
    <col min="9" max="9" width="9" style="1008"/>
    <col min="10" max="10" width="17.33203125" style="3460" customWidth="1"/>
    <col min="11" max="21" width="17.33203125" style="3434" customWidth="1"/>
    <col min="22" max="16384" width="9" style="1008"/>
  </cols>
  <sheetData>
    <row r="1" spans="1:21">
      <c r="A1" s="3923" t="s">
        <v>2812</v>
      </c>
      <c r="B1" s="3923"/>
      <c r="C1" s="3923"/>
      <c r="D1" s="3923"/>
      <c r="E1" s="3923"/>
      <c r="F1" s="3923"/>
      <c r="G1" s="3924"/>
      <c r="I1" s="1012"/>
      <c r="J1" s="3457" t="s">
        <v>960</v>
      </c>
      <c r="K1" s="3458" t="s">
        <v>961</v>
      </c>
      <c r="L1" s="3458" t="s">
        <v>962</v>
      </c>
      <c r="M1" s="3458" t="s">
        <v>963</v>
      </c>
      <c r="N1" s="3458" t="s">
        <v>964</v>
      </c>
      <c r="O1" s="3458" t="s">
        <v>965</v>
      </c>
      <c r="P1" s="3458" t="s">
        <v>966</v>
      </c>
      <c r="Q1" s="3458" t="s">
        <v>967</v>
      </c>
      <c r="R1" s="3458" t="s">
        <v>968</v>
      </c>
      <c r="S1" s="3458" t="s">
        <v>969</v>
      </c>
      <c r="T1" s="3458" t="s">
        <v>970</v>
      </c>
      <c r="U1" s="3459" t="s">
        <v>971</v>
      </c>
    </row>
    <row r="2" spans="1:21" ht="15" thickBot="1">
      <c r="A2" s="3420" t="s">
        <v>2813</v>
      </c>
      <c r="B2" s="3420"/>
      <c r="C2" s="3420"/>
      <c r="D2" s="3420"/>
      <c r="E2" s="3420"/>
      <c r="F2" s="3420"/>
      <c r="G2" s="3415" t="s">
        <v>2814</v>
      </c>
      <c r="J2" s="3444" t="s">
        <v>2820</v>
      </c>
      <c r="K2" s="3424" t="s">
        <v>2822</v>
      </c>
      <c r="L2" s="3424" t="s">
        <v>2824</v>
      </c>
      <c r="M2" s="3424" t="s">
        <v>2830</v>
      </c>
      <c r="N2" s="3424" t="s">
        <v>2840</v>
      </c>
      <c r="O2" s="3424" t="s">
        <v>2855</v>
      </c>
      <c r="P2" s="3424" t="s">
        <v>2892</v>
      </c>
      <c r="Q2" s="3424" t="s">
        <v>2923</v>
      </c>
      <c r="R2" s="3424" t="s">
        <v>2951</v>
      </c>
      <c r="S2" s="3424" t="s">
        <v>2986</v>
      </c>
      <c r="T2" s="3424" t="s">
        <v>3006</v>
      </c>
      <c r="U2" s="3424" t="s">
        <v>3018</v>
      </c>
    </row>
    <row r="3" spans="1:21" s="1012" customFormat="1" ht="19.5" customHeight="1">
      <c r="A3" s="3925" t="s">
        <v>2815</v>
      </c>
      <c r="B3" s="3416"/>
      <c r="C3" s="3417" t="s">
        <v>2792</v>
      </c>
      <c r="D3" s="3417" t="s">
        <v>2816</v>
      </c>
      <c r="E3" s="3417" t="s">
        <v>2794</v>
      </c>
      <c r="F3" s="3417" t="s">
        <v>2817</v>
      </c>
      <c r="G3" s="3417" t="s">
        <v>2737</v>
      </c>
      <c r="H3" s="1015"/>
      <c r="J3" s="3444" t="s">
        <v>2821</v>
      </c>
      <c r="K3" s="3424" t="s">
        <v>972</v>
      </c>
      <c r="L3" s="3424" t="s">
        <v>973</v>
      </c>
      <c r="M3" s="3424" t="s">
        <v>974</v>
      </c>
      <c r="N3" s="3424" t="s">
        <v>975</v>
      </c>
      <c r="O3" s="3424" t="s">
        <v>976</v>
      </c>
      <c r="P3" s="3424" t="s">
        <v>977</v>
      </c>
      <c r="Q3" s="3424" t="s">
        <v>978</v>
      </c>
      <c r="R3" s="3424" t="s">
        <v>979</v>
      </c>
      <c r="S3" s="3424" t="s">
        <v>980</v>
      </c>
      <c r="T3" s="3424" t="s">
        <v>3007</v>
      </c>
      <c r="U3" s="3424" t="s">
        <v>3019</v>
      </c>
    </row>
    <row r="4" spans="1:21" s="1012" customFormat="1" ht="19.5" customHeight="1" thickBot="1">
      <c r="A4" s="3926"/>
      <c r="B4" s="3418" t="s">
        <v>2818</v>
      </c>
      <c r="C4" s="3418" t="s">
        <v>2819</v>
      </c>
      <c r="D4" s="3418" t="s">
        <v>2819</v>
      </c>
      <c r="E4" s="3418" t="s">
        <v>2819</v>
      </c>
      <c r="F4" s="3419" t="s">
        <v>2819</v>
      </c>
      <c r="G4" s="3419" t="s">
        <v>2819</v>
      </c>
      <c r="H4" s="1015"/>
      <c r="J4" s="3444" t="s">
        <v>981</v>
      </c>
      <c r="K4" s="3424" t="s">
        <v>982</v>
      </c>
      <c r="L4" s="3424" t="s">
        <v>983</v>
      </c>
      <c r="M4" s="3424" t="s">
        <v>984</v>
      </c>
      <c r="N4" s="3424" t="s">
        <v>985</v>
      </c>
      <c r="O4" s="3424" t="s">
        <v>986</v>
      </c>
      <c r="P4" s="3424" t="s">
        <v>987</v>
      </c>
      <c r="Q4" s="3424" t="s">
        <v>988</v>
      </c>
      <c r="R4" s="3424" t="s">
        <v>2952</v>
      </c>
      <c r="S4" s="3424" t="s">
        <v>2987</v>
      </c>
      <c r="T4" s="3424" t="s">
        <v>3008</v>
      </c>
      <c r="U4" s="3424" t="s">
        <v>3020</v>
      </c>
    </row>
    <row r="5" spans="1:21" ht="14.25" customHeight="1">
      <c r="A5" s="3421" t="s">
        <v>989</v>
      </c>
      <c r="B5" s="3422" t="s">
        <v>2820</v>
      </c>
      <c r="C5" s="3422">
        <v>34550</v>
      </c>
      <c r="D5" s="3422">
        <v>34470</v>
      </c>
      <c r="E5" s="3422">
        <v>34330</v>
      </c>
      <c r="F5" s="3423">
        <v>13400</v>
      </c>
      <c r="G5" s="3423">
        <v>25450</v>
      </c>
      <c r="H5" s="1016" t="s">
        <v>960</v>
      </c>
      <c r="I5" s="1017">
        <f>SUMPRODUCT((B5:B9=基准地价!I2)*(C3:G3=基准地价!E2)*(C5:G9))</f>
        <v>0</v>
      </c>
      <c r="J5" s="3444" t="s">
        <v>990</v>
      </c>
      <c r="K5" s="3424" t="s">
        <v>991</v>
      </c>
      <c r="L5" s="3424" t="s">
        <v>992</v>
      </c>
      <c r="M5" s="3424" t="s">
        <v>993</v>
      </c>
      <c r="N5" s="3424" t="s">
        <v>994</v>
      </c>
      <c r="O5" s="3424" t="s">
        <v>995</v>
      </c>
      <c r="P5" s="3424" t="s">
        <v>996</v>
      </c>
      <c r="Q5" s="3424" t="s">
        <v>997</v>
      </c>
      <c r="R5" s="3424" t="s">
        <v>2953</v>
      </c>
      <c r="S5" s="3424" t="s">
        <v>2988</v>
      </c>
      <c r="T5" s="3424" t="s">
        <v>998</v>
      </c>
      <c r="U5" s="3424" t="s">
        <v>3021</v>
      </c>
    </row>
    <row r="6" spans="1:21" ht="14.25" customHeight="1">
      <c r="A6" s="3424" t="s">
        <v>989</v>
      </c>
      <c r="B6" s="3424" t="s">
        <v>2821</v>
      </c>
      <c r="C6" s="3424">
        <v>36990</v>
      </c>
      <c r="D6" s="3424">
        <v>36850</v>
      </c>
      <c r="E6" s="3424">
        <v>36700</v>
      </c>
      <c r="F6" s="3425">
        <v>14590</v>
      </c>
      <c r="G6" s="3425">
        <v>27450</v>
      </c>
      <c r="H6" s="1018" t="s">
        <v>999</v>
      </c>
      <c r="I6" s="1019">
        <f>SUMPRODUCT((B10:B29=基准地价!I2)*(C3:G3=基准地价!E2)*(C10:G29))</f>
        <v>0</v>
      </c>
      <c r="J6" s="3444" t="s">
        <v>1000</v>
      </c>
      <c r="K6" s="3424" t="s">
        <v>1001</v>
      </c>
      <c r="L6" s="3424" t="s">
        <v>1002</v>
      </c>
      <c r="M6" s="3424" t="s">
        <v>1003</v>
      </c>
      <c r="N6" s="3424" t="s">
        <v>1004</v>
      </c>
      <c r="O6" s="3424" t="s">
        <v>1005</v>
      </c>
      <c r="P6" s="3424" t="s">
        <v>1006</v>
      </c>
      <c r="Q6" s="3424" t="s">
        <v>2924</v>
      </c>
      <c r="R6" s="3424" t="s">
        <v>2954</v>
      </c>
      <c r="S6" s="3424" t="s">
        <v>1007</v>
      </c>
      <c r="T6" s="3424" t="s">
        <v>3009</v>
      </c>
      <c r="U6" s="3424" t="s">
        <v>3022</v>
      </c>
    </row>
    <row r="7" spans="1:21" ht="14.25" customHeight="1">
      <c r="A7" s="3424" t="s">
        <v>989</v>
      </c>
      <c r="B7" s="1289" t="s">
        <v>981</v>
      </c>
      <c r="C7" s="3424">
        <v>34850</v>
      </c>
      <c r="D7" s="3424">
        <v>34690</v>
      </c>
      <c r="E7" s="3424">
        <v>34550</v>
      </c>
      <c r="F7" s="3425">
        <v>14360</v>
      </c>
      <c r="G7" s="3425">
        <v>25620</v>
      </c>
      <c r="H7" s="1018" t="s">
        <v>837</v>
      </c>
      <c r="I7" s="1019">
        <f>SUMPRODUCT((B30:B54=基准地价!I2)*(C3:G3=基准地价!E2)*(C30:G54))</f>
        <v>0</v>
      </c>
      <c r="K7" s="3424" t="s">
        <v>1008</v>
      </c>
      <c r="L7" s="3424" t="s">
        <v>1009</v>
      </c>
      <c r="M7" s="3424" t="s">
        <v>1010</v>
      </c>
      <c r="N7" s="3424" t="s">
        <v>1011</v>
      </c>
      <c r="O7" s="3424" t="s">
        <v>1012</v>
      </c>
      <c r="P7" s="3424" t="s">
        <v>1013</v>
      </c>
      <c r="Q7" s="3424" t="s">
        <v>2925</v>
      </c>
      <c r="R7" s="3424" t="s">
        <v>2955</v>
      </c>
      <c r="S7" s="3424" t="s">
        <v>2989</v>
      </c>
      <c r="T7" s="3424" t="s">
        <v>3010</v>
      </c>
      <c r="U7" s="1289" t="s">
        <v>3023</v>
      </c>
    </row>
    <row r="8" spans="1:21" ht="14.25" customHeight="1">
      <c r="A8" s="3424" t="s">
        <v>989</v>
      </c>
      <c r="B8" s="3424" t="s">
        <v>990</v>
      </c>
      <c r="C8" s="3424">
        <v>32630</v>
      </c>
      <c r="D8" s="3424">
        <v>32510</v>
      </c>
      <c r="E8" s="3424">
        <v>32420</v>
      </c>
      <c r="F8" s="3425">
        <v>13300</v>
      </c>
      <c r="G8" s="3425">
        <v>24010</v>
      </c>
      <c r="H8" s="1018" t="s">
        <v>838</v>
      </c>
      <c r="I8" s="1019">
        <f>SUMPRODUCT((B55:B86=基准地价!I2)*(C3:G3=基准地价!E2)*(C55:G86))</f>
        <v>5150</v>
      </c>
      <c r="K8" s="3424" t="s">
        <v>1014</v>
      </c>
      <c r="L8" s="3424" t="s">
        <v>1015</v>
      </c>
      <c r="M8" s="3424" t="s">
        <v>1016</v>
      </c>
      <c r="N8" s="3424" t="s">
        <v>1017</v>
      </c>
      <c r="O8" s="3424" t="s">
        <v>1018</v>
      </c>
      <c r="P8" s="3424" t="s">
        <v>1019</v>
      </c>
      <c r="Q8" s="3424" t="s">
        <v>2926</v>
      </c>
      <c r="R8" s="3424" t="s">
        <v>1020</v>
      </c>
      <c r="S8" s="3424" t="s">
        <v>2990</v>
      </c>
      <c r="T8" s="3424" t="s">
        <v>3011</v>
      </c>
      <c r="U8" s="3424" t="s">
        <v>3024</v>
      </c>
    </row>
    <row r="9" spans="1:21" ht="14.25" customHeight="1" thickBot="1">
      <c r="A9" s="3438" t="s">
        <v>989</v>
      </c>
      <c r="B9" s="3426" t="s">
        <v>1000</v>
      </c>
      <c r="C9" s="3427">
        <v>36370</v>
      </c>
      <c r="D9" s="3427">
        <v>36210</v>
      </c>
      <c r="E9" s="3427">
        <v>36050</v>
      </c>
      <c r="F9" s="3428"/>
      <c r="G9" s="3429">
        <v>26740</v>
      </c>
      <c r="H9" s="1018" t="s">
        <v>839</v>
      </c>
      <c r="I9" s="1019">
        <f>SUMPRODUCT((B87:B126=基准地价!I2)*(C3:G3=基准地价!E2)*(C87:G126))</f>
        <v>0</v>
      </c>
      <c r="K9" s="3424" t="s">
        <v>1021</v>
      </c>
      <c r="L9" s="3424" t="s">
        <v>1022</v>
      </c>
      <c r="M9" s="3424" t="s">
        <v>1023</v>
      </c>
      <c r="N9" s="3424" t="s">
        <v>1024</v>
      </c>
      <c r="O9" s="3424" t="s">
        <v>1025</v>
      </c>
      <c r="P9" s="3424" t="s">
        <v>1026</v>
      </c>
      <c r="Q9" s="3424" t="s">
        <v>2927</v>
      </c>
      <c r="R9" s="3424" t="s">
        <v>1028</v>
      </c>
      <c r="S9" s="3424" t="s">
        <v>1029</v>
      </c>
      <c r="T9" s="3424" t="s">
        <v>1046</v>
      </c>
    </row>
    <row r="10" spans="1:21" ht="14.25" customHeight="1">
      <c r="A10" s="3421" t="s">
        <v>1030</v>
      </c>
      <c r="B10" s="3422" t="s">
        <v>2822</v>
      </c>
      <c r="C10" s="3422">
        <v>32350</v>
      </c>
      <c r="D10" s="3422">
        <v>31430</v>
      </c>
      <c r="E10" s="3422">
        <v>31320</v>
      </c>
      <c r="F10" s="3423">
        <v>10850</v>
      </c>
      <c r="G10" s="3423">
        <v>22860</v>
      </c>
      <c r="H10" s="1018" t="s">
        <v>840</v>
      </c>
      <c r="I10" s="1019">
        <f>SUMPRODUCT((B127:B189=基准地价!I2)*(C3:G3=基准地价!E2)*(C127:G189))</f>
        <v>0</v>
      </c>
      <c r="K10" s="3424" t="s">
        <v>1031</v>
      </c>
      <c r="L10" s="3424" t="s">
        <v>1032</v>
      </c>
      <c r="M10" s="3424" t="s">
        <v>1033</v>
      </c>
      <c r="N10" s="3424" t="s">
        <v>1034</v>
      </c>
      <c r="O10" s="3424" t="s">
        <v>1035</v>
      </c>
      <c r="P10" s="3424" t="s">
        <v>1036</v>
      </c>
      <c r="Q10" s="3424" t="s">
        <v>1027</v>
      </c>
      <c r="R10" s="3424" t="s">
        <v>1038</v>
      </c>
      <c r="S10" s="3424" t="s">
        <v>1039</v>
      </c>
      <c r="T10" s="3424" t="s">
        <v>3012</v>
      </c>
    </row>
    <row r="11" spans="1:21" ht="14.25" customHeight="1">
      <c r="A11" s="3424" t="s">
        <v>1030</v>
      </c>
      <c r="B11" s="1289" t="s">
        <v>972</v>
      </c>
      <c r="C11" s="3424">
        <v>31590</v>
      </c>
      <c r="D11" s="3424">
        <v>29490</v>
      </c>
      <c r="E11" s="3424">
        <v>28700</v>
      </c>
      <c r="F11" s="3430">
        <v>10410</v>
      </c>
      <c r="G11" s="3430">
        <v>21460</v>
      </c>
      <c r="H11" s="1018" t="s">
        <v>841</v>
      </c>
      <c r="I11" s="1019">
        <f>SUMPRODUCT((B190:B233=基准地价!I2)*(C3:G3=基准地价!E2)*(C190:G233))</f>
        <v>0</v>
      </c>
      <c r="K11" s="3424" t="s">
        <v>1040</v>
      </c>
      <c r="L11" s="3424" t="s">
        <v>1041</v>
      </c>
      <c r="M11" s="3424" t="s">
        <v>1042</v>
      </c>
      <c r="N11" s="3424" t="s">
        <v>1043</v>
      </c>
      <c r="O11" s="3424" t="s">
        <v>1044</v>
      </c>
      <c r="P11" s="3424" t="s">
        <v>2893</v>
      </c>
      <c r="Q11" s="3424" t="s">
        <v>1037</v>
      </c>
      <c r="R11" s="3424" t="s">
        <v>1045</v>
      </c>
      <c r="S11" s="3424" t="s">
        <v>2991</v>
      </c>
      <c r="T11" s="3424" t="s">
        <v>3013</v>
      </c>
    </row>
    <row r="12" spans="1:21" ht="14.25" customHeight="1">
      <c r="A12" s="3424" t="s">
        <v>1030</v>
      </c>
      <c r="B12" s="1289" t="s">
        <v>982</v>
      </c>
      <c r="C12" s="3424">
        <v>29640</v>
      </c>
      <c r="D12" s="3424">
        <v>27550</v>
      </c>
      <c r="E12" s="3424">
        <v>28010</v>
      </c>
      <c r="F12" s="3430">
        <v>8730</v>
      </c>
      <c r="G12" s="3430">
        <v>20050</v>
      </c>
      <c r="H12" s="1018" t="s">
        <v>842</v>
      </c>
      <c r="I12" s="1019">
        <f>SUMPRODUCT((B234:B276=基准地价!I2)*(C3:G3=基准地价!E2)*(C234:G276))</f>
        <v>0</v>
      </c>
      <c r="K12" s="3424" t="s">
        <v>1047</v>
      </c>
      <c r="L12" s="3424" t="s">
        <v>1048</v>
      </c>
      <c r="M12" s="3424" t="s">
        <v>1049</v>
      </c>
      <c r="N12" s="3424" t="s">
        <v>1050</v>
      </c>
      <c r="O12" s="3424" t="s">
        <v>1051</v>
      </c>
      <c r="P12" s="3424" t="s">
        <v>2894</v>
      </c>
      <c r="Q12" s="3424" t="s">
        <v>2928</v>
      </c>
      <c r="R12" s="3424" t="s">
        <v>2956</v>
      </c>
      <c r="S12" s="3424" t="s">
        <v>2992</v>
      </c>
      <c r="T12" s="3424" t="s">
        <v>3014</v>
      </c>
    </row>
    <row r="13" spans="1:21" ht="14.25" customHeight="1">
      <c r="A13" s="3424" t="s">
        <v>1030</v>
      </c>
      <c r="B13" s="1289" t="s">
        <v>991</v>
      </c>
      <c r="C13" s="3424">
        <v>29680</v>
      </c>
      <c r="D13" s="3424">
        <v>27660</v>
      </c>
      <c r="E13" s="3424">
        <v>28210</v>
      </c>
      <c r="F13" s="3430">
        <v>9590</v>
      </c>
      <c r="G13" s="3430">
        <v>20120</v>
      </c>
      <c r="H13" s="1018" t="s">
        <v>843</v>
      </c>
      <c r="I13" s="1019">
        <f>SUMPRODUCT((B277:B326=基准地价!I2)*(C3:G3=基准地价!E2)*(C277:G326))</f>
        <v>0</v>
      </c>
      <c r="K13" s="3424" t="s">
        <v>1054</v>
      </c>
      <c r="L13" s="3424" t="s">
        <v>1055</v>
      </c>
      <c r="M13" s="3424" t="s">
        <v>1056</v>
      </c>
      <c r="N13" s="3424" t="s">
        <v>1057</v>
      </c>
      <c r="O13" s="3424" t="s">
        <v>1058</v>
      </c>
      <c r="P13" s="3424" t="s">
        <v>2895</v>
      </c>
      <c r="Q13" s="3424" t="s">
        <v>1052</v>
      </c>
      <c r="R13" s="3424" t="s">
        <v>1066</v>
      </c>
      <c r="S13" s="3424" t="s">
        <v>1067</v>
      </c>
      <c r="T13" s="3424" t="s">
        <v>1060</v>
      </c>
    </row>
    <row r="14" spans="1:21" ht="14.25" customHeight="1">
      <c r="A14" s="3424" t="s">
        <v>1030</v>
      </c>
      <c r="B14" s="1289" t="s">
        <v>1001</v>
      </c>
      <c r="C14" s="3424">
        <v>30520</v>
      </c>
      <c r="D14" s="3424">
        <v>29510</v>
      </c>
      <c r="E14" s="3424">
        <v>29400</v>
      </c>
      <c r="F14" s="3430">
        <v>9630</v>
      </c>
      <c r="G14" s="3430">
        <v>21480</v>
      </c>
      <c r="H14" s="1018" t="s">
        <v>844</v>
      </c>
      <c r="I14" s="1019">
        <f>SUMPRODUCT((B327:B357=基准地价!I2)*(C3:G3=基准地价!E2)*(C327:G357))</f>
        <v>0</v>
      </c>
      <c r="K14" s="3424" t="s">
        <v>1061</v>
      </c>
      <c r="L14" s="3424" t="s">
        <v>1062</v>
      </c>
      <c r="M14" s="3424" t="s">
        <v>1063</v>
      </c>
      <c r="N14" s="3424" t="s">
        <v>1064</v>
      </c>
      <c r="O14" s="3424" t="s">
        <v>1065</v>
      </c>
      <c r="P14" s="3424" t="s">
        <v>1087</v>
      </c>
      <c r="Q14" s="3424" t="s">
        <v>1059</v>
      </c>
      <c r="R14" s="3424" t="s">
        <v>2957</v>
      </c>
      <c r="S14" s="3424" t="s">
        <v>1075</v>
      </c>
      <c r="T14" s="3424" t="s">
        <v>1068</v>
      </c>
    </row>
    <row r="15" spans="1:21" ht="14.25" customHeight="1">
      <c r="A15" s="3424" t="s">
        <v>1030</v>
      </c>
      <c r="B15" s="1289" t="s">
        <v>1008</v>
      </c>
      <c r="C15" s="3424">
        <v>29090</v>
      </c>
      <c r="D15" s="3424">
        <v>27590</v>
      </c>
      <c r="E15" s="3424">
        <v>28120</v>
      </c>
      <c r="F15" s="3430">
        <v>9110</v>
      </c>
      <c r="G15" s="3430">
        <v>20070</v>
      </c>
      <c r="H15" s="1018" t="s">
        <v>845</v>
      </c>
      <c r="I15" s="1019">
        <f>SUMPRODUCT((B358:B377=基准地价!I2)*(C3:G3=基准地价!E2)*(C358:G377))</f>
        <v>0</v>
      </c>
      <c r="K15" s="3424" t="s">
        <v>1069</v>
      </c>
      <c r="L15" s="3424" t="s">
        <v>1070</v>
      </c>
      <c r="M15" s="3424" t="s">
        <v>1071</v>
      </c>
      <c r="N15" s="3424" t="s">
        <v>1072</v>
      </c>
      <c r="O15" s="3424" t="s">
        <v>1073</v>
      </c>
      <c r="P15" s="3424" t="s">
        <v>2896</v>
      </c>
      <c r="Q15" s="3424" t="s">
        <v>2929</v>
      </c>
      <c r="R15" s="3424" t="s">
        <v>1089</v>
      </c>
      <c r="S15" s="3424" t="s">
        <v>2993</v>
      </c>
      <c r="T15" s="3424" t="s">
        <v>1076</v>
      </c>
    </row>
    <row r="16" spans="1:21" ht="14.25" customHeight="1" thickBot="1">
      <c r="A16" s="3424" t="s">
        <v>1030</v>
      </c>
      <c r="B16" s="1289" t="s">
        <v>1014</v>
      </c>
      <c r="C16" s="3424">
        <v>26790</v>
      </c>
      <c r="D16" s="3424">
        <v>30370</v>
      </c>
      <c r="E16" s="3424">
        <v>30240</v>
      </c>
      <c r="F16" s="3430">
        <v>11590</v>
      </c>
      <c r="G16" s="3430">
        <v>22090</v>
      </c>
      <c r="H16" s="1020" t="s">
        <v>846</v>
      </c>
      <c r="I16" s="1021">
        <f>SUMPRODUCT((B378:B384=基准地价!I2)*(C3:G3=基准地价!E2)*(C378:G384))</f>
        <v>0</v>
      </c>
      <c r="K16" s="3424" t="s">
        <v>1077</v>
      </c>
      <c r="L16" s="3424" t="s">
        <v>1078</v>
      </c>
      <c r="M16" s="3424" t="s">
        <v>1079</v>
      </c>
      <c r="N16" s="3424" t="s">
        <v>1080</v>
      </c>
      <c r="O16" s="3424" t="s">
        <v>1081</v>
      </c>
      <c r="P16" s="3424" t="s">
        <v>2897</v>
      </c>
      <c r="Q16" s="3424" t="s">
        <v>1074</v>
      </c>
      <c r="R16" s="3424" t="s">
        <v>1097</v>
      </c>
      <c r="S16" s="3424" t="s">
        <v>1053</v>
      </c>
      <c r="T16" s="3424" t="s">
        <v>3015</v>
      </c>
    </row>
    <row r="17" spans="1:20" ht="14.25" customHeight="1">
      <c r="A17" s="3424" t="s">
        <v>1030</v>
      </c>
      <c r="B17" s="1289" t="s">
        <v>1021</v>
      </c>
      <c r="C17" s="3424">
        <v>29180</v>
      </c>
      <c r="D17" s="3424">
        <v>27620</v>
      </c>
      <c r="E17" s="3424">
        <v>28180</v>
      </c>
      <c r="F17" s="3430">
        <v>10790</v>
      </c>
      <c r="G17" s="3431">
        <v>20090</v>
      </c>
      <c r="I17" s="1022"/>
      <c r="K17" s="3424" t="s">
        <v>1082</v>
      </c>
      <c r="L17" s="3424" t="s">
        <v>1083</v>
      </c>
      <c r="M17" s="3424" t="s">
        <v>1084</v>
      </c>
      <c r="N17" s="3424" t="s">
        <v>1085</v>
      </c>
      <c r="O17" s="3424" t="s">
        <v>1086</v>
      </c>
      <c r="P17" s="3424" t="s">
        <v>2898</v>
      </c>
      <c r="Q17" s="3424" t="s">
        <v>2930</v>
      </c>
      <c r="R17" s="3424" t="s">
        <v>1103</v>
      </c>
      <c r="S17" s="3424" t="s">
        <v>2994</v>
      </c>
      <c r="T17" s="3424" t="s">
        <v>1105</v>
      </c>
    </row>
    <row r="18" spans="1:20" ht="14.25" customHeight="1">
      <c r="A18" s="3424" t="s">
        <v>1030</v>
      </c>
      <c r="B18" s="1289" t="s">
        <v>1031</v>
      </c>
      <c r="C18" s="3424">
        <v>26840</v>
      </c>
      <c r="D18" s="3424">
        <v>28930</v>
      </c>
      <c r="E18" s="3424">
        <v>28820</v>
      </c>
      <c r="F18" s="3430"/>
      <c r="G18" s="3431">
        <v>21050</v>
      </c>
      <c r="I18" s="1022"/>
      <c r="K18" s="3424" t="s">
        <v>1091</v>
      </c>
      <c r="L18" s="3424" t="s">
        <v>1092</v>
      </c>
      <c r="M18" s="3424" t="s">
        <v>1093</v>
      </c>
      <c r="N18" s="3424" t="s">
        <v>1094</v>
      </c>
      <c r="O18" s="3424" t="s">
        <v>1095</v>
      </c>
      <c r="P18" s="3424" t="s">
        <v>2899</v>
      </c>
      <c r="Q18" s="3424" t="s">
        <v>1088</v>
      </c>
      <c r="R18" s="3424" t="s">
        <v>2958</v>
      </c>
      <c r="S18" s="3424" t="s">
        <v>1104</v>
      </c>
      <c r="T18" s="3424" t="s">
        <v>1113</v>
      </c>
    </row>
    <row r="19" spans="1:20" ht="14.25" customHeight="1">
      <c r="A19" s="3424" t="s">
        <v>1030</v>
      </c>
      <c r="B19" s="1289" t="s">
        <v>1040</v>
      </c>
      <c r="C19" s="3424">
        <v>27750</v>
      </c>
      <c r="D19" s="3424">
        <v>26680</v>
      </c>
      <c r="E19" s="3424">
        <v>26590</v>
      </c>
      <c r="F19" s="3430"/>
      <c r="G19" s="3431">
        <v>19420</v>
      </c>
      <c r="I19" s="1022"/>
      <c r="K19" s="3424" t="s">
        <v>1098</v>
      </c>
      <c r="L19" s="3424" t="s">
        <v>1099</v>
      </c>
      <c r="M19" s="3424" t="s">
        <v>1100</v>
      </c>
      <c r="N19" s="3424" t="s">
        <v>1101</v>
      </c>
      <c r="O19" s="3424" t="s">
        <v>1102</v>
      </c>
      <c r="P19" s="3424" t="s">
        <v>2900</v>
      </c>
      <c r="Q19" s="3424" t="s">
        <v>1096</v>
      </c>
      <c r="R19" s="3424" t="s">
        <v>2959</v>
      </c>
      <c r="S19" s="3424" t="s">
        <v>1112</v>
      </c>
      <c r="T19" s="3424" t="s">
        <v>3016</v>
      </c>
    </row>
    <row r="20" spans="1:20" ht="14.25" customHeight="1">
      <c r="A20" s="3424" t="s">
        <v>1030</v>
      </c>
      <c r="B20" s="1289" t="s">
        <v>1047</v>
      </c>
      <c r="C20" s="3424">
        <v>27050</v>
      </c>
      <c r="D20" s="3424">
        <v>29010</v>
      </c>
      <c r="E20" s="3424">
        <v>28910</v>
      </c>
      <c r="F20" s="3430"/>
      <c r="G20" s="3431">
        <v>21110</v>
      </c>
      <c r="K20" s="3424" t="s">
        <v>1106</v>
      </c>
      <c r="L20" s="3424" t="s">
        <v>1107</v>
      </c>
      <c r="M20" s="3424" t="s">
        <v>1108</v>
      </c>
      <c r="N20" s="3424" t="s">
        <v>1109</v>
      </c>
      <c r="O20" s="3424" t="s">
        <v>1110</v>
      </c>
      <c r="P20" s="3424" t="s">
        <v>2901</v>
      </c>
      <c r="Q20" s="3424" t="s">
        <v>2931</v>
      </c>
      <c r="R20" s="3424" t="s">
        <v>1138</v>
      </c>
      <c r="S20" s="3424" t="s">
        <v>2995</v>
      </c>
      <c r="T20" s="3424" t="s">
        <v>1125</v>
      </c>
    </row>
    <row r="21" spans="1:20" ht="14.25" customHeight="1">
      <c r="A21" s="3424" t="s">
        <v>1030</v>
      </c>
      <c r="B21" s="1289" t="s">
        <v>1054</v>
      </c>
      <c r="C21" s="3424">
        <v>32370</v>
      </c>
      <c r="D21" s="3424">
        <v>26730</v>
      </c>
      <c r="E21" s="3424">
        <v>26640</v>
      </c>
      <c r="F21" s="3430"/>
      <c r="G21" s="3431">
        <v>19440</v>
      </c>
      <c r="K21" s="3433" t="s">
        <v>2823</v>
      </c>
      <c r="L21" s="3424" t="s">
        <v>1114</v>
      </c>
      <c r="M21" s="3424" t="s">
        <v>1115</v>
      </c>
      <c r="N21" s="3424" t="s">
        <v>1116</v>
      </c>
      <c r="O21" s="3424" t="s">
        <v>1117</v>
      </c>
      <c r="P21" s="3424" t="s">
        <v>1111</v>
      </c>
      <c r="Q21" s="3424" t="s">
        <v>1131</v>
      </c>
      <c r="R21" s="3424" t="s">
        <v>1141</v>
      </c>
      <c r="S21" s="3424" t="s">
        <v>2996</v>
      </c>
      <c r="T21" s="3424" t="s">
        <v>3017</v>
      </c>
    </row>
    <row r="22" spans="1:20" ht="14.25" customHeight="1">
      <c r="A22" s="3424" t="s">
        <v>1030</v>
      </c>
      <c r="B22" s="1289" t="s">
        <v>1061</v>
      </c>
      <c r="C22" s="3424">
        <v>29830</v>
      </c>
      <c r="D22" s="3424">
        <v>27600</v>
      </c>
      <c r="E22" s="3424">
        <v>28150</v>
      </c>
      <c r="F22" s="3430"/>
      <c r="G22" s="3431">
        <v>20080</v>
      </c>
      <c r="L22" s="3433" t="s">
        <v>2825</v>
      </c>
      <c r="M22" s="3424" t="s">
        <v>1119</v>
      </c>
      <c r="N22" s="3424" t="s">
        <v>1120</v>
      </c>
      <c r="O22" s="3424" t="s">
        <v>1121</v>
      </c>
      <c r="P22" s="3424" t="s">
        <v>2902</v>
      </c>
      <c r="Q22" s="3424" t="s">
        <v>1134</v>
      </c>
      <c r="R22" s="3424" t="s">
        <v>1143</v>
      </c>
      <c r="S22" s="3424" t="s">
        <v>1090</v>
      </c>
      <c r="T22" s="1289"/>
    </row>
    <row r="23" spans="1:20" ht="14.25" customHeight="1">
      <c r="A23" s="3424" t="s">
        <v>1030</v>
      </c>
      <c r="B23" s="1289" t="s">
        <v>1069</v>
      </c>
      <c r="C23" s="3424">
        <v>27800</v>
      </c>
      <c r="D23" s="3424">
        <v>26900</v>
      </c>
      <c r="E23" s="3424">
        <v>27170</v>
      </c>
      <c r="F23" s="3430"/>
      <c r="G23" s="3431">
        <v>19570</v>
      </c>
      <c r="L23" s="3433" t="s">
        <v>2826</v>
      </c>
      <c r="M23" s="3424" t="s">
        <v>1126</v>
      </c>
      <c r="N23" s="3424" t="s">
        <v>1127</v>
      </c>
      <c r="O23" s="3424" t="s">
        <v>2856</v>
      </c>
      <c r="P23" s="3424" t="s">
        <v>2903</v>
      </c>
      <c r="Q23" s="3424" t="s">
        <v>1137</v>
      </c>
      <c r="R23" s="3424" t="s">
        <v>1146</v>
      </c>
      <c r="S23" s="3424" t="s">
        <v>2997</v>
      </c>
    </row>
    <row r="24" spans="1:20" ht="14.25" customHeight="1">
      <c r="A24" s="3424" t="s">
        <v>1030</v>
      </c>
      <c r="B24" s="1289" t="s">
        <v>1077</v>
      </c>
      <c r="C24" s="3424">
        <v>27930</v>
      </c>
      <c r="D24" s="3424">
        <v>32260</v>
      </c>
      <c r="E24" s="3424">
        <v>32120</v>
      </c>
      <c r="F24" s="3430"/>
      <c r="G24" s="3431">
        <v>23470</v>
      </c>
      <c r="L24" s="3433" t="s">
        <v>2827</v>
      </c>
      <c r="M24" s="3424" t="s">
        <v>1129</v>
      </c>
      <c r="N24" s="3424" t="s">
        <v>1130</v>
      </c>
      <c r="O24" s="3424" t="s">
        <v>2857</v>
      </c>
      <c r="P24" s="3424" t="s">
        <v>1133</v>
      </c>
      <c r="Q24" s="3424" t="s">
        <v>2932</v>
      </c>
      <c r="R24" s="3424" t="s">
        <v>2960</v>
      </c>
      <c r="S24" s="3424" t="s">
        <v>2998</v>
      </c>
    </row>
    <row r="25" spans="1:20" ht="14.25" customHeight="1">
      <c r="A25" s="3424" t="s">
        <v>1030</v>
      </c>
      <c r="B25" s="1289" t="s">
        <v>1082</v>
      </c>
      <c r="C25" s="3424">
        <v>32230</v>
      </c>
      <c r="D25" s="3424">
        <v>29640</v>
      </c>
      <c r="E25" s="3424">
        <v>29510</v>
      </c>
      <c r="F25" s="3430"/>
      <c r="G25" s="3431">
        <v>21560</v>
      </c>
      <c r="L25" s="3433" t="s">
        <v>2828</v>
      </c>
      <c r="M25" s="3424" t="s">
        <v>2831</v>
      </c>
      <c r="N25" s="3424" t="s">
        <v>1132</v>
      </c>
      <c r="O25" s="3424" t="s">
        <v>1140</v>
      </c>
      <c r="P25" s="3424" t="s">
        <v>1136</v>
      </c>
      <c r="Q25" s="3424" t="s">
        <v>1123</v>
      </c>
      <c r="R25" s="3424" t="s">
        <v>1118</v>
      </c>
      <c r="S25" s="3424" t="s">
        <v>2999</v>
      </c>
    </row>
    <row r="26" spans="1:20" ht="14.25" customHeight="1">
      <c r="A26" s="3424" t="s">
        <v>1030</v>
      </c>
      <c r="B26" s="1289" t="s">
        <v>1091</v>
      </c>
      <c r="C26" s="3424">
        <v>31690</v>
      </c>
      <c r="D26" s="3424">
        <v>27650</v>
      </c>
      <c r="E26" s="3424">
        <v>28200</v>
      </c>
      <c r="F26" s="3430"/>
      <c r="G26" s="3431">
        <v>20110</v>
      </c>
      <c r="L26" s="3433" t="s">
        <v>2829</v>
      </c>
      <c r="M26" s="3424" t="s">
        <v>2832</v>
      </c>
      <c r="N26" s="3424" t="s">
        <v>1135</v>
      </c>
      <c r="O26" s="3424" t="s">
        <v>1142</v>
      </c>
      <c r="P26" s="3424" t="s">
        <v>2904</v>
      </c>
      <c r="Q26" s="3424" t="s">
        <v>2933</v>
      </c>
      <c r="R26" s="3424" t="s">
        <v>1124</v>
      </c>
      <c r="S26" s="3424" t="s">
        <v>3000</v>
      </c>
    </row>
    <row r="27" spans="1:20" ht="14.25" customHeight="1">
      <c r="A27" s="3424" t="s">
        <v>1030</v>
      </c>
      <c r="B27" s="1289" t="s">
        <v>1098</v>
      </c>
      <c r="C27" s="3424">
        <v>29610</v>
      </c>
      <c r="D27" s="3424">
        <v>27770</v>
      </c>
      <c r="E27" s="3424">
        <v>28300</v>
      </c>
      <c r="F27" s="3430"/>
      <c r="G27" s="3431">
        <v>20210</v>
      </c>
      <c r="M27" s="3424" t="s">
        <v>2833</v>
      </c>
      <c r="N27" s="3424" t="s">
        <v>1139</v>
      </c>
      <c r="O27" s="3424" t="s">
        <v>1145</v>
      </c>
      <c r="P27" s="3424" t="s">
        <v>1122</v>
      </c>
      <c r="Q27" s="3424" t="s">
        <v>2934</v>
      </c>
      <c r="R27" s="3424" t="s">
        <v>2961</v>
      </c>
      <c r="S27" s="3424" t="s">
        <v>3001</v>
      </c>
    </row>
    <row r="28" spans="1:20" ht="14.25" customHeight="1">
      <c r="A28" s="3438" t="s">
        <v>1030</v>
      </c>
      <c r="B28" s="2601" t="s">
        <v>1106</v>
      </c>
      <c r="C28" s="1287"/>
      <c r="D28" s="1287">
        <v>31520</v>
      </c>
      <c r="E28" s="1287">
        <v>31410</v>
      </c>
      <c r="F28" s="3435"/>
      <c r="G28" s="3436">
        <v>22940</v>
      </c>
      <c r="M28" s="3424" t="s">
        <v>2834</v>
      </c>
      <c r="N28" s="3424" t="s">
        <v>2841</v>
      </c>
      <c r="O28" s="3424" t="s">
        <v>2858</v>
      </c>
      <c r="P28" s="3424" t="s">
        <v>2905</v>
      </c>
      <c r="Q28" s="3424" t="s">
        <v>2935</v>
      </c>
      <c r="R28" s="3424" t="s">
        <v>2962</v>
      </c>
      <c r="S28" s="3433" t="s">
        <v>3002</v>
      </c>
    </row>
    <row r="29" spans="1:20" ht="14.25" customHeight="1" thickBot="1">
      <c r="A29" s="3439" t="s">
        <v>1030</v>
      </c>
      <c r="B29" s="3427" t="s">
        <v>2823</v>
      </c>
      <c r="C29" s="3427"/>
      <c r="D29" s="3427">
        <v>29460</v>
      </c>
      <c r="E29" s="3427">
        <v>28640</v>
      </c>
      <c r="F29" s="3428"/>
      <c r="G29" s="3440">
        <v>21430</v>
      </c>
      <c r="M29" s="3433" t="s">
        <v>2835</v>
      </c>
      <c r="N29" s="3424" t="s">
        <v>2842</v>
      </c>
      <c r="O29" s="3424" t="s">
        <v>2859</v>
      </c>
      <c r="P29" s="3424" t="s">
        <v>2906</v>
      </c>
      <c r="Q29" s="3424" t="s">
        <v>2936</v>
      </c>
      <c r="R29" s="3424" t="s">
        <v>2963</v>
      </c>
      <c r="S29" s="3433" t="s">
        <v>1128</v>
      </c>
    </row>
    <row r="30" spans="1:20" ht="14.25" customHeight="1">
      <c r="A30" s="3438" t="s">
        <v>1144</v>
      </c>
      <c r="B30" s="1289" t="s">
        <v>2824</v>
      </c>
      <c r="C30" s="1289">
        <v>26890</v>
      </c>
      <c r="D30" s="1289">
        <v>26770</v>
      </c>
      <c r="E30" s="1289">
        <v>25700</v>
      </c>
      <c r="F30" s="3425">
        <v>8180</v>
      </c>
      <c r="G30" s="3425">
        <v>18740</v>
      </c>
      <c r="I30" s="1022"/>
      <c r="M30" s="3433" t="s">
        <v>2836</v>
      </c>
      <c r="N30" s="3424" t="s">
        <v>2843</v>
      </c>
      <c r="O30" s="3424" t="s">
        <v>2860</v>
      </c>
      <c r="P30" s="3424" t="s">
        <v>2907</v>
      </c>
      <c r="Q30" s="3424" t="s">
        <v>2937</v>
      </c>
      <c r="R30" s="3424" t="s">
        <v>2964</v>
      </c>
      <c r="S30" s="3433" t="s">
        <v>3003</v>
      </c>
    </row>
    <row r="31" spans="1:20" ht="14.25" customHeight="1">
      <c r="A31" s="3424" t="s">
        <v>1144</v>
      </c>
      <c r="B31" s="1289" t="s">
        <v>973</v>
      </c>
      <c r="C31" s="3424">
        <v>24550</v>
      </c>
      <c r="D31" s="3424">
        <v>23990</v>
      </c>
      <c r="E31" s="3424">
        <v>22930</v>
      </c>
      <c r="F31" s="3430">
        <v>7470</v>
      </c>
      <c r="G31" s="3430">
        <v>16790</v>
      </c>
      <c r="I31" s="1022"/>
      <c r="M31" s="3433" t="s">
        <v>2837</v>
      </c>
      <c r="N31" s="3424" t="s">
        <v>2844</v>
      </c>
      <c r="O31" s="3424" t="s">
        <v>2861</v>
      </c>
      <c r="P31" s="3424" t="s">
        <v>2908</v>
      </c>
      <c r="Q31" s="3424" t="s">
        <v>2938</v>
      </c>
      <c r="R31" s="3424" t="s">
        <v>2965</v>
      </c>
      <c r="S31" s="3433" t="s">
        <v>3004</v>
      </c>
    </row>
    <row r="32" spans="1:20" ht="14.25" customHeight="1">
      <c r="A32" s="3424" t="s">
        <v>1144</v>
      </c>
      <c r="B32" s="1289" t="s">
        <v>983</v>
      </c>
      <c r="C32" s="3424">
        <v>27210</v>
      </c>
      <c r="D32" s="3424">
        <v>23240</v>
      </c>
      <c r="E32" s="3424">
        <v>23260</v>
      </c>
      <c r="F32" s="3430">
        <v>7130</v>
      </c>
      <c r="G32" s="3430">
        <v>16270</v>
      </c>
      <c r="I32" s="1022"/>
      <c r="M32" s="3433" t="s">
        <v>2838</v>
      </c>
      <c r="N32" s="3424" t="s">
        <v>2845</v>
      </c>
      <c r="O32" s="3424" t="s">
        <v>1148</v>
      </c>
      <c r="P32" s="3424" t="s">
        <v>2909</v>
      </c>
      <c r="Q32" s="3424" t="s">
        <v>1147</v>
      </c>
      <c r="R32" s="3424" t="s">
        <v>2966</v>
      </c>
      <c r="S32" s="3433" t="s">
        <v>3005</v>
      </c>
    </row>
    <row r="33" spans="1:18" ht="14.25" customHeight="1">
      <c r="A33" s="3424" t="s">
        <v>1144</v>
      </c>
      <c r="B33" s="1289" t="s">
        <v>992</v>
      </c>
      <c r="C33" s="3424">
        <v>27300</v>
      </c>
      <c r="D33" s="3424">
        <v>22980</v>
      </c>
      <c r="E33" s="3424">
        <v>24260</v>
      </c>
      <c r="F33" s="3430">
        <v>5860</v>
      </c>
      <c r="G33" s="3430">
        <v>16090</v>
      </c>
      <c r="I33" s="1022"/>
      <c r="M33" s="3433" t="s">
        <v>2839</v>
      </c>
      <c r="N33" s="3424" t="s">
        <v>2846</v>
      </c>
      <c r="O33" s="3424" t="s">
        <v>1149</v>
      </c>
      <c r="P33" s="3424" t="s">
        <v>2910</v>
      </c>
      <c r="Q33" s="3424" t="s">
        <v>2939</v>
      </c>
      <c r="R33" s="3424" t="s">
        <v>2967</v>
      </c>
    </row>
    <row r="34" spans="1:18" ht="14.25" customHeight="1">
      <c r="A34" s="3424" t="s">
        <v>1144</v>
      </c>
      <c r="B34" s="1289" t="s">
        <v>1002</v>
      </c>
      <c r="C34" s="3424">
        <v>23090</v>
      </c>
      <c r="D34" s="3424">
        <v>23390</v>
      </c>
      <c r="E34" s="3424">
        <v>23510</v>
      </c>
      <c r="F34" s="3430">
        <v>6700</v>
      </c>
      <c r="G34" s="3430">
        <v>16370</v>
      </c>
      <c r="I34" s="1022"/>
      <c r="N34" s="3424" t="s">
        <v>2847</v>
      </c>
      <c r="O34" s="3424" t="s">
        <v>1150</v>
      </c>
      <c r="P34" s="3424" t="s">
        <v>2911</v>
      </c>
      <c r="Q34" s="3424" t="s">
        <v>2940</v>
      </c>
      <c r="R34" s="3424" t="s">
        <v>2968</v>
      </c>
    </row>
    <row r="35" spans="1:18" ht="14.25" customHeight="1">
      <c r="A35" s="3424" t="s">
        <v>1144</v>
      </c>
      <c r="B35" s="1289" t="s">
        <v>1009</v>
      </c>
      <c r="C35" s="3424">
        <v>27270</v>
      </c>
      <c r="D35" s="3424">
        <v>24270</v>
      </c>
      <c r="E35" s="3424">
        <v>24950</v>
      </c>
      <c r="F35" s="3430">
        <v>6600</v>
      </c>
      <c r="G35" s="3430">
        <v>16990</v>
      </c>
      <c r="I35" s="1022"/>
      <c r="N35" s="3424" t="s">
        <v>2848</v>
      </c>
      <c r="O35" s="3424" t="s">
        <v>2862</v>
      </c>
      <c r="P35" s="3424" t="s">
        <v>2912</v>
      </c>
      <c r="Q35" s="3424" t="s">
        <v>2941</v>
      </c>
      <c r="R35" s="3424" t="s">
        <v>2969</v>
      </c>
    </row>
    <row r="36" spans="1:18" ht="14.25" customHeight="1">
      <c r="A36" s="3424" t="s">
        <v>1144</v>
      </c>
      <c r="B36" s="1289" t="s">
        <v>1015</v>
      </c>
      <c r="C36" s="3424">
        <v>23490</v>
      </c>
      <c r="D36" s="3424">
        <v>23020</v>
      </c>
      <c r="E36" s="3424">
        <v>25230</v>
      </c>
      <c r="F36" s="3430">
        <v>6780</v>
      </c>
      <c r="G36" s="3430">
        <v>16120</v>
      </c>
      <c r="I36" s="1022"/>
      <c r="N36" s="3433" t="s">
        <v>2849</v>
      </c>
      <c r="O36" s="3461" t="s">
        <v>2863</v>
      </c>
      <c r="P36" s="3424" t="s">
        <v>2913</v>
      </c>
      <c r="Q36" s="3424" t="s">
        <v>2942</v>
      </c>
      <c r="R36" s="3424" t="s">
        <v>2970</v>
      </c>
    </row>
    <row r="37" spans="1:18" ht="14.25" customHeight="1">
      <c r="A37" s="3424" t="s">
        <v>1144</v>
      </c>
      <c r="B37" s="1289" t="s">
        <v>1022</v>
      </c>
      <c r="C37" s="3424">
        <v>24380</v>
      </c>
      <c r="D37" s="3424">
        <v>22240</v>
      </c>
      <c r="E37" s="3424">
        <v>25980</v>
      </c>
      <c r="F37" s="3430">
        <v>8160</v>
      </c>
      <c r="G37" s="3430">
        <v>15570</v>
      </c>
      <c r="I37" s="1023"/>
      <c r="N37" s="3433" t="s">
        <v>2850</v>
      </c>
      <c r="O37" s="3461" t="s">
        <v>2864</v>
      </c>
      <c r="P37" s="3424" t="s">
        <v>2914</v>
      </c>
      <c r="Q37" s="3424" t="s">
        <v>2943</v>
      </c>
      <c r="R37" s="3424" t="s">
        <v>2971</v>
      </c>
    </row>
    <row r="38" spans="1:18" ht="14.25" customHeight="1">
      <c r="A38" s="3424" t="s">
        <v>1144</v>
      </c>
      <c r="B38" s="1289" t="s">
        <v>1032</v>
      </c>
      <c r="C38" s="3424">
        <v>23120</v>
      </c>
      <c r="D38" s="3424">
        <v>24630</v>
      </c>
      <c r="E38" s="3424">
        <v>25030</v>
      </c>
      <c r="F38" s="3430">
        <v>7710</v>
      </c>
      <c r="G38" s="3430">
        <v>17240</v>
      </c>
      <c r="I38" s="1024"/>
      <c r="N38" s="3433" t="s">
        <v>2851</v>
      </c>
      <c r="O38" s="3461" t="s">
        <v>2865</v>
      </c>
      <c r="P38" s="3424" t="s">
        <v>2915</v>
      </c>
      <c r="Q38" s="3424" t="s">
        <v>2944</v>
      </c>
      <c r="R38" s="3424" t="s">
        <v>2972</v>
      </c>
    </row>
    <row r="39" spans="1:18" ht="14.25" customHeight="1">
      <c r="A39" s="3424" t="s">
        <v>1144</v>
      </c>
      <c r="B39" s="1289" t="s">
        <v>1041</v>
      </c>
      <c r="C39" s="3424">
        <v>22330</v>
      </c>
      <c r="D39" s="3424">
        <v>21140</v>
      </c>
      <c r="E39" s="3424">
        <v>23970</v>
      </c>
      <c r="F39" s="3430">
        <v>7940</v>
      </c>
      <c r="G39" s="3430">
        <v>14790</v>
      </c>
      <c r="I39" s="1024"/>
      <c r="N39" s="3433" t="s">
        <v>2852</v>
      </c>
      <c r="O39" s="3461" t="s">
        <v>2866</v>
      </c>
      <c r="P39" s="3424" t="s">
        <v>2916</v>
      </c>
      <c r="Q39" s="3424" t="s">
        <v>2945</v>
      </c>
      <c r="R39" s="3424" t="s">
        <v>2973</v>
      </c>
    </row>
    <row r="40" spans="1:18" ht="14.25" customHeight="1">
      <c r="A40" s="3424" t="s">
        <v>1144</v>
      </c>
      <c r="B40" s="1289" t="s">
        <v>1048</v>
      </c>
      <c r="C40" s="3424">
        <v>24740</v>
      </c>
      <c r="D40" s="3424">
        <v>24690</v>
      </c>
      <c r="E40" s="3424">
        <v>22610</v>
      </c>
      <c r="F40" s="3430"/>
      <c r="G40" s="3430">
        <v>17280</v>
      </c>
      <c r="I40" s="1024"/>
      <c r="N40" s="3433" t="s">
        <v>2853</v>
      </c>
      <c r="O40" s="3461" t="s">
        <v>2867</v>
      </c>
      <c r="P40" s="3424" t="s">
        <v>2917</v>
      </c>
      <c r="Q40" s="3424" t="s">
        <v>2946</v>
      </c>
      <c r="R40" s="3424" t="s">
        <v>2974</v>
      </c>
    </row>
    <row r="41" spans="1:18" ht="14.25" customHeight="1">
      <c r="A41" s="3424" t="s">
        <v>1144</v>
      </c>
      <c r="B41" s="1289" t="s">
        <v>1055</v>
      </c>
      <c r="C41" s="3424">
        <v>21220</v>
      </c>
      <c r="D41" s="3424">
        <v>21120</v>
      </c>
      <c r="E41" s="3424">
        <v>22590</v>
      </c>
      <c r="F41" s="3430"/>
      <c r="G41" s="3430">
        <v>14780</v>
      </c>
      <c r="I41" s="1024"/>
      <c r="N41" s="3433" t="s">
        <v>2854</v>
      </c>
      <c r="O41" s="3462" t="s">
        <v>2868</v>
      </c>
      <c r="P41" s="1289" t="s">
        <v>2918</v>
      </c>
      <c r="Q41" s="3433" t="s">
        <v>2947</v>
      </c>
      <c r="R41" s="1289" t="s">
        <v>2975</v>
      </c>
    </row>
    <row r="42" spans="1:18" ht="14.25" customHeight="1">
      <c r="A42" s="3424" t="s">
        <v>1144</v>
      </c>
      <c r="B42" s="1289" t="s">
        <v>1062</v>
      </c>
      <c r="C42" s="3424">
        <v>24800</v>
      </c>
      <c r="D42" s="3424">
        <v>22280</v>
      </c>
      <c r="E42" s="3424">
        <v>24350</v>
      </c>
      <c r="F42" s="3430"/>
      <c r="G42" s="3430">
        <v>15590</v>
      </c>
      <c r="I42" s="1024"/>
      <c r="O42" s="3424" t="s">
        <v>2869</v>
      </c>
      <c r="P42" s="3424" t="s">
        <v>2919</v>
      </c>
      <c r="Q42" s="3433" t="s">
        <v>2948</v>
      </c>
      <c r="R42" s="3424" t="s">
        <v>2976</v>
      </c>
    </row>
    <row r="43" spans="1:18" ht="14.25" customHeight="1">
      <c r="A43" s="3424" t="s">
        <v>1144</v>
      </c>
      <c r="B43" s="1289" t="s">
        <v>1070</v>
      </c>
      <c r="C43" s="3424">
        <v>21210</v>
      </c>
      <c r="D43" s="3424">
        <v>21160</v>
      </c>
      <c r="E43" s="3424">
        <v>22650</v>
      </c>
      <c r="F43" s="3430"/>
      <c r="G43" s="3430">
        <v>14800</v>
      </c>
      <c r="I43" s="1024"/>
      <c r="O43" s="3424" t="s">
        <v>2870</v>
      </c>
      <c r="P43" s="3424" t="s">
        <v>2920</v>
      </c>
      <c r="Q43" s="3433" t="s">
        <v>2949</v>
      </c>
      <c r="R43" s="3424" t="s">
        <v>2977</v>
      </c>
    </row>
    <row r="44" spans="1:18" ht="14.25" customHeight="1">
      <c r="A44" s="3424" t="s">
        <v>1144</v>
      </c>
      <c r="B44" s="1289" t="s">
        <v>1078</v>
      </c>
      <c r="C44" s="3424">
        <v>22370</v>
      </c>
      <c r="D44" s="3424">
        <v>23140</v>
      </c>
      <c r="E44" s="3424">
        <v>25090</v>
      </c>
      <c r="F44" s="3430"/>
      <c r="G44" s="3430">
        <v>16190</v>
      </c>
      <c r="I44" s="1024"/>
      <c r="O44" s="3424" t="s">
        <v>2871</v>
      </c>
      <c r="P44" s="3424" t="s">
        <v>2921</v>
      </c>
      <c r="Q44" s="3433" t="s">
        <v>2950</v>
      </c>
      <c r="R44" s="3424" t="s">
        <v>2978</v>
      </c>
    </row>
    <row r="45" spans="1:18" ht="14.25" customHeight="1">
      <c r="A45" s="3424" t="s">
        <v>1144</v>
      </c>
      <c r="B45" s="1289" t="s">
        <v>1083</v>
      </c>
      <c r="C45" s="3424">
        <v>21240</v>
      </c>
      <c r="D45" s="3424">
        <v>27050</v>
      </c>
      <c r="E45" s="3424">
        <v>28000</v>
      </c>
      <c r="F45" s="3430"/>
      <c r="G45" s="3430">
        <v>18940</v>
      </c>
      <c r="I45" s="1022"/>
      <c r="O45" s="3424" t="s">
        <v>2872</v>
      </c>
      <c r="P45" s="3424" t="s">
        <v>2922</v>
      </c>
      <c r="R45" s="3424" t="s">
        <v>2979</v>
      </c>
    </row>
    <row r="46" spans="1:18" ht="14.25" customHeight="1">
      <c r="A46" s="3424" t="s">
        <v>1144</v>
      </c>
      <c r="B46" s="1289" t="s">
        <v>1092</v>
      </c>
      <c r="C46" s="3424">
        <v>23240</v>
      </c>
      <c r="D46" s="3424">
        <v>23000</v>
      </c>
      <c r="E46" s="3424">
        <v>24980</v>
      </c>
      <c r="F46" s="3430"/>
      <c r="G46" s="3430">
        <v>16100</v>
      </c>
      <c r="I46" s="1024"/>
      <c r="O46" s="3424" t="s">
        <v>2873</v>
      </c>
      <c r="P46" s="3424"/>
      <c r="R46" s="3424" t="s">
        <v>2980</v>
      </c>
    </row>
    <row r="47" spans="1:18" ht="14.25" customHeight="1">
      <c r="A47" s="3424" t="s">
        <v>1144</v>
      </c>
      <c r="B47" s="2601" t="s">
        <v>1099</v>
      </c>
      <c r="C47" s="1287">
        <v>27150</v>
      </c>
      <c r="D47" s="1287">
        <v>23310</v>
      </c>
      <c r="E47" s="1287">
        <v>25150</v>
      </c>
      <c r="F47" s="3435"/>
      <c r="G47" s="3435">
        <v>16310</v>
      </c>
      <c r="I47" s="1024"/>
      <c r="O47" s="3424" t="s">
        <v>2874</v>
      </c>
      <c r="P47" s="3424"/>
      <c r="R47" s="3433" t="s">
        <v>2981</v>
      </c>
    </row>
    <row r="48" spans="1:18" ht="14.25" customHeight="1">
      <c r="A48" s="3424" t="s">
        <v>1144</v>
      </c>
      <c r="B48" s="3424" t="s">
        <v>1107</v>
      </c>
      <c r="C48" s="3424">
        <v>23100</v>
      </c>
      <c r="D48" s="3424">
        <v>21110</v>
      </c>
      <c r="E48" s="3424">
        <v>23080</v>
      </c>
      <c r="F48" s="3430"/>
      <c r="G48" s="3437">
        <v>14780</v>
      </c>
      <c r="I48" s="1022"/>
      <c r="O48" s="3424" t="s">
        <v>2875</v>
      </c>
      <c r="P48" s="3424"/>
      <c r="R48" s="3433" t="s">
        <v>2982</v>
      </c>
    </row>
    <row r="49" spans="1:18" ht="14.25" customHeight="1">
      <c r="A49" s="3424" t="s">
        <v>1144</v>
      </c>
      <c r="B49" s="1289" t="s">
        <v>1114</v>
      </c>
      <c r="C49" s="1289">
        <v>23400</v>
      </c>
      <c r="D49" s="1289">
        <v>22920</v>
      </c>
      <c r="E49" s="1289">
        <v>24900</v>
      </c>
      <c r="F49" s="3425"/>
      <c r="G49" s="3425">
        <v>16040</v>
      </c>
      <c r="I49" s="1024"/>
      <c r="O49" s="3424" t="s">
        <v>2876</v>
      </c>
      <c r="P49" s="3424"/>
      <c r="R49" s="3433" t="s">
        <v>2983</v>
      </c>
    </row>
    <row r="50" spans="1:18" ht="14.25" customHeight="1">
      <c r="A50" s="3424" t="s">
        <v>1144</v>
      </c>
      <c r="B50" s="3424" t="s">
        <v>2825</v>
      </c>
      <c r="C50" s="3424">
        <v>21200</v>
      </c>
      <c r="D50" s="3424">
        <v>26540</v>
      </c>
      <c r="E50" s="3424">
        <v>23200</v>
      </c>
      <c r="F50" s="3430"/>
      <c r="G50" s="3430">
        <v>18580</v>
      </c>
      <c r="I50" s="1024"/>
      <c r="O50" s="3433" t="s">
        <v>2877</v>
      </c>
      <c r="R50" s="3433" t="s">
        <v>2984</v>
      </c>
    </row>
    <row r="51" spans="1:18" ht="14.25" customHeight="1">
      <c r="A51" s="3424" t="s">
        <v>1144</v>
      </c>
      <c r="B51" s="3424" t="s">
        <v>2826</v>
      </c>
      <c r="C51" s="3424">
        <v>23000</v>
      </c>
      <c r="D51" s="3424">
        <v>23460</v>
      </c>
      <c r="E51" s="3424">
        <v>25290</v>
      </c>
      <c r="F51" s="3430"/>
      <c r="G51" s="3430">
        <v>16420</v>
      </c>
      <c r="I51" s="1024"/>
      <c r="O51" s="3433" t="s">
        <v>2878</v>
      </c>
      <c r="R51" s="3433" t="s">
        <v>2985</v>
      </c>
    </row>
    <row r="52" spans="1:18" ht="14.25" customHeight="1">
      <c r="A52" s="3424" t="s">
        <v>1144</v>
      </c>
      <c r="B52" s="3424" t="s">
        <v>2827</v>
      </c>
      <c r="C52" s="3424">
        <v>26660</v>
      </c>
      <c r="D52" s="3424">
        <v>22350</v>
      </c>
      <c r="E52" s="3424">
        <v>22920</v>
      </c>
      <c r="F52" s="3430"/>
      <c r="G52" s="3430">
        <v>15640</v>
      </c>
      <c r="I52" s="1024"/>
      <c r="O52" s="3433" t="s">
        <v>2879</v>
      </c>
    </row>
    <row r="53" spans="1:18" ht="14.25" customHeight="1">
      <c r="A53" s="3424" t="s">
        <v>1144</v>
      </c>
      <c r="B53" s="3424" t="s">
        <v>2828</v>
      </c>
      <c r="C53" s="3424">
        <v>23580</v>
      </c>
      <c r="D53" s="3424"/>
      <c r="E53" s="3424">
        <v>24280</v>
      </c>
      <c r="F53" s="3430"/>
      <c r="G53" s="3430"/>
      <c r="I53" s="1024"/>
      <c r="O53" s="3433" t="s">
        <v>2880</v>
      </c>
    </row>
    <row r="54" spans="1:18" ht="14.25" customHeight="1" thickBot="1">
      <c r="A54" s="3439" t="s">
        <v>1144</v>
      </c>
      <c r="B54" s="3427" t="s">
        <v>2829</v>
      </c>
      <c r="C54" s="3427">
        <v>22460</v>
      </c>
      <c r="D54" s="3427"/>
      <c r="E54" s="3427"/>
      <c r="F54" s="3428"/>
      <c r="G54" s="3440"/>
      <c r="I54" s="1024"/>
      <c r="O54" s="3433" t="s">
        <v>2881</v>
      </c>
    </row>
    <row r="55" spans="1:18" ht="14.25" customHeight="1">
      <c r="A55" s="3438" t="s">
        <v>852</v>
      </c>
      <c r="B55" s="1289" t="s">
        <v>2830</v>
      </c>
      <c r="C55" s="1289">
        <v>21970</v>
      </c>
      <c r="D55" s="1289">
        <v>20370</v>
      </c>
      <c r="E55" s="1289">
        <v>20180</v>
      </c>
      <c r="F55" s="3425">
        <v>5730</v>
      </c>
      <c r="G55" s="3425">
        <v>13820</v>
      </c>
      <c r="I55" s="1024"/>
      <c r="O55" s="3433" t="s">
        <v>2882</v>
      </c>
    </row>
    <row r="56" spans="1:18" ht="14.25" customHeight="1">
      <c r="A56" s="3424" t="s">
        <v>852</v>
      </c>
      <c r="B56" s="3424" t="s">
        <v>974</v>
      </c>
      <c r="C56" s="3424">
        <v>20470</v>
      </c>
      <c r="D56" s="3424">
        <v>20700</v>
      </c>
      <c r="E56" s="3424">
        <v>20380</v>
      </c>
      <c r="F56" s="3430">
        <v>4760</v>
      </c>
      <c r="G56" s="3430">
        <v>14050</v>
      </c>
      <c r="I56" s="1024"/>
      <c r="O56" s="3433" t="s">
        <v>2883</v>
      </c>
    </row>
    <row r="57" spans="1:18" ht="14.25" customHeight="1">
      <c r="A57" s="3424" t="s">
        <v>852</v>
      </c>
      <c r="B57" s="3424" t="s">
        <v>984</v>
      </c>
      <c r="C57" s="3424">
        <v>20790</v>
      </c>
      <c r="D57" s="3424">
        <v>21370</v>
      </c>
      <c r="E57" s="3424">
        <v>20890</v>
      </c>
      <c r="F57" s="3430">
        <v>4910</v>
      </c>
      <c r="G57" s="3430">
        <v>14510</v>
      </c>
      <c r="I57" s="1024"/>
      <c r="O57" s="3433" t="s">
        <v>2884</v>
      </c>
    </row>
    <row r="58" spans="1:18" ht="14.25" customHeight="1">
      <c r="A58" s="3424" t="s">
        <v>852</v>
      </c>
      <c r="B58" s="3424" t="s">
        <v>993</v>
      </c>
      <c r="C58" s="3424">
        <v>21460</v>
      </c>
      <c r="D58" s="3424">
        <v>20920</v>
      </c>
      <c r="E58" s="3424">
        <v>23410</v>
      </c>
      <c r="F58" s="3430">
        <v>5100</v>
      </c>
      <c r="G58" s="3430">
        <v>14200</v>
      </c>
      <c r="I58" s="1024"/>
      <c r="O58" s="3433" t="s">
        <v>2885</v>
      </c>
    </row>
    <row r="59" spans="1:18" ht="14.25" customHeight="1">
      <c r="A59" s="3424" t="s">
        <v>852</v>
      </c>
      <c r="B59" s="3424" t="s">
        <v>1003</v>
      </c>
      <c r="C59" s="3424">
        <v>21000</v>
      </c>
      <c r="D59" s="3424">
        <v>21550</v>
      </c>
      <c r="E59" s="3424">
        <v>21150</v>
      </c>
      <c r="F59" s="3430">
        <v>5250</v>
      </c>
      <c r="G59" s="3430">
        <v>14630</v>
      </c>
      <c r="I59" s="1024"/>
      <c r="O59" s="3433" t="s">
        <v>2886</v>
      </c>
    </row>
    <row r="60" spans="1:18" ht="14.25" customHeight="1">
      <c r="A60" s="3424" t="s">
        <v>852</v>
      </c>
      <c r="B60" s="3424" t="s">
        <v>1010</v>
      </c>
      <c r="C60" s="3424">
        <v>21640</v>
      </c>
      <c r="D60" s="3424">
        <v>21260</v>
      </c>
      <c r="E60" s="3424">
        <v>24040</v>
      </c>
      <c r="F60" s="3430">
        <v>4470</v>
      </c>
      <c r="G60" s="3430">
        <v>14430</v>
      </c>
      <c r="I60" s="1024"/>
      <c r="O60" s="3433" t="s">
        <v>2887</v>
      </c>
    </row>
    <row r="61" spans="1:18" ht="14.25" customHeight="1">
      <c r="A61" s="3424" t="s">
        <v>852</v>
      </c>
      <c r="B61" s="3424" t="s">
        <v>1016</v>
      </c>
      <c r="C61" s="3424">
        <v>21330</v>
      </c>
      <c r="D61" s="3424">
        <v>18640</v>
      </c>
      <c r="E61" s="3424">
        <v>21190</v>
      </c>
      <c r="F61" s="3430">
        <v>4180</v>
      </c>
      <c r="G61" s="3432">
        <v>12650</v>
      </c>
      <c r="I61" s="1024"/>
      <c r="O61" s="3433" t="s">
        <v>2888</v>
      </c>
    </row>
    <row r="62" spans="1:18" ht="14.25" customHeight="1">
      <c r="A62" s="3424" t="s">
        <v>852</v>
      </c>
      <c r="B62" s="3424" t="s">
        <v>1023</v>
      </c>
      <c r="C62" s="3424">
        <v>18710</v>
      </c>
      <c r="D62" s="3424">
        <v>19400</v>
      </c>
      <c r="E62" s="3424">
        <v>23750</v>
      </c>
      <c r="F62" s="3430">
        <v>4860</v>
      </c>
      <c r="G62" s="3432">
        <v>13170</v>
      </c>
      <c r="I62" s="1024"/>
      <c r="O62" s="3433" t="s">
        <v>2889</v>
      </c>
    </row>
    <row r="63" spans="1:18" ht="14.25" customHeight="1">
      <c r="A63" s="3424" t="s">
        <v>852</v>
      </c>
      <c r="B63" s="3424" t="s">
        <v>1033</v>
      </c>
      <c r="C63" s="3424">
        <v>19480</v>
      </c>
      <c r="D63" s="3424">
        <v>16830</v>
      </c>
      <c r="E63" s="3424">
        <v>21590</v>
      </c>
      <c r="F63" s="3430">
        <v>4560</v>
      </c>
      <c r="G63" s="3432">
        <v>11420</v>
      </c>
      <c r="I63" s="1024"/>
      <c r="O63" s="3433" t="s">
        <v>2890</v>
      </c>
    </row>
    <row r="64" spans="1:18" ht="14.25" customHeight="1">
      <c r="A64" s="3424" t="s">
        <v>852</v>
      </c>
      <c r="B64" s="3424" t="s">
        <v>1042</v>
      </c>
      <c r="C64" s="3424">
        <v>16920</v>
      </c>
      <c r="D64" s="3424">
        <v>19190</v>
      </c>
      <c r="E64" s="3424">
        <v>22200</v>
      </c>
      <c r="F64" s="3430">
        <v>4390</v>
      </c>
      <c r="G64" s="3432">
        <v>13030</v>
      </c>
      <c r="I64" s="1024"/>
      <c r="O64" s="3433" t="s">
        <v>2891</v>
      </c>
    </row>
    <row r="65" spans="1:21" s="1011" customFormat="1" ht="14.25" customHeight="1">
      <c r="A65" s="3424" t="s">
        <v>852</v>
      </c>
      <c r="B65" s="3424" t="s">
        <v>1049</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852</v>
      </c>
      <c r="B66" s="3424" t="s">
        <v>1056</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852</v>
      </c>
      <c r="B67" s="3424" t="s">
        <v>1063</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852</v>
      </c>
      <c r="B68" s="3424" t="s">
        <v>1071</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852</v>
      </c>
      <c r="B69" s="3424" t="s">
        <v>1079</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852</v>
      </c>
      <c r="B70" s="3424" t="s">
        <v>1084</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852</v>
      </c>
      <c r="B71" s="3424" t="s">
        <v>1093</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852</v>
      </c>
      <c r="B72" s="3424" t="s">
        <v>1100</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852</v>
      </c>
      <c r="B73" s="3424" t="s">
        <v>1108</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852</v>
      </c>
      <c r="B74" s="3424" t="s">
        <v>1115</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852</v>
      </c>
      <c r="B75" s="3424" t="s">
        <v>1119</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852</v>
      </c>
      <c r="B76" s="1289" t="s">
        <v>1126</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852</v>
      </c>
      <c r="B77" s="3424" t="s">
        <v>1129</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852</v>
      </c>
      <c r="B78" s="3424" t="s">
        <v>2831</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852</v>
      </c>
      <c r="B79" s="3424" t="s">
        <v>2832</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852</v>
      </c>
      <c r="B80" s="3424" t="s">
        <v>2833</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852</v>
      </c>
      <c r="B81" s="3424" t="s">
        <v>2834</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852</v>
      </c>
      <c r="B82" s="3424" t="s">
        <v>2835</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852</v>
      </c>
      <c r="B83" s="3424" t="s">
        <v>2836</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852</v>
      </c>
      <c r="B84" s="3424" t="s">
        <v>2837</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852</v>
      </c>
      <c r="B85" s="1287" t="s">
        <v>2838</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852</v>
      </c>
      <c r="B86" s="3427" t="s">
        <v>2839</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1151</v>
      </c>
      <c r="B87" s="1289" t="s">
        <v>2840</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1151</v>
      </c>
      <c r="B88" s="3424" t="s">
        <v>975</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1151</v>
      </c>
      <c r="B89" s="3424" t="s">
        <v>985</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1151</v>
      </c>
      <c r="B90" s="3424" t="s">
        <v>994</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1151</v>
      </c>
      <c r="B91" s="3424" t="s">
        <v>1004</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1151</v>
      </c>
      <c r="B92" s="3424" t="s">
        <v>1011</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1151</v>
      </c>
      <c r="B93" s="3424" t="s">
        <v>1017</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1151</v>
      </c>
      <c r="B94" s="3424" t="s">
        <v>1024</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1151</v>
      </c>
      <c r="B95" s="3424" t="s">
        <v>1034</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1151</v>
      </c>
      <c r="B96" s="3424" t="s">
        <v>1043</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1151</v>
      </c>
      <c r="B97" s="3424" t="s">
        <v>1050</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1151</v>
      </c>
      <c r="B98" s="3424" t="s">
        <v>1057</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1151</v>
      </c>
      <c r="B99" s="3424" t="s">
        <v>1064</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1151</v>
      </c>
      <c r="B100" s="3424" t="s">
        <v>1072</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1151</v>
      </c>
      <c r="B101" s="3424" t="s">
        <v>1080</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1151</v>
      </c>
      <c r="B102" s="3424" t="s">
        <v>1085</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1151</v>
      </c>
      <c r="B103" s="3424" t="s">
        <v>1094</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1151</v>
      </c>
      <c r="B104" s="3424" t="s">
        <v>1101</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1151</v>
      </c>
      <c r="B105" s="3424" t="s">
        <v>1109</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1151</v>
      </c>
      <c r="B106" s="3424" t="s">
        <v>1116</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1151</v>
      </c>
      <c r="B107" s="3424" t="s">
        <v>1120</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1151</v>
      </c>
      <c r="B108" s="3424" t="s">
        <v>1127</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1151</v>
      </c>
      <c r="B109" s="3424" t="s">
        <v>1130</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1151</v>
      </c>
      <c r="B110" s="1289" t="s">
        <v>1132</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1151</v>
      </c>
      <c r="B111" s="3424" t="s">
        <v>1135</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1151</v>
      </c>
      <c r="B112" s="3424" t="s">
        <v>1139</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1151</v>
      </c>
      <c r="B113" s="3424" t="s">
        <v>2841</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1151</v>
      </c>
      <c r="B114" s="3424" t="s">
        <v>2842</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1151</v>
      </c>
      <c r="B115" s="3424" t="s">
        <v>2843</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1151</v>
      </c>
      <c r="B116" s="3424" t="s">
        <v>2844</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1151</v>
      </c>
      <c r="B117" s="3424" t="s">
        <v>2845</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1151</v>
      </c>
      <c r="B118" s="3424" t="s">
        <v>2846</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1151</v>
      </c>
      <c r="B119" s="3424" t="s">
        <v>2847</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1151</v>
      </c>
      <c r="B120" s="3424" t="s">
        <v>2848</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1151</v>
      </c>
      <c r="B121" s="3424" t="s">
        <v>2849</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1151</v>
      </c>
      <c r="B122" s="3424" t="s">
        <v>2850</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1151</v>
      </c>
      <c r="B123" s="3424" t="s">
        <v>2851</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1151</v>
      </c>
      <c r="B124" s="3424" t="s">
        <v>2852</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1151</v>
      </c>
      <c r="B125" s="1287" t="s">
        <v>2853</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1151</v>
      </c>
      <c r="B126" s="3427" t="s">
        <v>2854</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1152</v>
      </c>
      <c r="B127" s="1289" t="s">
        <v>2855</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1152</v>
      </c>
      <c r="B128" s="3424" t="s">
        <v>976</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1152</v>
      </c>
      <c r="B129" s="3424" t="s">
        <v>986</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1152</v>
      </c>
      <c r="B130" s="3424" t="s">
        <v>995</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1152</v>
      </c>
      <c r="B131" s="3424" t="s">
        <v>1005</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1152</v>
      </c>
      <c r="B132" s="3424" t="s">
        <v>1012</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1152</v>
      </c>
      <c r="B133" s="3424" t="s">
        <v>1018</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1152</v>
      </c>
      <c r="B134" s="3424" t="s">
        <v>1025</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1152</v>
      </c>
      <c r="B135" s="3424" t="s">
        <v>1035</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1152</v>
      </c>
      <c r="B136" s="3424" t="s">
        <v>1044</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1152</v>
      </c>
      <c r="B137" s="3424" t="s">
        <v>1051</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1152</v>
      </c>
      <c r="B138" s="3424" t="s">
        <v>1058</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1152</v>
      </c>
      <c r="B139" s="3424" t="s">
        <v>1065</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1152</v>
      </c>
      <c r="B140" s="3424" t="s">
        <v>1073</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1152</v>
      </c>
      <c r="B141" s="3424" t="s">
        <v>1081</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1152</v>
      </c>
      <c r="B142" s="3424" t="s">
        <v>1086</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1152</v>
      </c>
      <c r="B143" s="3424" t="s">
        <v>1095</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1152</v>
      </c>
      <c r="B144" s="3424" t="s">
        <v>1102</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1152</v>
      </c>
      <c r="B145" s="3424" t="s">
        <v>1110</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1152</v>
      </c>
      <c r="B146" s="3424" t="s">
        <v>1117</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1152</v>
      </c>
      <c r="B147" s="3424" t="s">
        <v>1121</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1152</v>
      </c>
      <c r="B148" s="3424" t="s">
        <v>2856</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1152</v>
      </c>
      <c r="B149" s="3424" t="s">
        <v>2857</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1152</v>
      </c>
      <c r="B150" s="3424" t="s">
        <v>1140</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1152</v>
      </c>
      <c r="B151" s="3424" t="s">
        <v>1142</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1152</v>
      </c>
      <c r="B152" s="3424" t="s">
        <v>1145</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1152</v>
      </c>
      <c r="B153" s="3424" t="s">
        <v>2858</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1152</v>
      </c>
      <c r="B154" s="3424" t="s">
        <v>2859</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1152</v>
      </c>
      <c r="B155" s="3424" t="s">
        <v>2860</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1152</v>
      </c>
      <c r="B156" s="3424" t="s">
        <v>2861</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1152</v>
      </c>
      <c r="B157" s="3424" t="s">
        <v>1148</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1152</v>
      </c>
      <c r="B158" s="1289" t="s">
        <v>1149</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1152</v>
      </c>
      <c r="B159" s="3424" t="s">
        <v>1150</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1152</v>
      </c>
      <c r="B160" s="3424" t="s">
        <v>2862</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1152</v>
      </c>
      <c r="B161" s="3424" t="s">
        <v>2863</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1152</v>
      </c>
      <c r="B162" s="3424" t="s">
        <v>2864</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1152</v>
      </c>
      <c r="B163" s="3424" t="s">
        <v>2865</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1152</v>
      </c>
      <c r="B164" s="3424" t="s">
        <v>2866</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1152</v>
      </c>
      <c r="B165" s="3424" t="s">
        <v>2867</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1152</v>
      </c>
      <c r="B166" s="3424" t="s">
        <v>2868</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1152</v>
      </c>
      <c r="B167" s="3424" t="s">
        <v>2869</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1152</v>
      </c>
      <c r="B168" s="3424" t="s">
        <v>2870</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1152</v>
      </c>
      <c r="B169" s="3424" t="s">
        <v>2871</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1152</v>
      </c>
      <c r="B170" s="3424" t="s">
        <v>2872</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1152</v>
      </c>
      <c r="B171" s="3424" t="s">
        <v>2873</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1152</v>
      </c>
      <c r="B172" s="3424" t="s">
        <v>2874</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1152</v>
      </c>
      <c r="B173" s="3424" t="s">
        <v>2875</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1152</v>
      </c>
      <c r="B174" s="3424" t="s">
        <v>2876</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1152</v>
      </c>
      <c r="B175" s="3424" t="s">
        <v>2877</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1152</v>
      </c>
      <c r="B176" s="3424" t="s">
        <v>2878</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1152</v>
      </c>
      <c r="B177" s="3424" t="s">
        <v>2879</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1152</v>
      </c>
      <c r="B178" s="3424" t="s">
        <v>2880</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1152</v>
      </c>
      <c r="B179" s="3424" t="s">
        <v>2881</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1152</v>
      </c>
      <c r="B180" s="3424" t="s">
        <v>2882</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1152</v>
      </c>
      <c r="B181" s="3424" t="s">
        <v>2883</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1152</v>
      </c>
      <c r="B182" s="3424" t="s">
        <v>2884</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1152</v>
      </c>
      <c r="B183" s="3424" t="s">
        <v>2885</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1152</v>
      </c>
      <c r="B184" s="3424" t="s">
        <v>2886</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1152</v>
      </c>
      <c r="B185" s="3424" t="s">
        <v>2887</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1152</v>
      </c>
      <c r="B186" s="3424" t="s">
        <v>2888</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1152</v>
      </c>
      <c r="B187" s="3424" t="s">
        <v>2889</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1152</v>
      </c>
      <c r="B188" s="3424" t="s">
        <v>2890</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1152</v>
      </c>
      <c r="B189" s="3427" t="s">
        <v>2891</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1153</v>
      </c>
      <c r="B190" s="1289" t="s">
        <v>2892</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1153</v>
      </c>
      <c r="B191" s="3424" t="s">
        <v>977</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1153</v>
      </c>
      <c r="B192" s="3424" t="s">
        <v>987</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1153</v>
      </c>
      <c r="B193" s="3424" t="s">
        <v>996</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1153</v>
      </c>
      <c r="B194" s="3424" t="s">
        <v>1006</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1153</v>
      </c>
      <c r="B195" s="3424" t="s">
        <v>1013</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1153</v>
      </c>
      <c r="B196" s="3424" t="s">
        <v>1019</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1153</v>
      </c>
      <c r="B197" s="3424" t="s">
        <v>1026</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1153</v>
      </c>
      <c r="B198" s="3424" t="s">
        <v>1036</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1153</v>
      </c>
      <c r="B199" s="3424" t="s">
        <v>2893</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1153</v>
      </c>
      <c r="B200" s="3424" t="s">
        <v>2894</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1153</v>
      </c>
      <c r="B201" s="3424" t="s">
        <v>2895</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1153</v>
      </c>
      <c r="B202" s="3424" t="s">
        <v>1087</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1153</v>
      </c>
      <c r="B203" s="3424" t="s">
        <v>2896</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1153</v>
      </c>
      <c r="B204" s="3424" t="s">
        <v>2897</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1153</v>
      </c>
      <c r="B205" s="3424" t="s">
        <v>2898</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1153</v>
      </c>
      <c r="B206" s="1289" t="s">
        <v>2899</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1153</v>
      </c>
      <c r="B207" s="3424" t="s">
        <v>2900</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1153</v>
      </c>
      <c r="B208" s="3424" t="s">
        <v>2901</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1153</v>
      </c>
      <c r="B209" s="3424" t="s">
        <v>1111</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1153</v>
      </c>
      <c r="B210" s="3424" t="s">
        <v>2902</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1153</v>
      </c>
      <c r="B211" s="3424" t="s">
        <v>2903</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1153</v>
      </c>
      <c r="B212" s="3424" t="s">
        <v>1133</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1153</v>
      </c>
      <c r="B213" s="3424" t="s">
        <v>1136</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1153</v>
      </c>
      <c r="B214" s="3424" t="s">
        <v>2904</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1153</v>
      </c>
      <c r="B215" s="3424" t="s">
        <v>1122</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1153</v>
      </c>
      <c r="B216" s="3424" t="s">
        <v>2905</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1153</v>
      </c>
      <c r="B217" s="3424" t="s">
        <v>2906</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1153</v>
      </c>
      <c r="B218" s="3424" t="s">
        <v>2907</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1153</v>
      </c>
      <c r="B219" s="3424" t="s">
        <v>2908</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1153</v>
      </c>
      <c r="B220" s="3424" t="s">
        <v>2909</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1153</v>
      </c>
      <c r="B221" s="3424" t="s">
        <v>2910</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1153</v>
      </c>
      <c r="B222" s="3424" t="s">
        <v>2911</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1153</v>
      </c>
      <c r="B223" s="3424" t="s">
        <v>2912</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1153</v>
      </c>
      <c r="B224" s="3424" t="s">
        <v>2913</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1153</v>
      </c>
      <c r="B225" s="3424" t="s">
        <v>2914</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1153</v>
      </c>
      <c r="B226" s="3424" t="s">
        <v>2915</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1153</v>
      </c>
      <c r="B227" s="3424" t="s">
        <v>2916</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1153</v>
      </c>
      <c r="B228" s="3424" t="s">
        <v>2917</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1153</v>
      </c>
      <c r="B229" s="3424" t="s">
        <v>2918</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1153</v>
      </c>
      <c r="B230" s="3424" t="s">
        <v>2919</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1153</v>
      </c>
      <c r="B231" s="3424" t="s">
        <v>2920</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1153</v>
      </c>
      <c r="B232" s="3424" t="s">
        <v>2921</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1153</v>
      </c>
      <c r="B233" s="3427" t="s">
        <v>2922</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1154</v>
      </c>
      <c r="B234" s="1289" t="s">
        <v>2923</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1154</v>
      </c>
      <c r="B235" s="3424" t="s">
        <v>978</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1154</v>
      </c>
      <c r="B236" s="3424" t="s">
        <v>988</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1154</v>
      </c>
      <c r="B237" s="3424" t="s">
        <v>997</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1154</v>
      </c>
      <c r="B238" s="3424" t="s">
        <v>2924</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1154</v>
      </c>
      <c r="B239" s="3424" t="s">
        <v>2925</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1154</v>
      </c>
      <c r="B240" s="3424" t="s">
        <v>2926</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1154</v>
      </c>
      <c r="B241" s="3424" t="s">
        <v>2927</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1154</v>
      </c>
      <c r="B242" s="3424" t="s">
        <v>1027</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1154</v>
      </c>
      <c r="B243" s="3424" t="s">
        <v>1037</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1154</v>
      </c>
      <c r="B244" s="3424" t="s">
        <v>2928</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1154</v>
      </c>
      <c r="B245" s="1289" t="s">
        <v>1052</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1154</v>
      </c>
      <c r="B246" s="3424" t="s">
        <v>1059</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1154</v>
      </c>
      <c r="B247" s="3424" t="s">
        <v>2929</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1154</v>
      </c>
      <c r="B248" s="3424" t="s">
        <v>1074</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1154</v>
      </c>
      <c r="B249" s="3424" t="s">
        <v>2930</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1154</v>
      </c>
      <c r="B250" s="3424" t="s">
        <v>1088</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1154</v>
      </c>
      <c r="B251" s="3424" t="s">
        <v>1096</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1154</v>
      </c>
      <c r="B252" s="3424" t="s">
        <v>2931</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1154</v>
      </c>
      <c r="B253" s="3424" t="s">
        <v>1131</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1154</v>
      </c>
      <c r="B254" s="3424" t="s">
        <v>1134</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1154</v>
      </c>
      <c r="B255" s="3424" t="s">
        <v>1137</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1154</v>
      </c>
      <c r="B256" s="3424" t="s">
        <v>2932</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1154</v>
      </c>
      <c r="B257" s="3424" t="s">
        <v>1123</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1154</v>
      </c>
      <c r="B258" s="3424" t="s">
        <v>2933</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1154</v>
      </c>
      <c r="B259" s="3424" t="s">
        <v>2934</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1154</v>
      </c>
      <c r="B260" s="3424" t="s">
        <v>2935</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1154</v>
      </c>
      <c r="B261" s="3424" t="s">
        <v>2936</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1154</v>
      </c>
      <c r="B262" s="3424" t="s">
        <v>2937</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1154</v>
      </c>
      <c r="B263" s="3424" t="s">
        <v>2938</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1154</v>
      </c>
      <c r="B264" s="3424" t="s">
        <v>1147</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1154</v>
      </c>
      <c r="B265" s="3424" t="s">
        <v>2939</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1154</v>
      </c>
      <c r="B266" s="3424" t="s">
        <v>2940</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1154</v>
      </c>
      <c r="B267" s="3424" t="s">
        <v>2941</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1154</v>
      </c>
      <c r="B268" s="3424" t="s">
        <v>2942</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1154</v>
      </c>
      <c r="B269" s="3424" t="s">
        <v>2943</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1154</v>
      </c>
      <c r="B270" s="3424" t="s">
        <v>2944</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1154</v>
      </c>
      <c r="B271" s="3424" t="s">
        <v>2945</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1154</v>
      </c>
      <c r="B272" s="3424" t="s">
        <v>2946</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1154</v>
      </c>
      <c r="B273" s="3424" t="s">
        <v>2947</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1154</v>
      </c>
      <c r="B274" s="3424" t="s">
        <v>2948</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1154</v>
      </c>
      <c r="B275" s="3424" t="s">
        <v>2949</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1154</v>
      </c>
      <c r="B276" s="3427" t="s">
        <v>2950</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1155</v>
      </c>
      <c r="B277" s="1289" t="s">
        <v>2951</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1155</v>
      </c>
      <c r="B278" s="3424" t="s">
        <v>979</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1155</v>
      </c>
      <c r="B279" s="3424" t="s">
        <v>2952</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1155</v>
      </c>
      <c r="B280" s="3424" t="s">
        <v>2953</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1155</v>
      </c>
      <c r="B281" s="3424" t="s">
        <v>2954</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1155</v>
      </c>
      <c r="B282" s="3424" t="s">
        <v>2955</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1155</v>
      </c>
      <c r="B283" s="3424" t="s">
        <v>1020</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1155</v>
      </c>
      <c r="B284" s="3424" t="s">
        <v>1028</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1155</v>
      </c>
      <c r="B285" s="3424" t="s">
        <v>1038</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1155</v>
      </c>
      <c r="B286" s="3424" t="s">
        <v>1045</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1155</v>
      </c>
      <c r="B287" s="3424" t="s">
        <v>2956</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1155</v>
      </c>
      <c r="B288" s="3424" t="s">
        <v>1066</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1155</v>
      </c>
      <c r="B289" s="3424" t="s">
        <v>2957</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1155</v>
      </c>
      <c r="B290" s="1289" t="s">
        <v>1089</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1155</v>
      </c>
      <c r="B291" s="3424" t="s">
        <v>1097</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1155</v>
      </c>
      <c r="B292" s="3424" t="s">
        <v>1103</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1155</v>
      </c>
      <c r="B293" s="3424" t="s">
        <v>2958</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1155</v>
      </c>
      <c r="B294" s="3424" t="s">
        <v>2959</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1155</v>
      </c>
      <c r="B295" s="3424" t="s">
        <v>1138</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1155</v>
      </c>
      <c r="B296" s="3424" t="s">
        <v>1141</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1155</v>
      </c>
      <c r="B297" s="3424" t="s">
        <v>1143</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1155</v>
      </c>
      <c r="B298" s="3424" t="s">
        <v>1146</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1155</v>
      </c>
      <c r="B299" s="3424" t="s">
        <v>2960</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1155</v>
      </c>
      <c r="B300" s="3424" t="s">
        <v>1118</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1155</v>
      </c>
      <c r="B301" s="3424" t="s">
        <v>1124</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1155</v>
      </c>
      <c r="B302" s="3424" t="s">
        <v>2961</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1155</v>
      </c>
      <c r="B303" s="3424" t="s">
        <v>2962</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1155</v>
      </c>
      <c r="B304" s="3424" t="s">
        <v>2963</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1155</v>
      </c>
      <c r="B305" s="3424" t="s">
        <v>2964</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1155</v>
      </c>
      <c r="B306" s="3424" t="s">
        <v>2965</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1155</v>
      </c>
      <c r="B307" s="3424" t="s">
        <v>2966</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1155</v>
      </c>
      <c r="B308" s="3424" t="s">
        <v>2967</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1155</v>
      </c>
      <c r="B309" s="3424" t="s">
        <v>2968</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1155</v>
      </c>
      <c r="B310" s="3424" t="s">
        <v>2969</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1155</v>
      </c>
      <c r="B311" s="3424" t="s">
        <v>2970</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1155</v>
      </c>
      <c r="B312" s="3424" t="s">
        <v>2971</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1155</v>
      </c>
      <c r="B313" s="3424" t="s">
        <v>2972</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1155</v>
      </c>
      <c r="B314" s="3424" t="s">
        <v>2973</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1155</v>
      </c>
      <c r="B315" s="3424" t="s">
        <v>2974</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1155</v>
      </c>
      <c r="B316" s="3424" t="s">
        <v>2975</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1155</v>
      </c>
      <c r="B317" s="1289" t="s">
        <v>2976</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1155</v>
      </c>
      <c r="B318" s="3424" t="s">
        <v>2977</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1155</v>
      </c>
      <c r="B319" s="3424" t="s">
        <v>2978</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1155</v>
      </c>
      <c r="B320" s="3424" t="s">
        <v>2979</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1155</v>
      </c>
      <c r="B321" s="3424" t="s">
        <v>2980</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1155</v>
      </c>
      <c r="B322" s="3424" t="s">
        <v>2981</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1155</v>
      </c>
      <c r="B323" s="3424" t="s">
        <v>2982</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1155</v>
      </c>
      <c r="B324" s="3424" t="s">
        <v>2983</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1155</v>
      </c>
      <c r="B325" s="3424" t="s">
        <v>2984</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1155</v>
      </c>
      <c r="B326" s="3427" t="s">
        <v>2985</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1156</v>
      </c>
      <c r="B327" s="2601" t="s">
        <v>2986</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1156</v>
      </c>
      <c r="B328" s="3424" t="s">
        <v>980</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1156</v>
      </c>
      <c r="B329" s="3424" t="s">
        <v>2987</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1156</v>
      </c>
      <c r="B330" s="3424" t="s">
        <v>2988</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1156</v>
      </c>
      <c r="B331" s="3424" t="s">
        <v>1007</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1156</v>
      </c>
      <c r="B332" s="3424" t="s">
        <v>2989</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1156</v>
      </c>
      <c r="B333" s="3424" t="s">
        <v>2990</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1156</v>
      </c>
      <c r="B334" s="3424" t="s">
        <v>1029</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1156</v>
      </c>
      <c r="B335" s="3424" t="s">
        <v>1039</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1156</v>
      </c>
      <c r="B336" s="3424" t="s">
        <v>2991</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1156</v>
      </c>
      <c r="B337" s="3424" t="s">
        <v>2992</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1156</v>
      </c>
      <c r="B338" s="3424" t="s">
        <v>1067</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1156</v>
      </c>
      <c r="B339" s="3424" t="s">
        <v>1075</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1156</v>
      </c>
      <c r="B340" s="3424" t="s">
        <v>2993</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1156</v>
      </c>
      <c r="B341" s="3424" t="s">
        <v>1053</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1156</v>
      </c>
      <c r="B342" s="3424" t="s">
        <v>2994</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1156</v>
      </c>
      <c r="B343" s="3424" t="s">
        <v>1104</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1156</v>
      </c>
      <c r="B344" s="3424" t="s">
        <v>1112</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1156</v>
      </c>
      <c r="B345" s="3433" t="s">
        <v>2995</v>
      </c>
      <c r="C345" s="3433">
        <v>3190</v>
      </c>
      <c r="D345" s="3433">
        <v>3140</v>
      </c>
      <c r="E345" s="3433">
        <v>3450</v>
      </c>
      <c r="F345" s="3433">
        <v>720</v>
      </c>
      <c r="G345" s="3433">
        <v>1880</v>
      </c>
      <c r="H345" s="3446"/>
    </row>
    <row r="346" spans="1:21">
      <c r="A346" s="3433" t="s">
        <v>1156</v>
      </c>
      <c r="B346" s="3433" t="s">
        <v>2996</v>
      </c>
      <c r="C346" s="3433">
        <v>3630</v>
      </c>
      <c r="D346" s="3433">
        <v>3590</v>
      </c>
      <c r="E346" s="3433">
        <v>3940</v>
      </c>
      <c r="F346" s="3433">
        <v>730</v>
      </c>
      <c r="G346" s="3433">
        <v>2150</v>
      </c>
      <c r="H346" s="3446"/>
    </row>
    <row r="347" spans="1:21">
      <c r="A347" s="3433" t="s">
        <v>1156</v>
      </c>
      <c r="B347" s="3433" t="s">
        <v>1090</v>
      </c>
      <c r="C347" s="3433">
        <v>3860</v>
      </c>
      <c r="D347" s="3433">
        <v>3820</v>
      </c>
      <c r="E347" s="3433">
        <v>4220</v>
      </c>
      <c r="F347" s="3433">
        <v>750</v>
      </c>
      <c r="G347" s="3433">
        <v>2280</v>
      </c>
      <c r="H347" s="3446"/>
    </row>
    <row r="348" spans="1:21">
      <c r="A348" s="3433" t="s">
        <v>1156</v>
      </c>
      <c r="B348" s="3433" t="s">
        <v>2997</v>
      </c>
      <c r="C348" s="3433">
        <v>4000</v>
      </c>
      <c r="D348" s="3433">
        <v>3950</v>
      </c>
      <c r="E348" s="3433">
        <v>4430</v>
      </c>
      <c r="F348" s="3433">
        <v>760</v>
      </c>
      <c r="G348" s="3433">
        <v>2360</v>
      </c>
      <c r="H348" s="3446"/>
    </row>
    <row r="349" spans="1:21">
      <c r="A349" s="3433" t="s">
        <v>1156</v>
      </c>
      <c r="B349" s="3433" t="s">
        <v>2998</v>
      </c>
      <c r="C349" s="3433">
        <v>3820</v>
      </c>
      <c r="D349" s="3433">
        <v>3780</v>
      </c>
      <c r="E349" s="3433">
        <v>4170</v>
      </c>
      <c r="F349" s="3433">
        <v>710</v>
      </c>
      <c r="G349" s="3433">
        <v>2260</v>
      </c>
      <c r="H349" s="3446"/>
    </row>
    <row r="350" spans="1:21">
      <c r="A350" s="3433" t="s">
        <v>1156</v>
      </c>
      <c r="B350" s="3433" t="s">
        <v>2999</v>
      </c>
      <c r="C350" s="3433">
        <v>3760</v>
      </c>
      <c r="D350" s="3433">
        <v>3730</v>
      </c>
      <c r="E350" s="3433">
        <v>4100</v>
      </c>
      <c r="F350" s="3433">
        <v>800</v>
      </c>
      <c r="G350" s="3433">
        <v>2230</v>
      </c>
      <c r="H350" s="3446"/>
    </row>
    <row r="351" spans="1:21">
      <c r="A351" s="3433" t="s">
        <v>1156</v>
      </c>
      <c r="B351" s="3433" t="s">
        <v>3000</v>
      </c>
      <c r="C351" s="3433">
        <v>3610</v>
      </c>
      <c r="D351" s="3433">
        <v>3580</v>
      </c>
      <c r="E351" s="3433">
        <v>3930</v>
      </c>
      <c r="F351" s="3433">
        <v>700</v>
      </c>
      <c r="G351" s="3433">
        <v>2140</v>
      </c>
      <c r="H351" s="3446"/>
    </row>
    <row r="352" spans="1:21">
      <c r="A352" s="3433" t="s">
        <v>1156</v>
      </c>
      <c r="B352" s="3433" t="s">
        <v>3001</v>
      </c>
      <c r="C352" s="3433">
        <v>3670</v>
      </c>
      <c r="D352" s="3433">
        <v>3630</v>
      </c>
      <c r="E352" s="3433">
        <v>4000</v>
      </c>
      <c r="F352" s="3433">
        <v>750</v>
      </c>
      <c r="G352" s="3433">
        <v>2180</v>
      </c>
      <c r="H352" s="3446"/>
    </row>
    <row r="353" spans="1:8">
      <c r="A353" s="3433" t="s">
        <v>1156</v>
      </c>
      <c r="B353" s="3433" t="s">
        <v>3002</v>
      </c>
      <c r="C353" s="3433">
        <v>3190</v>
      </c>
      <c r="D353" s="3433">
        <v>3150</v>
      </c>
      <c r="E353" s="3433">
        <v>3640</v>
      </c>
      <c r="F353" s="3433">
        <v>630</v>
      </c>
      <c r="G353" s="3433">
        <v>1890</v>
      </c>
      <c r="H353" s="3446"/>
    </row>
    <row r="354" spans="1:8">
      <c r="A354" s="3433" t="s">
        <v>1156</v>
      </c>
      <c r="B354" s="3433" t="s">
        <v>1128</v>
      </c>
      <c r="C354" s="3433">
        <v>3450</v>
      </c>
      <c r="D354" s="3433">
        <v>3420</v>
      </c>
      <c r="E354" s="3433">
        <v>3960</v>
      </c>
      <c r="F354" s="3433">
        <v>660</v>
      </c>
      <c r="G354" s="3433">
        <v>2050</v>
      </c>
      <c r="H354" s="3446"/>
    </row>
    <row r="355" spans="1:8">
      <c r="A355" s="3433" t="s">
        <v>1156</v>
      </c>
      <c r="B355" s="3433" t="s">
        <v>3003</v>
      </c>
      <c r="C355" s="3433">
        <v>3650</v>
      </c>
      <c r="D355" s="3433">
        <v>3610</v>
      </c>
      <c r="E355" s="3433">
        <v>4200</v>
      </c>
      <c r="F355" s="3433">
        <v>640</v>
      </c>
      <c r="G355" s="3433">
        <v>2160</v>
      </c>
      <c r="H355" s="3446"/>
    </row>
    <row r="356" spans="1:8">
      <c r="A356" s="3433" t="s">
        <v>1156</v>
      </c>
      <c r="B356" s="3433" t="s">
        <v>3004</v>
      </c>
      <c r="C356" s="3433">
        <v>3260</v>
      </c>
      <c r="D356" s="3433">
        <v>3230</v>
      </c>
      <c r="E356" s="3433">
        <v>3740</v>
      </c>
      <c r="F356" s="3433">
        <v>600</v>
      </c>
      <c r="G356" s="3433">
        <v>1930</v>
      </c>
      <c r="H356" s="3446"/>
    </row>
    <row r="357" spans="1:8" ht="15" thickBot="1">
      <c r="A357" s="3449" t="s">
        <v>1156</v>
      </c>
      <c r="B357" s="3449" t="s">
        <v>3005</v>
      </c>
      <c r="C357" s="3449">
        <v>3690</v>
      </c>
      <c r="D357" s="3449">
        <v>3650</v>
      </c>
      <c r="E357" s="3449">
        <v>4020</v>
      </c>
      <c r="F357" s="3449">
        <v>700</v>
      </c>
      <c r="G357" s="3449">
        <v>2190</v>
      </c>
      <c r="H357" s="3446"/>
    </row>
    <row r="358" spans="1:8">
      <c r="A358" s="3450" t="s">
        <v>2761</v>
      </c>
      <c r="B358" s="3451" t="s">
        <v>3006</v>
      </c>
      <c r="C358" s="3451">
        <v>2080</v>
      </c>
      <c r="D358" s="3451">
        <v>2040</v>
      </c>
      <c r="E358" s="3451">
        <v>2010</v>
      </c>
      <c r="F358" s="3451">
        <v>530</v>
      </c>
      <c r="G358" s="3452">
        <v>1230</v>
      </c>
      <c r="H358" s="3446"/>
    </row>
    <row r="359" spans="1:8">
      <c r="A359" s="3453" t="s">
        <v>2761</v>
      </c>
      <c r="B359" s="3433" t="s">
        <v>3007</v>
      </c>
      <c r="C359" s="3433">
        <v>1850</v>
      </c>
      <c r="D359" s="3433">
        <v>1820</v>
      </c>
      <c r="E359" s="3433">
        <v>1780</v>
      </c>
      <c r="F359" s="3433">
        <v>520</v>
      </c>
      <c r="G359" s="3445">
        <v>1100</v>
      </c>
      <c r="H359" s="3446"/>
    </row>
    <row r="360" spans="1:8">
      <c r="A360" s="3453" t="s">
        <v>2761</v>
      </c>
      <c r="B360" s="3433" t="s">
        <v>3008</v>
      </c>
      <c r="C360" s="3433">
        <v>2020</v>
      </c>
      <c r="D360" s="3433">
        <v>1990</v>
      </c>
      <c r="E360" s="3433">
        <v>1950</v>
      </c>
      <c r="F360" s="3433">
        <v>500</v>
      </c>
      <c r="G360" s="3445">
        <v>1200</v>
      </c>
      <c r="H360" s="3446"/>
    </row>
    <row r="361" spans="1:8">
      <c r="A361" s="3453" t="s">
        <v>2761</v>
      </c>
      <c r="B361" s="3433" t="s">
        <v>998</v>
      </c>
      <c r="C361" s="3433">
        <v>2260</v>
      </c>
      <c r="D361" s="3433">
        <v>2220</v>
      </c>
      <c r="E361" s="3433">
        <v>2180</v>
      </c>
      <c r="F361" s="3433">
        <v>580</v>
      </c>
      <c r="G361" s="3445">
        <v>1340</v>
      </c>
      <c r="H361" s="3446"/>
    </row>
    <row r="362" spans="1:8">
      <c r="A362" s="3453" t="s">
        <v>2761</v>
      </c>
      <c r="B362" s="3433" t="s">
        <v>3009</v>
      </c>
      <c r="C362" s="3433">
        <v>2650</v>
      </c>
      <c r="D362" s="3433">
        <v>2610</v>
      </c>
      <c r="E362" s="3433">
        <v>2570</v>
      </c>
      <c r="F362" s="3433">
        <v>630</v>
      </c>
      <c r="G362" s="3445">
        <v>1570</v>
      </c>
      <c r="H362" s="3446"/>
    </row>
    <row r="363" spans="1:8">
      <c r="A363" s="3453" t="s">
        <v>2761</v>
      </c>
      <c r="B363" s="3433" t="s">
        <v>3010</v>
      </c>
      <c r="C363" s="3433">
        <v>2390</v>
      </c>
      <c r="D363" s="3433">
        <v>2360</v>
      </c>
      <c r="E363" s="3433">
        <v>2320</v>
      </c>
      <c r="F363" s="3433">
        <v>600</v>
      </c>
      <c r="G363" s="3445">
        <v>1420</v>
      </c>
      <c r="H363" s="3446"/>
    </row>
    <row r="364" spans="1:8">
      <c r="A364" s="3453" t="s">
        <v>2761</v>
      </c>
      <c r="B364" s="3433" t="s">
        <v>3011</v>
      </c>
      <c r="C364" s="3433">
        <v>2050</v>
      </c>
      <c r="D364" s="3433">
        <v>2030</v>
      </c>
      <c r="E364" s="3433">
        <v>1990</v>
      </c>
      <c r="F364" s="3433">
        <v>550</v>
      </c>
      <c r="G364" s="3445">
        <v>1220</v>
      </c>
      <c r="H364" s="3446"/>
    </row>
    <row r="365" spans="1:8">
      <c r="A365" s="3453" t="s">
        <v>2761</v>
      </c>
      <c r="B365" s="3433" t="s">
        <v>1046</v>
      </c>
      <c r="C365" s="3433">
        <v>2140</v>
      </c>
      <c r="D365" s="3433">
        <v>2100</v>
      </c>
      <c r="E365" s="3433">
        <v>2060</v>
      </c>
      <c r="F365" s="3433">
        <v>540</v>
      </c>
      <c r="G365" s="3445">
        <v>1270</v>
      </c>
      <c r="H365" s="3446"/>
    </row>
    <row r="366" spans="1:8">
      <c r="A366" s="3453" t="s">
        <v>2761</v>
      </c>
      <c r="B366" s="3433" t="s">
        <v>3012</v>
      </c>
      <c r="C366" s="3433">
        <v>2410</v>
      </c>
      <c r="D366" s="3433">
        <v>2370</v>
      </c>
      <c r="E366" s="3433">
        <v>2330</v>
      </c>
      <c r="F366" s="3433">
        <v>570</v>
      </c>
      <c r="G366" s="3445">
        <v>1440</v>
      </c>
      <c r="H366" s="3446"/>
    </row>
    <row r="367" spans="1:8">
      <c r="A367" s="3453" t="s">
        <v>2761</v>
      </c>
      <c r="B367" s="3433" t="s">
        <v>3013</v>
      </c>
      <c r="C367" s="3433">
        <v>2300</v>
      </c>
      <c r="D367" s="3433">
        <v>2260</v>
      </c>
      <c r="E367" s="3433">
        <v>2220</v>
      </c>
      <c r="F367" s="3433">
        <v>560</v>
      </c>
      <c r="G367" s="3445">
        <v>1370</v>
      </c>
      <c r="H367" s="3446"/>
    </row>
    <row r="368" spans="1:8">
      <c r="A368" s="3453" t="s">
        <v>2761</v>
      </c>
      <c r="B368" s="3433" t="s">
        <v>3014</v>
      </c>
      <c r="C368" s="3433">
        <v>2430</v>
      </c>
      <c r="D368" s="3433">
        <v>2390</v>
      </c>
      <c r="E368" s="3433">
        <v>2350</v>
      </c>
      <c r="F368" s="3433">
        <v>570</v>
      </c>
      <c r="G368" s="3445">
        <v>1450</v>
      </c>
      <c r="H368" s="3446"/>
    </row>
    <row r="369" spans="1:8">
      <c r="A369" s="3453" t="s">
        <v>2761</v>
      </c>
      <c r="B369" s="3433" t="s">
        <v>1060</v>
      </c>
      <c r="C369" s="3433">
        <v>2320</v>
      </c>
      <c r="D369" s="3433">
        <v>2290</v>
      </c>
      <c r="E369" s="3433">
        <v>2250</v>
      </c>
      <c r="F369" s="3433">
        <v>550</v>
      </c>
      <c r="G369" s="3445">
        <v>1380</v>
      </c>
      <c r="H369" s="3446"/>
    </row>
    <row r="370" spans="1:8">
      <c r="A370" s="3453" t="s">
        <v>2761</v>
      </c>
      <c r="B370" s="3433" t="s">
        <v>1068</v>
      </c>
      <c r="C370" s="3433">
        <v>2190</v>
      </c>
      <c r="D370" s="3433">
        <v>2170</v>
      </c>
      <c r="E370" s="3433">
        <v>2130</v>
      </c>
      <c r="F370" s="3433">
        <v>530</v>
      </c>
      <c r="G370" s="3445">
        <v>1310</v>
      </c>
      <c r="H370" s="3446"/>
    </row>
    <row r="371" spans="1:8">
      <c r="A371" s="3453" t="s">
        <v>2761</v>
      </c>
      <c r="B371" s="3433" t="s">
        <v>1076</v>
      </c>
      <c r="C371" s="3433">
        <v>2460</v>
      </c>
      <c r="D371" s="3433">
        <v>2420</v>
      </c>
      <c r="E371" s="3433">
        <v>2370</v>
      </c>
      <c r="F371" s="3433">
        <v>560</v>
      </c>
      <c r="G371" s="3445">
        <v>1470</v>
      </c>
      <c r="H371" s="3446"/>
    </row>
    <row r="372" spans="1:8">
      <c r="A372" s="3453" t="s">
        <v>2761</v>
      </c>
      <c r="B372" s="3433" t="s">
        <v>3015</v>
      </c>
      <c r="C372" s="3433">
        <v>2250</v>
      </c>
      <c r="D372" s="3433">
        <v>2210</v>
      </c>
      <c r="E372" s="3433">
        <v>2180</v>
      </c>
      <c r="F372" s="3433">
        <v>550</v>
      </c>
      <c r="G372" s="3445">
        <v>1340</v>
      </c>
      <c r="H372" s="3446"/>
    </row>
    <row r="373" spans="1:8">
      <c r="A373" s="3453" t="s">
        <v>2761</v>
      </c>
      <c r="B373" s="3433" t="s">
        <v>1105</v>
      </c>
      <c r="C373" s="3433">
        <v>2210</v>
      </c>
      <c r="D373" s="3433">
        <v>2190</v>
      </c>
      <c r="E373" s="3433">
        <v>2150</v>
      </c>
      <c r="F373" s="3433">
        <v>530</v>
      </c>
      <c r="G373" s="3445">
        <v>1320</v>
      </c>
      <c r="H373" s="3446"/>
    </row>
    <row r="374" spans="1:8">
      <c r="A374" s="3453" t="s">
        <v>2761</v>
      </c>
      <c r="B374" s="3433" t="s">
        <v>1113</v>
      </c>
      <c r="C374" s="3433">
        <v>2320</v>
      </c>
      <c r="D374" s="3433">
        <v>2280</v>
      </c>
      <c r="E374" s="3433">
        <v>2230</v>
      </c>
      <c r="F374" s="3433">
        <v>580</v>
      </c>
      <c r="G374" s="3445">
        <v>1380</v>
      </c>
      <c r="H374" s="3446"/>
    </row>
    <row r="375" spans="1:8">
      <c r="A375" s="3453" t="s">
        <v>2761</v>
      </c>
      <c r="B375" s="3433" t="s">
        <v>3016</v>
      </c>
      <c r="C375" s="3433">
        <v>2090</v>
      </c>
      <c r="D375" s="3433">
        <v>2050</v>
      </c>
      <c r="E375" s="3433">
        <v>2020</v>
      </c>
      <c r="F375" s="3433">
        <v>520</v>
      </c>
      <c r="G375" s="3445">
        <v>1240</v>
      </c>
      <c r="H375" s="3446"/>
    </row>
    <row r="376" spans="1:8">
      <c r="A376" s="3453" t="s">
        <v>2761</v>
      </c>
      <c r="B376" s="3433" t="s">
        <v>1125</v>
      </c>
      <c r="C376" s="3433">
        <v>2010</v>
      </c>
      <c r="D376" s="3433">
        <v>1980</v>
      </c>
      <c r="E376" s="3433">
        <v>1940</v>
      </c>
      <c r="F376" s="3433">
        <v>540</v>
      </c>
      <c r="G376" s="3445">
        <v>1190</v>
      </c>
      <c r="H376" s="3446"/>
    </row>
    <row r="377" spans="1:8" ht="15" thickBot="1">
      <c r="A377" s="3455" t="s">
        <v>2761</v>
      </c>
      <c r="B377" s="3449" t="s">
        <v>3017</v>
      </c>
      <c r="C377" s="3449">
        <v>1930</v>
      </c>
      <c r="D377" s="3449">
        <v>1890</v>
      </c>
      <c r="E377" s="3449">
        <v>1860</v>
      </c>
      <c r="F377" s="3449">
        <v>530</v>
      </c>
      <c r="G377" s="3456">
        <v>1150</v>
      </c>
      <c r="H377" s="3446"/>
    </row>
    <row r="378" spans="1:8">
      <c r="A378" s="3450" t="s">
        <v>2762</v>
      </c>
      <c r="B378" s="3451" t="s">
        <v>3018</v>
      </c>
      <c r="C378" s="3451">
        <v>1520</v>
      </c>
      <c r="D378" s="3451">
        <v>1490</v>
      </c>
      <c r="E378" s="3451">
        <v>1460</v>
      </c>
      <c r="F378" s="3451">
        <v>460</v>
      </c>
      <c r="G378" s="3452">
        <v>940</v>
      </c>
      <c r="H378" s="3446"/>
    </row>
    <row r="379" spans="1:8">
      <c r="A379" s="3453" t="s">
        <v>2762</v>
      </c>
      <c r="B379" s="3433" t="s">
        <v>3019</v>
      </c>
      <c r="C379" s="3433">
        <v>1500</v>
      </c>
      <c r="D379" s="3433">
        <v>1470</v>
      </c>
      <c r="E379" s="3433">
        <v>1430</v>
      </c>
      <c r="F379" s="3433">
        <v>460</v>
      </c>
      <c r="G379" s="3445">
        <v>920</v>
      </c>
      <c r="H379" s="3446"/>
    </row>
    <row r="380" spans="1:8">
      <c r="A380" s="3453" t="s">
        <v>2762</v>
      </c>
      <c r="B380" s="3433" t="s">
        <v>3020</v>
      </c>
      <c r="C380" s="3433">
        <v>1620</v>
      </c>
      <c r="D380" s="3433">
        <v>1590</v>
      </c>
      <c r="E380" s="3433">
        <v>1560</v>
      </c>
      <c r="F380" s="3433">
        <v>480</v>
      </c>
      <c r="G380" s="3445">
        <v>1000</v>
      </c>
      <c r="H380" s="3446"/>
    </row>
    <row r="381" spans="1:8">
      <c r="A381" s="3453" t="s">
        <v>2762</v>
      </c>
      <c r="B381" s="3433" t="s">
        <v>3021</v>
      </c>
      <c r="C381" s="3433">
        <v>1460</v>
      </c>
      <c r="D381" s="3433">
        <v>1430</v>
      </c>
      <c r="E381" s="3433">
        <v>1390</v>
      </c>
      <c r="F381" s="3433">
        <v>450</v>
      </c>
      <c r="G381" s="3445">
        <v>900</v>
      </c>
      <c r="H381" s="3446"/>
    </row>
    <row r="382" spans="1:8">
      <c r="A382" s="3453" t="s">
        <v>2762</v>
      </c>
      <c r="B382" s="3433" t="s">
        <v>3022</v>
      </c>
      <c r="C382" s="3433">
        <v>1310</v>
      </c>
      <c r="D382" s="3433">
        <v>1280</v>
      </c>
      <c r="E382" s="3433">
        <v>1250</v>
      </c>
      <c r="F382" s="3433">
        <v>440</v>
      </c>
      <c r="G382" s="3445">
        <v>800</v>
      </c>
      <c r="H382" s="3446"/>
    </row>
    <row r="383" spans="1:8">
      <c r="A383" s="3453" t="s">
        <v>2762</v>
      </c>
      <c r="B383" s="3433" t="s">
        <v>3023</v>
      </c>
      <c r="C383" s="3433">
        <v>1260</v>
      </c>
      <c r="D383" s="3433">
        <v>1230</v>
      </c>
      <c r="E383" s="3433">
        <v>1200</v>
      </c>
      <c r="F383" s="3433">
        <v>420</v>
      </c>
      <c r="G383" s="3445">
        <v>770</v>
      </c>
      <c r="H383" s="3446"/>
    </row>
    <row r="384" spans="1:8" ht="15" thickBot="1">
      <c r="A384" s="3454" t="s">
        <v>2762</v>
      </c>
      <c r="B384" s="3448" t="s">
        <v>3024</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27" t="s">
        <v>3187</v>
      </c>
      <c r="B1" s="3927"/>
      <c r="C1" s="3927"/>
      <c r="D1" s="3927"/>
      <c r="E1" s="3927"/>
      <c r="F1" s="3928"/>
    </row>
    <row r="2" spans="1:6">
      <c r="A2" s="3500" t="s">
        <v>3188</v>
      </c>
      <c r="B2" s="3501"/>
      <c r="C2" s="3501"/>
      <c r="D2" s="3501"/>
      <c r="E2" s="3501"/>
      <c r="F2" s="3501"/>
    </row>
    <row r="3" spans="1:6">
      <c r="A3" s="3500" t="s">
        <v>3189</v>
      </c>
      <c r="B3" s="3501"/>
      <c r="C3" s="3501"/>
      <c r="D3" s="3501"/>
      <c r="E3" s="3501"/>
      <c r="F3" s="3502" t="s">
        <v>3190</v>
      </c>
    </row>
    <row r="4" spans="1:6">
      <c r="A4" s="3503" t="s">
        <v>3185</v>
      </c>
      <c r="B4" s="3503" t="s">
        <v>2738</v>
      </c>
      <c r="C4" s="3503" t="s">
        <v>1211</v>
      </c>
      <c r="D4" s="3503" t="s">
        <v>3186</v>
      </c>
      <c r="E4" s="3503" t="s">
        <v>904</v>
      </c>
      <c r="F4" s="3503" t="s">
        <v>3191</v>
      </c>
    </row>
    <row r="5" spans="1:6">
      <c r="A5" s="3504" t="s">
        <v>2760</v>
      </c>
      <c r="B5" s="3503"/>
      <c r="C5" s="3503"/>
      <c r="D5" s="3503"/>
      <c r="E5" s="3503"/>
      <c r="F5" s="3505"/>
    </row>
    <row r="6" spans="1:6">
      <c r="A6" s="3504" t="s">
        <v>989</v>
      </c>
      <c r="B6" s="3506">
        <v>35380</v>
      </c>
      <c r="C6" s="3506">
        <v>35180</v>
      </c>
      <c r="D6" s="3506">
        <v>35030</v>
      </c>
      <c r="E6" s="3506">
        <v>13780</v>
      </c>
      <c r="F6" s="3506">
        <v>25980</v>
      </c>
    </row>
    <row r="7" spans="1:6">
      <c r="A7" s="3504" t="s">
        <v>1030</v>
      </c>
      <c r="B7" s="3506">
        <v>29960</v>
      </c>
      <c r="C7" s="3506">
        <v>29800</v>
      </c>
      <c r="D7" s="3506">
        <v>29690</v>
      </c>
      <c r="E7" s="3506">
        <v>10100</v>
      </c>
      <c r="F7" s="3506">
        <v>21690</v>
      </c>
    </row>
    <row r="8" spans="1:6">
      <c r="A8" s="3504" t="s">
        <v>1144</v>
      </c>
      <c r="B8" s="3506">
        <v>24480</v>
      </c>
      <c r="C8" s="3506">
        <v>24380</v>
      </c>
      <c r="D8" s="3506">
        <v>25590</v>
      </c>
      <c r="E8" s="3506">
        <v>7010</v>
      </c>
      <c r="F8" s="3506">
        <v>17060</v>
      </c>
    </row>
    <row r="9" spans="1:6">
      <c r="A9" s="3504" t="s">
        <v>852</v>
      </c>
      <c r="B9" s="3506">
        <v>19370</v>
      </c>
      <c r="C9" s="3506">
        <v>19290</v>
      </c>
      <c r="D9" s="3506">
        <v>21280</v>
      </c>
      <c r="E9" s="3506">
        <v>4910</v>
      </c>
      <c r="F9" s="3506">
        <v>13090</v>
      </c>
    </row>
    <row r="10" spans="1:6">
      <c r="A10" s="3504" t="s">
        <v>1151</v>
      </c>
      <c r="B10" s="3506">
        <v>15050</v>
      </c>
      <c r="C10" s="3506">
        <v>14980</v>
      </c>
      <c r="D10" s="3506">
        <v>17300</v>
      </c>
      <c r="E10" s="3506">
        <v>3450</v>
      </c>
      <c r="F10" s="3506">
        <v>9900</v>
      </c>
    </row>
    <row r="11" spans="1:6">
      <c r="A11" s="3504" t="s">
        <v>1152</v>
      </c>
      <c r="B11" s="3506">
        <v>11550</v>
      </c>
      <c r="C11" s="3506">
        <v>11490</v>
      </c>
      <c r="D11" s="3506">
        <v>13850</v>
      </c>
      <c r="E11" s="3506">
        <v>2400</v>
      </c>
      <c r="F11" s="3506">
        <v>7390</v>
      </c>
    </row>
    <row r="12" spans="1:6">
      <c r="A12" s="3504" t="s">
        <v>1153</v>
      </c>
      <c r="B12" s="3506">
        <v>8630</v>
      </c>
      <c r="C12" s="3506">
        <v>8580</v>
      </c>
      <c r="D12" s="3506">
        <v>10740</v>
      </c>
      <c r="E12" s="3506">
        <v>1720</v>
      </c>
      <c r="F12" s="3506">
        <v>5420</v>
      </c>
    </row>
    <row r="13" spans="1:6">
      <c r="A13" s="3504" t="s">
        <v>1154</v>
      </c>
      <c r="B13" s="3506">
        <v>6620</v>
      </c>
      <c r="C13" s="3506">
        <v>6580</v>
      </c>
      <c r="D13" s="3506">
        <v>7830</v>
      </c>
      <c r="E13" s="3506">
        <v>1260</v>
      </c>
      <c r="F13" s="3506">
        <v>4040</v>
      </c>
    </row>
    <row r="14" spans="1:6">
      <c r="A14" s="3504" t="s">
        <v>1155</v>
      </c>
      <c r="B14" s="3506">
        <v>4900</v>
      </c>
      <c r="C14" s="3506">
        <v>4860</v>
      </c>
      <c r="D14" s="3506">
        <v>5540</v>
      </c>
      <c r="E14" s="3506">
        <v>950</v>
      </c>
      <c r="F14" s="3506">
        <v>2930</v>
      </c>
    </row>
    <row r="15" spans="1:6">
      <c r="A15" s="3504" t="s">
        <v>1156</v>
      </c>
      <c r="B15" s="3506">
        <v>3380</v>
      </c>
      <c r="C15" s="3506">
        <v>3340</v>
      </c>
      <c r="D15" s="3506">
        <v>3630</v>
      </c>
      <c r="E15" s="3506">
        <v>730</v>
      </c>
      <c r="F15" s="3506">
        <v>1990</v>
      </c>
    </row>
    <row r="16" spans="1:6">
      <c r="A16" s="3504" t="s">
        <v>2761</v>
      </c>
      <c r="B16" s="3506">
        <v>2230</v>
      </c>
      <c r="C16" s="3506">
        <v>2200</v>
      </c>
      <c r="D16" s="3506">
        <v>2180</v>
      </c>
      <c r="E16" s="3506">
        <v>570</v>
      </c>
      <c r="F16" s="3506">
        <v>1330</v>
      </c>
    </row>
    <row r="17" spans="1:6">
      <c r="A17" s="3504" t="s">
        <v>2762</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40" t="s">
        <v>2774</v>
      </c>
      <c r="B1" s="970"/>
      <c r="C1" s="970"/>
      <c r="D1" s="970"/>
      <c r="E1" s="970"/>
      <c r="F1" s="970"/>
      <c r="G1" s="970"/>
      <c r="H1" s="970"/>
      <c r="I1" s="970"/>
      <c r="J1" s="970"/>
      <c r="K1" s="970"/>
      <c r="L1" s="970"/>
      <c r="M1" s="970"/>
      <c r="N1" s="970"/>
    </row>
    <row r="2" spans="1:14">
      <c r="A2" s="972" t="s">
        <v>1549</v>
      </c>
      <c r="B2" s="973" t="s">
        <v>989</v>
      </c>
      <c r="C2" s="973" t="s">
        <v>1030</v>
      </c>
      <c r="D2" s="973" t="s">
        <v>1144</v>
      </c>
      <c r="E2" s="973" t="s">
        <v>852</v>
      </c>
      <c r="F2" s="973" t="s">
        <v>1151</v>
      </c>
      <c r="G2" s="973" t="s">
        <v>1152</v>
      </c>
      <c r="H2" s="974" t="s">
        <v>1153</v>
      </c>
      <c r="I2" s="974" t="s">
        <v>1154</v>
      </c>
      <c r="J2" s="975" t="s">
        <v>1155</v>
      </c>
      <c r="K2" s="975" t="s">
        <v>1156</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40" t="s">
        <v>2775</v>
      </c>
      <c r="B93" s="981"/>
      <c r="C93" s="981"/>
      <c r="D93" s="981"/>
      <c r="E93" s="981"/>
      <c r="F93" s="981"/>
      <c r="G93" s="981"/>
      <c r="H93" s="981"/>
      <c r="I93" s="981"/>
      <c r="J93" s="981"/>
      <c r="K93" s="981"/>
      <c r="L93" s="981"/>
      <c r="M93" s="981"/>
    </row>
    <row r="94" spans="1:14">
      <c r="A94" s="989" t="s">
        <v>1549</v>
      </c>
      <c r="B94" s="981" t="s">
        <v>989</v>
      </c>
      <c r="C94" s="981" t="s">
        <v>1030</v>
      </c>
      <c r="D94" s="981" t="s">
        <v>1144</v>
      </c>
      <c r="E94" s="981" t="s">
        <v>852</v>
      </c>
      <c r="F94" s="981" t="s">
        <v>1151</v>
      </c>
      <c r="G94" s="981" t="s">
        <v>1152</v>
      </c>
      <c r="H94" s="981" t="s">
        <v>1153</v>
      </c>
      <c r="I94" s="981" t="s">
        <v>1154</v>
      </c>
      <c r="J94" s="981" t="s">
        <v>1155</v>
      </c>
      <c r="K94" s="981" t="s">
        <v>1156</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40" t="s">
        <v>2776</v>
      </c>
      <c r="B185" s="981"/>
      <c r="C185" s="981"/>
      <c r="D185" s="981"/>
      <c r="E185" s="981"/>
      <c r="F185" s="981"/>
      <c r="G185" s="981"/>
      <c r="H185" s="981"/>
      <c r="I185" s="981"/>
      <c r="J185" s="981"/>
      <c r="K185" s="981"/>
      <c r="L185" s="981"/>
      <c r="M185" s="981"/>
    </row>
    <row r="186" spans="1:13">
      <c r="A186" s="972" t="s">
        <v>1549</v>
      </c>
      <c r="B186" s="981" t="s">
        <v>989</v>
      </c>
      <c r="C186" s="981" t="s">
        <v>1030</v>
      </c>
      <c r="D186" s="981" t="s">
        <v>1144</v>
      </c>
      <c r="E186" s="981" t="s">
        <v>852</v>
      </c>
      <c r="F186" s="981" t="s">
        <v>1151</v>
      </c>
      <c r="G186" s="981" t="s">
        <v>1152</v>
      </c>
      <c r="H186" s="981" t="s">
        <v>1153</v>
      </c>
      <c r="I186" s="981" t="s">
        <v>1154</v>
      </c>
      <c r="J186" s="981" t="s">
        <v>1155</v>
      </c>
      <c r="K186" s="981" t="s">
        <v>1156</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40" t="s">
        <v>2777</v>
      </c>
      <c r="B277" s="981"/>
      <c r="C277" s="981"/>
      <c r="D277" s="981"/>
      <c r="E277" s="981"/>
      <c r="F277" s="981"/>
      <c r="G277" s="981"/>
      <c r="H277" s="981"/>
      <c r="I277" s="981"/>
      <c r="J277" s="981"/>
      <c r="K277" s="981"/>
      <c r="L277" s="981"/>
      <c r="M277" s="981"/>
    </row>
    <row r="278" spans="1:13">
      <c r="A278" s="972" t="s">
        <v>1549</v>
      </c>
      <c r="B278" s="981" t="s">
        <v>989</v>
      </c>
      <c r="C278" s="981" t="s">
        <v>1030</v>
      </c>
      <c r="D278" s="981" t="s">
        <v>1144</v>
      </c>
      <c r="E278" s="981" t="s">
        <v>852</v>
      </c>
      <c r="F278" s="981" t="s">
        <v>1151</v>
      </c>
      <c r="G278" s="981" t="s">
        <v>1152</v>
      </c>
      <c r="H278" s="981" t="s">
        <v>1153</v>
      </c>
      <c r="I278" s="981" t="s">
        <v>1154</v>
      </c>
      <c r="J278" s="981" t="s">
        <v>1155</v>
      </c>
      <c r="K278" s="981" t="s">
        <v>1156</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40" t="s">
        <v>2778</v>
      </c>
      <c r="B369" s="981"/>
      <c r="C369" s="981"/>
      <c r="D369" s="981"/>
      <c r="E369" s="981"/>
      <c r="F369" s="981"/>
      <c r="G369" s="981"/>
      <c r="H369" s="981"/>
      <c r="I369" s="981"/>
      <c r="J369" s="981"/>
      <c r="K369" s="981"/>
      <c r="L369" s="981"/>
      <c r="M369" s="981"/>
    </row>
    <row r="370" spans="1:14">
      <c r="A370" s="972" t="s">
        <v>1549</v>
      </c>
      <c r="B370" s="981" t="s">
        <v>989</v>
      </c>
      <c r="C370" s="981" t="s">
        <v>1030</v>
      </c>
      <c r="D370" s="981" t="s">
        <v>1144</v>
      </c>
      <c r="E370" s="981" t="s">
        <v>852</v>
      </c>
      <c r="F370" s="981" t="s">
        <v>1151</v>
      </c>
      <c r="G370" s="981" t="s">
        <v>1152</v>
      </c>
      <c r="H370" s="981" t="s">
        <v>1153</v>
      </c>
      <c r="I370" s="981" t="s">
        <v>1154</v>
      </c>
      <c r="J370" s="981" t="s">
        <v>1155</v>
      </c>
      <c r="K370" s="981" t="s">
        <v>1156</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9" customWidth="1"/>
    <col min="2" max="2" width="13.88671875" style="3499" customWidth="1"/>
    <col min="3" max="7" width="8.88671875" style="3464"/>
    <col min="8" max="16384" width="8.88671875" style="1581"/>
  </cols>
  <sheetData>
    <row r="1" spans="1:7">
      <c r="A1" s="3929" t="s">
        <v>3025</v>
      </c>
      <c r="B1" s="3929"/>
    </row>
    <row r="2" spans="1:7" ht="15" thickBot="1">
      <c r="A2" s="3465"/>
      <c r="B2" s="3465"/>
    </row>
    <row r="3" spans="1:7" ht="15" thickBot="1">
      <c r="A3" s="3465"/>
      <c r="B3" s="3465"/>
      <c r="C3" s="3466" t="s">
        <v>3026</v>
      </c>
      <c r="D3" s="3466" t="s">
        <v>3027</v>
      </c>
      <c r="E3" s="3466" t="s">
        <v>3028</v>
      </c>
      <c r="F3" s="3466" t="s">
        <v>3029</v>
      </c>
      <c r="G3" s="3466" t="s">
        <v>3030</v>
      </c>
    </row>
    <row r="4" spans="1:7" ht="15" thickBot="1">
      <c r="A4" s="3467" t="s">
        <v>3031</v>
      </c>
      <c r="B4" s="3468" t="s">
        <v>3032</v>
      </c>
      <c r="C4" s="3466"/>
      <c r="D4" s="3466"/>
      <c r="E4" s="3466"/>
      <c r="F4" s="3466"/>
      <c r="G4" s="3466"/>
    </row>
    <row r="5" spans="1:7">
      <c r="A5" s="3469" t="s">
        <v>3033</v>
      </c>
      <c r="B5" s="3470" t="s">
        <v>3034</v>
      </c>
      <c r="C5" s="3471">
        <v>9.8000000000000004E-2</v>
      </c>
      <c r="D5" s="3471">
        <v>8.6999999999999994E-2</v>
      </c>
      <c r="E5" s="3471">
        <v>8.6999999999999994E-2</v>
      </c>
      <c r="F5" s="3471">
        <v>9.8000000000000004E-2</v>
      </c>
      <c r="G5" s="3472">
        <v>9.5000000000000001E-2</v>
      </c>
    </row>
    <row r="6" spans="1:7">
      <c r="A6" s="3473" t="s">
        <v>989</v>
      </c>
      <c r="B6" s="3474" t="s">
        <v>3035</v>
      </c>
      <c r="C6" s="3475">
        <v>9.8000000000000004E-2</v>
      </c>
      <c r="D6" s="3475">
        <v>9.8000000000000004E-2</v>
      </c>
      <c r="E6" s="3475">
        <v>9.8000000000000004E-2</v>
      </c>
      <c r="F6" s="3475">
        <v>0.1</v>
      </c>
      <c r="G6" s="3476">
        <v>9.9000000000000005E-2</v>
      </c>
    </row>
    <row r="7" spans="1:7">
      <c r="A7" s="3473" t="s">
        <v>989</v>
      </c>
      <c r="B7" s="3474" t="s">
        <v>981</v>
      </c>
      <c r="C7" s="3475">
        <v>9.7000000000000003E-2</v>
      </c>
      <c r="D7" s="3475">
        <v>9.7000000000000003E-2</v>
      </c>
      <c r="E7" s="3475">
        <v>9.6000000000000002E-2</v>
      </c>
      <c r="F7" s="3475">
        <v>0.1</v>
      </c>
      <c r="G7" s="3476">
        <v>9.8000000000000004E-2</v>
      </c>
    </row>
    <row r="8" spans="1:7">
      <c r="A8" s="3473" t="s">
        <v>989</v>
      </c>
      <c r="B8" s="3474" t="s">
        <v>990</v>
      </c>
      <c r="C8" s="3475">
        <v>8.1000000000000003E-2</v>
      </c>
      <c r="D8" s="3475">
        <v>8.2000000000000003E-2</v>
      </c>
      <c r="E8" s="3475">
        <v>7.0000000000000007E-2</v>
      </c>
      <c r="F8" s="3475">
        <v>9.6000000000000002E-2</v>
      </c>
      <c r="G8" s="3476">
        <v>8.8999999999999996E-2</v>
      </c>
    </row>
    <row r="9" spans="1:7" ht="15" thickBot="1">
      <c r="A9" s="3477" t="s">
        <v>989</v>
      </c>
      <c r="B9" s="3478" t="s">
        <v>1000</v>
      </c>
      <c r="C9" s="3479">
        <v>0.1</v>
      </c>
      <c r="D9" s="3479">
        <v>0.1</v>
      </c>
      <c r="E9" s="3479">
        <v>0.1</v>
      </c>
      <c r="F9" s="3480"/>
      <c r="G9" s="3481">
        <v>0.1</v>
      </c>
    </row>
    <row r="10" spans="1:7">
      <c r="A10" s="3469" t="s">
        <v>1030</v>
      </c>
      <c r="B10" s="3470" t="s">
        <v>3036</v>
      </c>
      <c r="C10" s="3471">
        <v>6.7000000000000004E-2</v>
      </c>
      <c r="D10" s="3471">
        <v>7.9000000000000001E-2</v>
      </c>
      <c r="E10" s="3471">
        <v>7.9000000000000001E-2</v>
      </c>
      <c r="F10" s="3471">
        <v>0.1</v>
      </c>
      <c r="G10" s="3472">
        <v>9.0999999999999998E-2</v>
      </c>
    </row>
    <row r="11" spans="1:7">
      <c r="A11" s="3473" t="s">
        <v>1030</v>
      </c>
      <c r="B11" s="3474" t="s">
        <v>972</v>
      </c>
      <c r="C11" s="3475">
        <v>0.05</v>
      </c>
      <c r="D11" s="3475">
        <v>5.2999999999999999E-2</v>
      </c>
      <c r="E11" s="3475">
        <v>6.3E-2</v>
      </c>
      <c r="F11" s="3475">
        <v>0.1</v>
      </c>
      <c r="G11" s="3476">
        <v>7.1999999999999995E-2</v>
      </c>
    </row>
    <row r="12" spans="1:7">
      <c r="A12" s="3473" t="s">
        <v>1030</v>
      </c>
      <c r="B12" s="3474" t="s">
        <v>982</v>
      </c>
      <c r="C12" s="3475">
        <v>5.2999999999999999E-2</v>
      </c>
      <c r="D12" s="3475">
        <v>0.09</v>
      </c>
      <c r="E12" s="3475">
        <v>7.1999999999999995E-2</v>
      </c>
      <c r="F12" s="3475">
        <v>0.1</v>
      </c>
      <c r="G12" s="3476">
        <v>9.7000000000000003E-2</v>
      </c>
    </row>
    <row r="13" spans="1:7">
      <c r="A13" s="3473" t="s">
        <v>1030</v>
      </c>
      <c r="B13" s="3474" t="s">
        <v>991</v>
      </c>
      <c r="C13" s="3475">
        <v>9.7000000000000003E-2</v>
      </c>
      <c r="D13" s="3475">
        <v>9.1999999999999998E-2</v>
      </c>
      <c r="E13" s="3475">
        <v>9.5000000000000001E-2</v>
      </c>
      <c r="F13" s="3475">
        <v>0.1</v>
      </c>
      <c r="G13" s="3476">
        <v>9.7000000000000003E-2</v>
      </c>
    </row>
    <row r="14" spans="1:7">
      <c r="A14" s="3473" t="s">
        <v>1030</v>
      </c>
      <c r="B14" s="3474" t="s">
        <v>1001</v>
      </c>
      <c r="C14" s="3475">
        <v>9.7000000000000003E-2</v>
      </c>
      <c r="D14" s="3475">
        <v>9.7000000000000003E-2</v>
      </c>
      <c r="E14" s="3475">
        <v>9.7000000000000003E-2</v>
      </c>
      <c r="F14" s="3475">
        <v>0.1</v>
      </c>
      <c r="G14" s="3476">
        <v>9.8000000000000004E-2</v>
      </c>
    </row>
    <row r="15" spans="1:7">
      <c r="A15" s="3473" t="s">
        <v>1030</v>
      </c>
      <c r="B15" s="3474" t="s">
        <v>1008</v>
      </c>
      <c r="C15" s="3475">
        <v>9.8000000000000004E-2</v>
      </c>
      <c r="D15" s="3475">
        <v>9.0999999999999998E-2</v>
      </c>
      <c r="E15" s="3475">
        <v>0.06</v>
      </c>
      <c r="F15" s="3475">
        <v>0.1</v>
      </c>
      <c r="G15" s="3476">
        <v>9.7000000000000003E-2</v>
      </c>
    </row>
    <row r="16" spans="1:7">
      <c r="A16" s="3473" t="s">
        <v>1030</v>
      </c>
      <c r="B16" s="3474" t="s">
        <v>1014</v>
      </c>
      <c r="C16" s="3475">
        <v>9.8000000000000004E-2</v>
      </c>
      <c r="D16" s="3475">
        <v>9.7000000000000003E-2</v>
      </c>
      <c r="E16" s="3475">
        <v>9.5000000000000001E-2</v>
      </c>
      <c r="F16" s="3475">
        <v>0.1</v>
      </c>
      <c r="G16" s="3476">
        <v>9.9000000000000005E-2</v>
      </c>
    </row>
    <row r="17" spans="1:7">
      <c r="A17" s="3473" t="s">
        <v>1030</v>
      </c>
      <c r="B17" s="3474" t="s">
        <v>1021</v>
      </c>
      <c r="C17" s="3475">
        <v>8.8999999999999996E-2</v>
      </c>
      <c r="D17" s="3475">
        <v>9.1999999999999998E-2</v>
      </c>
      <c r="E17" s="3475">
        <v>6.0999999999999999E-2</v>
      </c>
      <c r="F17" s="3475">
        <v>0.1</v>
      </c>
      <c r="G17" s="3476">
        <v>9.7000000000000003E-2</v>
      </c>
    </row>
    <row r="18" spans="1:7">
      <c r="A18" s="3473" t="s">
        <v>1030</v>
      </c>
      <c r="B18" s="3474" t="s">
        <v>1031</v>
      </c>
      <c r="C18" s="3475">
        <v>9.8000000000000004E-2</v>
      </c>
      <c r="D18" s="3475">
        <v>9.8000000000000004E-2</v>
      </c>
      <c r="E18" s="3475">
        <v>9.8000000000000004E-2</v>
      </c>
      <c r="F18" s="3482"/>
      <c r="G18" s="3476">
        <v>9.9000000000000005E-2</v>
      </c>
    </row>
    <row r="19" spans="1:7">
      <c r="A19" s="3473" t="s">
        <v>1030</v>
      </c>
      <c r="B19" s="3474" t="s">
        <v>1040</v>
      </c>
      <c r="C19" s="3475">
        <v>9.9000000000000005E-2</v>
      </c>
      <c r="D19" s="3475">
        <v>7.3999999999999996E-2</v>
      </c>
      <c r="E19" s="3475">
        <v>8.1000000000000003E-2</v>
      </c>
      <c r="F19" s="3482"/>
      <c r="G19" s="3476">
        <v>9.2999999999999999E-2</v>
      </c>
    </row>
    <row r="20" spans="1:7">
      <c r="A20" s="3473" t="s">
        <v>1030</v>
      </c>
      <c r="B20" s="3474" t="s">
        <v>1047</v>
      </c>
      <c r="C20" s="3475">
        <v>0.1</v>
      </c>
      <c r="D20" s="3475">
        <v>8.8999999999999996E-2</v>
      </c>
      <c r="E20" s="3475">
        <v>8.8999999999999996E-2</v>
      </c>
      <c r="F20" s="3482"/>
      <c r="G20" s="3476">
        <v>9.5000000000000001E-2</v>
      </c>
    </row>
    <row r="21" spans="1:7">
      <c r="A21" s="3473" t="s">
        <v>1030</v>
      </c>
      <c r="B21" s="3474" t="s">
        <v>1054</v>
      </c>
      <c r="C21" s="3475">
        <v>0.1</v>
      </c>
      <c r="D21" s="3475">
        <v>9.0999999999999998E-2</v>
      </c>
      <c r="E21" s="3475">
        <v>8.2000000000000003E-2</v>
      </c>
      <c r="F21" s="3482"/>
      <c r="G21" s="3476">
        <v>9.7000000000000003E-2</v>
      </c>
    </row>
    <row r="22" spans="1:7">
      <c r="A22" s="3473" t="s">
        <v>1030</v>
      </c>
      <c r="B22" s="3474" t="s">
        <v>3037</v>
      </c>
      <c r="C22" s="3475">
        <v>9.5000000000000001E-2</v>
      </c>
      <c r="D22" s="3475">
        <v>9.9000000000000005E-2</v>
      </c>
      <c r="E22" s="3475">
        <v>9.8000000000000004E-2</v>
      </c>
      <c r="F22" s="3482"/>
      <c r="G22" s="3476">
        <v>0.1</v>
      </c>
    </row>
    <row r="23" spans="1:7">
      <c r="A23" s="3473" t="s">
        <v>1030</v>
      </c>
      <c r="B23" s="3474" t="s">
        <v>1069</v>
      </c>
      <c r="C23" s="3475">
        <v>9.9000000000000005E-2</v>
      </c>
      <c r="D23" s="3475">
        <v>0.1</v>
      </c>
      <c r="E23" s="3475">
        <v>0.1</v>
      </c>
      <c r="F23" s="3482"/>
      <c r="G23" s="3476">
        <v>0.1</v>
      </c>
    </row>
    <row r="24" spans="1:7">
      <c r="A24" s="3473" t="s">
        <v>1030</v>
      </c>
      <c r="B24" s="3474" t="s">
        <v>1077</v>
      </c>
      <c r="C24" s="3475">
        <v>9.5000000000000001E-2</v>
      </c>
      <c r="D24" s="3475">
        <v>0.1</v>
      </c>
      <c r="E24" s="3475">
        <v>9.8000000000000004E-2</v>
      </c>
      <c r="F24" s="3482"/>
      <c r="G24" s="3476">
        <v>0.1</v>
      </c>
    </row>
    <row r="25" spans="1:7">
      <c r="A25" s="3473" t="s">
        <v>1030</v>
      </c>
      <c r="B25" s="3474" t="s">
        <v>1082</v>
      </c>
      <c r="C25" s="3475">
        <v>0.05</v>
      </c>
      <c r="D25" s="3475">
        <v>9.6000000000000002E-2</v>
      </c>
      <c r="E25" s="3475">
        <v>9.6000000000000002E-2</v>
      </c>
      <c r="F25" s="3482"/>
      <c r="G25" s="3476">
        <v>9.6000000000000002E-2</v>
      </c>
    </row>
    <row r="26" spans="1:7">
      <c r="A26" s="3473" t="s">
        <v>1030</v>
      </c>
      <c r="B26" s="3474" t="s">
        <v>1091</v>
      </c>
      <c r="C26" s="3475">
        <v>6.3E-2</v>
      </c>
      <c r="D26" s="3475">
        <v>9.9000000000000005E-2</v>
      </c>
      <c r="E26" s="3475">
        <v>9.8000000000000004E-2</v>
      </c>
      <c r="F26" s="3482"/>
      <c r="G26" s="3476">
        <v>0.1</v>
      </c>
    </row>
    <row r="27" spans="1:7">
      <c r="A27" s="3473" t="s">
        <v>1030</v>
      </c>
      <c r="B27" s="3474" t="s">
        <v>1098</v>
      </c>
      <c r="C27" s="3475">
        <v>5.1999999999999998E-2</v>
      </c>
      <c r="D27" s="3475">
        <v>9.5000000000000001E-2</v>
      </c>
      <c r="E27" s="3475">
        <v>6.4000000000000001E-2</v>
      </c>
      <c r="F27" s="3482"/>
      <c r="G27" s="3476">
        <v>9.7000000000000003E-2</v>
      </c>
    </row>
    <row r="28" spans="1:7">
      <c r="A28" s="3473" t="s">
        <v>1030</v>
      </c>
      <c r="B28" s="3474" t="s">
        <v>1106</v>
      </c>
      <c r="C28" s="3482"/>
      <c r="D28" s="3475">
        <v>6.3E-2</v>
      </c>
      <c r="E28" s="3475">
        <v>5.1999999999999998E-2</v>
      </c>
      <c r="F28" s="3482"/>
      <c r="G28" s="3476">
        <v>6.3E-2</v>
      </c>
    </row>
    <row r="29" spans="1:7" ht="15" thickBot="1">
      <c r="A29" s="3477" t="s">
        <v>1030</v>
      </c>
      <c r="B29" s="3478" t="s">
        <v>2823</v>
      </c>
      <c r="C29" s="3483"/>
      <c r="D29" s="3479">
        <v>5.1999999999999998E-2</v>
      </c>
      <c r="E29" s="3479">
        <v>7.0000000000000007E-2</v>
      </c>
      <c r="F29" s="3483"/>
      <c r="G29" s="3481">
        <v>7.0999999999999994E-2</v>
      </c>
    </row>
    <row r="30" spans="1:7">
      <c r="A30" s="3484" t="s">
        <v>1144</v>
      </c>
      <c r="B30" s="3470" t="s">
        <v>3038</v>
      </c>
      <c r="C30" s="3471">
        <v>6.6000000000000003E-2</v>
      </c>
      <c r="D30" s="3471">
        <v>6.6000000000000003E-2</v>
      </c>
      <c r="E30" s="3471">
        <v>5.7000000000000002E-2</v>
      </c>
      <c r="F30" s="3471">
        <v>0.1</v>
      </c>
      <c r="G30" s="3472">
        <v>6.8000000000000005E-2</v>
      </c>
    </row>
    <row r="31" spans="1:7">
      <c r="A31" s="3485" t="s">
        <v>1144</v>
      </c>
      <c r="B31" s="3474" t="s">
        <v>973</v>
      </c>
      <c r="C31" s="3475">
        <v>5.5E-2</v>
      </c>
      <c r="D31" s="3475">
        <v>8.2000000000000003E-2</v>
      </c>
      <c r="E31" s="3475">
        <v>6.4000000000000001E-2</v>
      </c>
      <c r="F31" s="3475">
        <v>0.1</v>
      </c>
      <c r="G31" s="3476">
        <v>9.5000000000000001E-2</v>
      </c>
    </row>
    <row r="32" spans="1:7">
      <c r="A32" s="3485" t="s">
        <v>1144</v>
      </c>
      <c r="B32" s="3474" t="s">
        <v>983</v>
      </c>
      <c r="C32" s="3475">
        <v>8.2000000000000003E-2</v>
      </c>
      <c r="D32" s="3475">
        <v>8.6999999999999994E-2</v>
      </c>
      <c r="E32" s="3475">
        <v>9.5000000000000001E-2</v>
      </c>
      <c r="F32" s="3475">
        <v>0.1</v>
      </c>
      <c r="G32" s="3476">
        <v>9.6000000000000002E-2</v>
      </c>
    </row>
    <row r="33" spans="1:7">
      <c r="A33" s="3485" t="s">
        <v>1144</v>
      </c>
      <c r="B33" s="3474" t="s">
        <v>992</v>
      </c>
      <c r="C33" s="3475">
        <v>9.9000000000000005E-2</v>
      </c>
      <c r="D33" s="3475">
        <v>9.1999999999999998E-2</v>
      </c>
      <c r="E33" s="3475">
        <v>8.6999999999999994E-2</v>
      </c>
      <c r="F33" s="3475">
        <v>0.1</v>
      </c>
      <c r="G33" s="3476">
        <v>9.7000000000000003E-2</v>
      </c>
    </row>
    <row r="34" spans="1:7">
      <c r="A34" s="3485" t="s">
        <v>1144</v>
      </c>
      <c r="B34" s="3474" t="s">
        <v>1002</v>
      </c>
      <c r="C34" s="3475">
        <v>8.4000000000000005E-2</v>
      </c>
      <c r="D34" s="3475">
        <v>9.7000000000000003E-2</v>
      </c>
      <c r="E34" s="3475">
        <v>7.0999999999999994E-2</v>
      </c>
      <c r="F34" s="3475">
        <v>0.1</v>
      </c>
      <c r="G34" s="3476">
        <v>9.8000000000000004E-2</v>
      </c>
    </row>
    <row r="35" spans="1:7">
      <c r="A35" s="3485" t="s">
        <v>1144</v>
      </c>
      <c r="B35" s="3474" t="s">
        <v>1009</v>
      </c>
      <c r="C35" s="3475">
        <v>8.3000000000000004E-2</v>
      </c>
      <c r="D35" s="3475">
        <v>9.7000000000000003E-2</v>
      </c>
      <c r="E35" s="3475">
        <v>6.0999999999999999E-2</v>
      </c>
      <c r="F35" s="3475">
        <v>0.1</v>
      </c>
      <c r="G35" s="3476">
        <v>9.9000000000000005E-2</v>
      </c>
    </row>
    <row r="36" spans="1:7">
      <c r="A36" s="3485" t="s">
        <v>1144</v>
      </c>
      <c r="B36" s="3474" t="s">
        <v>1015</v>
      </c>
      <c r="C36" s="3475">
        <v>9.7000000000000003E-2</v>
      </c>
      <c r="D36" s="3475">
        <v>9.7000000000000003E-2</v>
      </c>
      <c r="E36" s="3475">
        <v>7.8E-2</v>
      </c>
      <c r="F36" s="3475">
        <v>0.1</v>
      </c>
      <c r="G36" s="3476">
        <v>9.9000000000000005E-2</v>
      </c>
    </row>
    <row r="37" spans="1:7">
      <c r="A37" s="3485" t="s">
        <v>1144</v>
      </c>
      <c r="B37" s="3474" t="s">
        <v>1022</v>
      </c>
      <c r="C37" s="3475">
        <v>9.7000000000000003E-2</v>
      </c>
      <c r="D37" s="3475">
        <v>9.5000000000000001E-2</v>
      </c>
      <c r="E37" s="3475">
        <v>7.8E-2</v>
      </c>
      <c r="F37" s="3475">
        <v>0.1</v>
      </c>
      <c r="G37" s="3476">
        <v>9.7000000000000003E-2</v>
      </c>
    </row>
    <row r="38" spans="1:7">
      <c r="A38" s="3485" t="s">
        <v>1144</v>
      </c>
      <c r="B38" s="3474" t="s">
        <v>1032</v>
      </c>
      <c r="C38" s="3475">
        <v>9.7000000000000003E-2</v>
      </c>
      <c r="D38" s="3475">
        <v>7.6999999999999999E-2</v>
      </c>
      <c r="E38" s="3475">
        <v>7.0000000000000007E-2</v>
      </c>
      <c r="F38" s="3475">
        <v>0.1</v>
      </c>
      <c r="G38" s="3476">
        <v>7.6999999999999999E-2</v>
      </c>
    </row>
    <row r="39" spans="1:7">
      <c r="A39" s="3485" t="s">
        <v>1144</v>
      </c>
      <c r="B39" s="3474" t="s">
        <v>1041</v>
      </c>
      <c r="C39" s="3475">
        <v>9.5000000000000001E-2</v>
      </c>
      <c r="D39" s="3475">
        <v>7.6999999999999999E-2</v>
      </c>
      <c r="E39" s="3475">
        <v>6.6000000000000003E-2</v>
      </c>
      <c r="F39" s="3475">
        <v>0.1</v>
      </c>
      <c r="G39" s="3476">
        <v>8.5999999999999993E-2</v>
      </c>
    </row>
    <row r="40" spans="1:7">
      <c r="A40" s="3485" t="s">
        <v>1144</v>
      </c>
      <c r="B40" s="3474" t="s">
        <v>1048</v>
      </c>
      <c r="C40" s="3475">
        <v>7.6999999999999999E-2</v>
      </c>
      <c r="D40" s="3475">
        <v>7.8E-2</v>
      </c>
      <c r="E40" s="3475">
        <v>8.2000000000000003E-2</v>
      </c>
      <c r="F40" s="3486"/>
      <c r="G40" s="3476">
        <v>7.8E-2</v>
      </c>
    </row>
    <row r="41" spans="1:7">
      <c r="A41" s="3485" t="s">
        <v>1144</v>
      </c>
      <c r="B41" s="3474" t="s">
        <v>1055</v>
      </c>
      <c r="C41" s="3475">
        <v>7.8E-2</v>
      </c>
      <c r="D41" s="3475">
        <v>7.8E-2</v>
      </c>
      <c r="E41" s="3475">
        <v>8.2000000000000003E-2</v>
      </c>
      <c r="F41" s="3486"/>
      <c r="G41" s="3476">
        <v>8.5999999999999993E-2</v>
      </c>
    </row>
    <row r="42" spans="1:7">
      <c r="A42" s="3485" t="s">
        <v>1144</v>
      </c>
      <c r="B42" s="3474" t="s">
        <v>1062</v>
      </c>
      <c r="C42" s="3475">
        <v>7.8E-2</v>
      </c>
      <c r="D42" s="3475">
        <v>9.6000000000000002E-2</v>
      </c>
      <c r="E42" s="3475">
        <v>7.1999999999999995E-2</v>
      </c>
      <c r="F42" s="3486"/>
      <c r="G42" s="3476">
        <v>9.8000000000000004E-2</v>
      </c>
    </row>
    <row r="43" spans="1:7">
      <c r="A43" s="3485" t="s">
        <v>3039</v>
      </c>
      <c r="B43" s="3474" t="s">
        <v>1070</v>
      </c>
      <c r="C43" s="3475">
        <v>7.8E-2</v>
      </c>
      <c r="D43" s="3475">
        <v>9.9000000000000005E-2</v>
      </c>
      <c r="E43" s="3475">
        <v>9.6000000000000002E-2</v>
      </c>
      <c r="F43" s="3486"/>
      <c r="G43" s="3476">
        <v>0.1</v>
      </c>
    </row>
    <row r="44" spans="1:7">
      <c r="A44" s="3485" t="s">
        <v>1144</v>
      </c>
      <c r="B44" s="3474" t="s">
        <v>1078</v>
      </c>
      <c r="C44" s="3475">
        <v>9.6000000000000002E-2</v>
      </c>
      <c r="D44" s="3475">
        <v>0.1</v>
      </c>
      <c r="E44" s="3475">
        <v>9.8000000000000004E-2</v>
      </c>
      <c r="F44" s="3486"/>
      <c r="G44" s="3476">
        <v>0.1</v>
      </c>
    </row>
    <row r="45" spans="1:7">
      <c r="A45" s="3485" t="s">
        <v>1144</v>
      </c>
      <c r="B45" s="3474" t="s">
        <v>1083</v>
      </c>
      <c r="C45" s="3475">
        <v>9.9000000000000005E-2</v>
      </c>
      <c r="D45" s="3475">
        <v>9.8000000000000004E-2</v>
      </c>
      <c r="E45" s="3475">
        <v>9.5000000000000001E-2</v>
      </c>
      <c r="F45" s="3486"/>
      <c r="G45" s="3476">
        <v>9.8000000000000004E-2</v>
      </c>
    </row>
    <row r="46" spans="1:7">
      <c r="A46" s="3485" t="s">
        <v>1144</v>
      </c>
      <c r="B46" s="3474" t="s">
        <v>1092</v>
      </c>
      <c r="C46" s="3475">
        <v>0.1</v>
      </c>
      <c r="D46" s="3475">
        <v>9.9000000000000005E-2</v>
      </c>
      <c r="E46" s="3475">
        <v>9.6000000000000002E-2</v>
      </c>
      <c r="F46" s="3486"/>
      <c r="G46" s="3476">
        <v>0.1</v>
      </c>
    </row>
    <row r="47" spans="1:7">
      <c r="A47" s="3485" t="s">
        <v>1144</v>
      </c>
      <c r="B47" s="3474" t="s">
        <v>1099</v>
      </c>
      <c r="C47" s="3475">
        <v>9.8000000000000004E-2</v>
      </c>
      <c r="D47" s="3475">
        <v>8.6999999999999994E-2</v>
      </c>
      <c r="E47" s="3475">
        <v>5.8999999999999997E-2</v>
      </c>
      <c r="F47" s="3486"/>
      <c r="G47" s="3476">
        <v>9.6000000000000002E-2</v>
      </c>
    </row>
    <row r="48" spans="1:7">
      <c r="A48" s="3485" t="s">
        <v>1144</v>
      </c>
      <c r="B48" s="3474" t="s">
        <v>1107</v>
      </c>
      <c r="C48" s="3475">
        <v>9.9000000000000005E-2</v>
      </c>
      <c r="D48" s="3475">
        <v>9.8000000000000004E-2</v>
      </c>
      <c r="E48" s="3475">
        <v>9.5000000000000001E-2</v>
      </c>
      <c r="F48" s="3486"/>
      <c r="G48" s="3476">
        <v>9.8000000000000004E-2</v>
      </c>
    </row>
    <row r="49" spans="1:7">
      <c r="A49" s="3485" t="s">
        <v>1144</v>
      </c>
      <c r="B49" s="3474" t="s">
        <v>1114</v>
      </c>
      <c r="C49" s="3475">
        <v>8.7999999999999995E-2</v>
      </c>
      <c r="D49" s="3475">
        <v>9.9000000000000005E-2</v>
      </c>
      <c r="E49" s="3475">
        <v>7.0000000000000007E-2</v>
      </c>
      <c r="F49" s="3486"/>
      <c r="G49" s="3476">
        <v>0.1</v>
      </c>
    </row>
    <row r="50" spans="1:7">
      <c r="A50" s="3485" t="s">
        <v>1144</v>
      </c>
      <c r="B50" s="3474" t="s">
        <v>2825</v>
      </c>
      <c r="C50" s="3475">
        <v>9.8000000000000004E-2</v>
      </c>
      <c r="D50" s="3475">
        <v>7.2999999999999995E-2</v>
      </c>
      <c r="E50" s="3475">
        <v>7.0999999999999994E-2</v>
      </c>
      <c r="F50" s="3486"/>
      <c r="G50" s="3476">
        <v>7.2999999999999995E-2</v>
      </c>
    </row>
    <row r="51" spans="1:7">
      <c r="A51" s="3485" t="s">
        <v>1144</v>
      </c>
      <c r="B51" s="3474" t="s">
        <v>2826</v>
      </c>
      <c r="C51" s="3475">
        <v>9.9000000000000005E-2</v>
      </c>
      <c r="D51" s="3475">
        <v>8.5000000000000006E-2</v>
      </c>
      <c r="E51" s="3475">
        <v>6.3E-2</v>
      </c>
      <c r="F51" s="3486"/>
      <c r="G51" s="3476">
        <v>9.6000000000000002E-2</v>
      </c>
    </row>
    <row r="52" spans="1:7">
      <c r="A52" s="3485" t="s">
        <v>1144</v>
      </c>
      <c r="B52" s="3474" t="s">
        <v>2827</v>
      </c>
      <c r="C52" s="3475">
        <v>7.3999999999999996E-2</v>
      </c>
      <c r="D52" s="3475">
        <v>9.6000000000000002E-2</v>
      </c>
      <c r="E52" s="3475">
        <v>0.05</v>
      </c>
      <c r="F52" s="3486"/>
      <c r="G52" s="3476">
        <v>9.8000000000000004E-2</v>
      </c>
    </row>
    <row r="53" spans="1:7">
      <c r="A53" s="3485" t="s">
        <v>1144</v>
      </c>
      <c r="B53" s="3474" t="s">
        <v>2828</v>
      </c>
      <c r="C53" s="3475">
        <v>8.5999999999999993E-2</v>
      </c>
      <c r="D53" s="3486"/>
      <c r="E53" s="3475">
        <v>9.1999999999999998E-2</v>
      </c>
      <c r="F53" s="3486"/>
      <c r="G53" s="3487"/>
    </row>
    <row r="54" spans="1:7" ht="15" thickBot="1">
      <c r="A54" s="3488" t="s">
        <v>1144</v>
      </c>
      <c r="B54" s="3478" t="s">
        <v>2829</v>
      </c>
      <c r="C54" s="3479">
        <v>9.6000000000000002E-2</v>
      </c>
      <c r="D54" s="3480"/>
      <c r="E54" s="3489"/>
      <c r="F54" s="3480"/>
      <c r="G54" s="3490"/>
    </row>
    <row r="55" spans="1:7">
      <c r="A55" s="3484" t="s">
        <v>852</v>
      </c>
      <c r="B55" s="3470" t="s">
        <v>3040</v>
      </c>
      <c r="C55" s="3471">
        <v>9.6000000000000002E-2</v>
      </c>
      <c r="D55" s="3471">
        <v>8.4000000000000005E-2</v>
      </c>
      <c r="E55" s="3471">
        <v>9.1999999999999998E-2</v>
      </c>
      <c r="F55" s="3471">
        <v>0.1</v>
      </c>
      <c r="G55" s="3472">
        <v>9.5000000000000001E-2</v>
      </c>
    </row>
    <row r="56" spans="1:7">
      <c r="A56" s="3485" t="s">
        <v>852</v>
      </c>
      <c r="B56" s="3474" t="s">
        <v>974</v>
      </c>
      <c r="C56" s="3475">
        <v>8.4000000000000005E-2</v>
      </c>
      <c r="D56" s="3475">
        <v>9.1999999999999998E-2</v>
      </c>
      <c r="E56" s="3475">
        <v>9.5000000000000001E-2</v>
      </c>
      <c r="F56" s="3475">
        <v>9.1999999999999998E-2</v>
      </c>
      <c r="G56" s="3476">
        <v>9.6000000000000002E-2</v>
      </c>
    </row>
    <row r="57" spans="1:7">
      <c r="A57" s="3485" t="s">
        <v>852</v>
      </c>
      <c r="B57" s="3474" t="s">
        <v>984</v>
      </c>
      <c r="C57" s="3475">
        <v>9.9000000000000005E-2</v>
      </c>
      <c r="D57" s="3475">
        <v>9.6000000000000002E-2</v>
      </c>
      <c r="E57" s="3475">
        <v>9.1999999999999998E-2</v>
      </c>
      <c r="F57" s="3475">
        <v>0.1</v>
      </c>
      <c r="G57" s="3476">
        <v>9.8000000000000004E-2</v>
      </c>
    </row>
    <row r="58" spans="1:7">
      <c r="A58" s="3485" t="s">
        <v>852</v>
      </c>
      <c r="B58" s="3474" t="s">
        <v>993</v>
      </c>
      <c r="C58" s="3475">
        <v>9.8000000000000004E-2</v>
      </c>
      <c r="D58" s="3475">
        <v>9.5000000000000001E-2</v>
      </c>
      <c r="E58" s="3475">
        <v>5.7000000000000002E-2</v>
      </c>
      <c r="F58" s="3475">
        <v>0.1</v>
      </c>
      <c r="G58" s="3476">
        <v>9.6000000000000002E-2</v>
      </c>
    </row>
    <row r="59" spans="1:7">
      <c r="A59" s="3485" t="s">
        <v>852</v>
      </c>
      <c r="B59" s="3474" t="s">
        <v>1003</v>
      </c>
      <c r="C59" s="3475">
        <v>9.5000000000000001E-2</v>
      </c>
      <c r="D59" s="3475">
        <v>0.1</v>
      </c>
      <c r="E59" s="3475">
        <v>7.4999999999999997E-2</v>
      </c>
      <c r="F59" s="3475">
        <v>0.1</v>
      </c>
      <c r="G59" s="3476">
        <v>0.1</v>
      </c>
    </row>
    <row r="60" spans="1:7">
      <c r="A60" s="3485" t="s">
        <v>852</v>
      </c>
      <c r="B60" s="3474" t="s">
        <v>1010</v>
      </c>
      <c r="C60" s="3475">
        <v>0.1</v>
      </c>
      <c r="D60" s="3475">
        <v>9.7000000000000003E-2</v>
      </c>
      <c r="E60" s="3475">
        <v>0.1</v>
      </c>
      <c r="F60" s="3475">
        <v>0.1</v>
      </c>
      <c r="G60" s="3476">
        <v>9.7000000000000003E-2</v>
      </c>
    </row>
    <row r="61" spans="1:7">
      <c r="A61" s="3485" t="s">
        <v>852</v>
      </c>
      <c r="B61" s="3474" t="s">
        <v>1016</v>
      </c>
      <c r="C61" s="3475">
        <v>9.7000000000000003E-2</v>
      </c>
      <c r="D61" s="3475">
        <v>0.1</v>
      </c>
      <c r="E61" s="3475">
        <v>9.2999999999999999E-2</v>
      </c>
      <c r="F61" s="3475">
        <v>0.1</v>
      </c>
      <c r="G61" s="3476">
        <v>0.1</v>
      </c>
    </row>
    <row r="62" spans="1:7">
      <c r="A62" s="3485" t="s">
        <v>852</v>
      </c>
      <c r="B62" s="3474" t="s">
        <v>1023</v>
      </c>
      <c r="C62" s="3475">
        <v>0.1</v>
      </c>
      <c r="D62" s="3475">
        <v>9.7000000000000003E-2</v>
      </c>
      <c r="E62" s="3475">
        <v>8.8999999999999996E-2</v>
      </c>
      <c r="F62" s="3475">
        <v>0.1</v>
      </c>
      <c r="G62" s="3476">
        <v>9.8000000000000004E-2</v>
      </c>
    </row>
    <row r="63" spans="1:7">
      <c r="A63" s="3485" t="s">
        <v>852</v>
      </c>
      <c r="B63" s="3474" t="s">
        <v>1033</v>
      </c>
      <c r="C63" s="3475">
        <v>9.7000000000000003E-2</v>
      </c>
      <c r="D63" s="3475">
        <v>9.7000000000000003E-2</v>
      </c>
      <c r="E63" s="3475">
        <v>9.9000000000000005E-2</v>
      </c>
      <c r="F63" s="3475">
        <v>0.1</v>
      </c>
      <c r="G63" s="3476">
        <v>9.7000000000000003E-2</v>
      </c>
    </row>
    <row r="64" spans="1:7">
      <c r="A64" s="3485" t="s">
        <v>852</v>
      </c>
      <c r="B64" s="3474" t="s">
        <v>1042</v>
      </c>
      <c r="C64" s="3475">
        <v>9.7000000000000003E-2</v>
      </c>
      <c r="D64" s="3475">
        <v>7.3999999999999996E-2</v>
      </c>
      <c r="E64" s="3475">
        <v>7.8E-2</v>
      </c>
      <c r="F64" s="3475">
        <v>0.1</v>
      </c>
      <c r="G64" s="3476">
        <v>8.8999999999999996E-2</v>
      </c>
    </row>
    <row r="65" spans="1:7">
      <c r="A65" s="3485" t="s">
        <v>852</v>
      </c>
      <c r="B65" s="3474" t="s">
        <v>1049</v>
      </c>
      <c r="C65" s="3475">
        <v>7.2999999999999995E-2</v>
      </c>
      <c r="D65" s="3475">
        <v>9.8000000000000004E-2</v>
      </c>
      <c r="E65" s="3475">
        <v>9.5000000000000001E-2</v>
      </c>
      <c r="F65" s="3475">
        <v>0.1</v>
      </c>
      <c r="G65" s="3476">
        <v>9.9000000000000005E-2</v>
      </c>
    </row>
    <row r="66" spans="1:7">
      <c r="A66" s="3485" t="s">
        <v>852</v>
      </c>
      <c r="B66" s="3474" t="s">
        <v>1056</v>
      </c>
      <c r="C66" s="3475">
        <v>9.8000000000000004E-2</v>
      </c>
      <c r="D66" s="3475">
        <v>9.5000000000000001E-2</v>
      </c>
      <c r="E66" s="3475">
        <v>0.05</v>
      </c>
      <c r="F66" s="3475">
        <v>0.1</v>
      </c>
      <c r="G66" s="3476">
        <v>9.7000000000000003E-2</v>
      </c>
    </row>
    <row r="67" spans="1:7">
      <c r="A67" s="3485" t="s">
        <v>852</v>
      </c>
      <c r="B67" s="3474" t="s">
        <v>1063</v>
      </c>
      <c r="C67" s="3475">
        <v>9.5000000000000001E-2</v>
      </c>
      <c r="D67" s="3475">
        <v>9.7000000000000003E-2</v>
      </c>
      <c r="E67" s="3475">
        <v>9.7000000000000003E-2</v>
      </c>
      <c r="F67" s="3475">
        <v>0.1</v>
      </c>
      <c r="G67" s="3476">
        <v>9.9000000000000005E-2</v>
      </c>
    </row>
    <row r="68" spans="1:7">
      <c r="A68" s="3485" t="s">
        <v>852</v>
      </c>
      <c r="B68" s="3474" t="s">
        <v>1071</v>
      </c>
      <c r="C68" s="3475">
        <v>9.7000000000000003E-2</v>
      </c>
      <c r="D68" s="3475">
        <v>6.8000000000000005E-2</v>
      </c>
      <c r="E68" s="3475">
        <v>6.6000000000000003E-2</v>
      </c>
      <c r="F68" s="3475">
        <v>0.1</v>
      </c>
      <c r="G68" s="3476">
        <v>8.4000000000000005E-2</v>
      </c>
    </row>
    <row r="69" spans="1:7">
      <c r="A69" s="3485" t="s">
        <v>852</v>
      </c>
      <c r="B69" s="3474" t="s">
        <v>1079</v>
      </c>
      <c r="C69" s="3475">
        <v>6.8000000000000005E-2</v>
      </c>
      <c r="D69" s="3475">
        <v>9.8000000000000004E-2</v>
      </c>
      <c r="E69" s="3475">
        <v>9.5000000000000001E-2</v>
      </c>
      <c r="F69" s="3475">
        <v>0.1</v>
      </c>
      <c r="G69" s="3476">
        <v>0.1</v>
      </c>
    </row>
    <row r="70" spans="1:7">
      <c r="A70" s="3485" t="s">
        <v>852</v>
      </c>
      <c r="B70" s="3474" t="s">
        <v>1084</v>
      </c>
      <c r="C70" s="3475">
        <v>9.8000000000000004E-2</v>
      </c>
      <c r="D70" s="3475">
        <v>8.8999999999999996E-2</v>
      </c>
      <c r="E70" s="3475">
        <v>5.8999999999999997E-2</v>
      </c>
      <c r="F70" s="3475">
        <v>0.1</v>
      </c>
      <c r="G70" s="3476">
        <v>9.6000000000000002E-2</v>
      </c>
    </row>
    <row r="71" spans="1:7">
      <c r="A71" s="3485" t="s">
        <v>852</v>
      </c>
      <c r="B71" s="3474" t="s">
        <v>1093</v>
      </c>
      <c r="C71" s="3475">
        <v>8.8999999999999996E-2</v>
      </c>
      <c r="D71" s="3475">
        <v>9.9000000000000005E-2</v>
      </c>
      <c r="E71" s="3475">
        <v>9.6000000000000002E-2</v>
      </c>
      <c r="F71" s="3475">
        <v>0.1</v>
      </c>
      <c r="G71" s="3476">
        <v>0.1</v>
      </c>
    </row>
    <row r="72" spans="1:7">
      <c r="A72" s="3485" t="s">
        <v>852</v>
      </c>
      <c r="B72" s="3474" t="s">
        <v>1100</v>
      </c>
      <c r="C72" s="3475">
        <v>9.9000000000000005E-2</v>
      </c>
      <c r="D72" s="3475">
        <v>0.1</v>
      </c>
      <c r="E72" s="3475">
        <v>7.0000000000000007E-2</v>
      </c>
      <c r="F72" s="3486"/>
      <c r="G72" s="3476">
        <v>0.1</v>
      </c>
    </row>
    <row r="73" spans="1:7">
      <c r="A73" s="3485" t="s">
        <v>852</v>
      </c>
      <c r="B73" s="3474" t="s">
        <v>1108</v>
      </c>
      <c r="C73" s="3475">
        <v>0.1</v>
      </c>
      <c r="D73" s="3475">
        <v>0.1</v>
      </c>
      <c r="E73" s="3475">
        <v>9.6000000000000002E-2</v>
      </c>
      <c r="F73" s="3486"/>
      <c r="G73" s="3476">
        <v>0.1</v>
      </c>
    </row>
    <row r="74" spans="1:7">
      <c r="A74" s="3485" t="s">
        <v>852</v>
      </c>
      <c r="B74" s="3474" t="s">
        <v>1115</v>
      </c>
      <c r="C74" s="3475">
        <v>0.1</v>
      </c>
      <c r="D74" s="3475">
        <v>0.1</v>
      </c>
      <c r="E74" s="3475">
        <v>9.8000000000000004E-2</v>
      </c>
      <c r="F74" s="3486"/>
      <c r="G74" s="3476">
        <v>0.1</v>
      </c>
    </row>
    <row r="75" spans="1:7">
      <c r="A75" s="3485" t="s">
        <v>852</v>
      </c>
      <c r="B75" s="3474" t="s">
        <v>1119</v>
      </c>
      <c r="C75" s="3475">
        <v>0.1</v>
      </c>
      <c r="D75" s="3475">
        <v>9.9000000000000005E-2</v>
      </c>
      <c r="E75" s="3475">
        <v>9.8000000000000004E-2</v>
      </c>
      <c r="F75" s="3486"/>
      <c r="G75" s="3476">
        <v>0.1</v>
      </c>
    </row>
    <row r="76" spans="1:7">
      <c r="A76" s="3485" t="s">
        <v>852</v>
      </c>
      <c r="B76" s="3474" t="s">
        <v>1126</v>
      </c>
      <c r="C76" s="3475">
        <v>9.9000000000000005E-2</v>
      </c>
      <c r="D76" s="3475">
        <v>0.1</v>
      </c>
      <c r="E76" s="3475">
        <v>9.7000000000000003E-2</v>
      </c>
      <c r="F76" s="3486"/>
      <c r="G76" s="3476">
        <v>0.1</v>
      </c>
    </row>
    <row r="77" spans="1:7">
      <c r="A77" s="3485" t="s">
        <v>852</v>
      </c>
      <c r="B77" s="3474" t="s">
        <v>1129</v>
      </c>
      <c r="C77" s="3475">
        <v>0.1</v>
      </c>
      <c r="D77" s="3475">
        <v>0.1</v>
      </c>
      <c r="E77" s="3475">
        <v>9.6000000000000002E-2</v>
      </c>
      <c r="F77" s="3486"/>
      <c r="G77" s="3476">
        <v>0.1</v>
      </c>
    </row>
    <row r="78" spans="1:7">
      <c r="A78" s="3485" t="s">
        <v>852</v>
      </c>
      <c r="B78" s="3474" t="s">
        <v>2831</v>
      </c>
      <c r="C78" s="3475">
        <v>0.1</v>
      </c>
      <c r="D78" s="3475">
        <v>8.5000000000000006E-2</v>
      </c>
      <c r="E78" s="3475">
        <v>9.6000000000000002E-2</v>
      </c>
      <c r="F78" s="3486"/>
      <c r="G78" s="3476">
        <v>9.6000000000000002E-2</v>
      </c>
    </row>
    <row r="79" spans="1:7">
      <c r="A79" s="3485" t="s">
        <v>852</v>
      </c>
      <c r="B79" s="3474" t="s">
        <v>2832</v>
      </c>
      <c r="C79" s="3475">
        <v>0.05</v>
      </c>
      <c r="D79" s="3475">
        <v>9.6000000000000002E-2</v>
      </c>
      <c r="E79" s="3475">
        <v>9.5000000000000001E-2</v>
      </c>
      <c r="F79" s="3486"/>
      <c r="G79" s="3476">
        <v>9.8000000000000004E-2</v>
      </c>
    </row>
    <row r="80" spans="1:7">
      <c r="A80" s="3485" t="s">
        <v>852</v>
      </c>
      <c r="B80" s="3474" t="s">
        <v>2833</v>
      </c>
      <c r="C80" s="3475">
        <v>8.5999999999999993E-2</v>
      </c>
      <c r="D80" s="3491"/>
      <c r="E80" s="3475">
        <v>0.1</v>
      </c>
      <c r="F80" s="3486"/>
      <c r="G80" s="3487"/>
    </row>
    <row r="81" spans="1:7">
      <c r="A81" s="3485" t="s">
        <v>852</v>
      </c>
      <c r="B81" s="3474" t="s">
        <v>2834</v>
      </c>
      <c r="C81" s="3475">
        <v>9.6000000000000002E-2</v>
      </c>
      <c r="D81" s="3486"/>
      <c r="E81" s="3475">
        <v>9.8000000000000004E-2</v>
      </c>
      <c r="F81" s="3486"/>
      <c r="G81" s="3487"/>
    </row>
    <row r="82" spans="1:7">
      <c r="A82" s="3485" t="s">
        <v>852</v>
      </c>
      <c r="B82" s="3474" t="s">
        <v>2835</v>
      </c>
      <c r="C82" s="3491"/>
      <c r="D82" s="3486"/>
      <c r="E82" s="3475">
        <v>7.6999999999999999E-2</v>
      </c>
      <c r="F82" s="3486"/>
      <c r="G82" s="3487"/>
    </row>
    <row r="83" spans="1:7">
      <c r="A83" s="3485" t="s">
        <v>852</v>
      </c>
      <c r="B83" s="3474" t="s">
        <v>3041</v>
      </c>
      <c r="C83" s="3486"/>
      <c r="D83" s="3486"/>
      <c r="E83" s="3486"/>
      <c r="F83" s="3475">
        <v>0.1</v>
      </c>
      <c r="G83" s="3492"/>
    </row>
    <row r="84" spans="1:7">
      <c r="A84" s="3485" t="s">
        <v>852</v>
      </c>
      <c r="B84" s="3474" t="s">
        <v>3042</v>
      </c>
      <c r="C84" s="3486"/>
      <c r="D84" s="3486"/>
      <c r="E84" s="3486"/>
      <c r="F84" s="3475">
        <v>0.1</v>
      </c>
      <c r="G84" s="3492"/>
    </row>
    <row r="85" spans="1:7">
      <c r="A85" s="3485" t="s">
        <v>852</v>
      </c>
      <c r="B85" s="3474" t="s">
        <v>3043</v>
      </c>
      <c r="C85" s="3486"/>
      <c r="D85" s="3486"/>
      <c r="E85" s="3486"/>
      <c r="F85" s="3475">
        <v>0.1</v>
      </c>
      <c r="G85" s="3492"/>
    </row>
    <row r="86" spans="1:7" ht="15" thickBot="1">
      <c r="A86" s="3488" t="s">
        <v>852</v>
      </c>
      <c r="B86" s="3478" t="s">
        <v>3044</v>
      </c>
      <c r="C86" s="3479">
        <v>9.8000000000000004E-2</v>
      </c>
      <c r="D86" s="3479">
        <v>9.8000000000000004E-2</v>
      </c>
      <c r="E86" s="3479">
        <v>9.6000000000000002E-2</v>
      </c>
      <c r="F86" s="3489"/>
      <c r="G86" s="3481">
        <v>0.1</v>
      </c>
    </row>
    <row r="87" spans="1:7">
      <c r="A87" s="3484" t="s">
        <v>1151</v>
      </c>
      <c r="B87" s="3470" t="s">
        <v>3045</v>
      </c>
      <c r="C87" s="3471">
        <v>0.1</v>
      </c>
      <c r="D87" s="3471">
        <v>0.1</v>
      </c>
      <c r="E87" s="3471">
        <v>9.8000000000000004E-2</v>
      </c>
      <c r="F87" s="3471">
        <v>0.1</v>
      </c>
      <c r="G87" s="3472">
        <v>0.1</v>
      </c>
    </row>
    <row r="88" spans="1:7">
      <c r="A88" s="3485" t="s">
        <v>1151</v>
      </c>
      <c r="B88" s="3474" t="s">
        <v>975</v>
      </c>
      <c r="C88" s="3475">
        <v>9.0999999999999998E-2</v>
      </c>
      <c r="D88" s="3475">
        <v>9.1999999999999998E-2</v>
      </c>
      <c r="E88" s="3475">
        <v>0.1</v>
      </c>
      <c r="F88" s="3475">
        <v>0.1</v>
      </c>
      <c r="G88" s="3476">
        <v>9.6000000000000002E-2</v>
      </c>
    </row>
    <row r="89" spans="1:7">
      <c r="A89" s="3485" t="s">
        <v>1151</v>
      </c>
      <c r="B89" s="3474" t="s">
        <v>985</v>
      </c>
      <c r="C89" s="3475">
        <v>0.1</v>
      </c>
      <c r="D89" s="3475">
        <v>0.1</v>
      </c>
      <c r="E89" s="3475">
        <v>6.7000000000000004E-2</v>
      </c>
      <c r="F89" s="3475">
        <v>9.2999999999999999E-2</v>
      </c>
      <c r="G89" s="3476">
        <v>0.1</v>
      </c>
    </row>
    <row r="90" spans="1:7">
      <c r="A90" s="3485" t="s">
        <v>1151</v>
      </c>
      <c r="B90" s="3474" t="s">
        <v>994</v>
      </c>
      <c r="C90" s="3475">
        <v>9.6000000000000002E-2</v>
      </c>
      <c r="D90" s="3475">
        <v>9.6000000000000002E-2</v>
      </c>
      <c r="E90" s="3475">
        <v>0.1</v>
      </c>
      <c r="F90" s="3475">
        <v>0.1</v>
      </c>
      <c r="G90" s="3476">
        <v>9.8000000000000004E-2</v>
      </c>
    </row>
    <row r="91" spans="1:7">
      <c r="A91" s="3485" t="s">
        <v>1151</v>
      </c>
      <c r="B91" s="3474" t="s">
        <v>1004</v>
      </c>
      <c r="C91" s="3475">
        <v>7.6999999999999999E-2</v>
      </c>
      <c r="D91" s="3475">
        <v>7.6999999999999999E-2</v>
      </c>
      <c r="E91" s="3475">
        <v>9.6000000000000002E-2</v>
      </c>
      <c r="F91" s="3475">
        <v>0.1</v>
      </c>
      <c r="G91" s="3476">
        <v>7.6999999999999999E-2</v>
      </c>
    </row>
    <row r="92" spans="1:7">
      <c r="A92" s="3485" t="s">
        <v>1151</v>
      </c>
      <c r="B92" s="3474" t="s">
        <v>1011</v>
      </c>
      <c r="C92" s="3475">
        <v>0.1</v>
      </c>
      <c r="D92" s="3475">
        <v>0.1</v>
      </c>
      <c r="E92" s="3475">
        <v>9.1999999999999998E-2</v>
      </c>
      <c r="F92" s="3475">
        <v>0.1</v>
      </c>
      <c r="G92" s="3476">
        <v>0.1</v>
      </c>
    </row>
    <row r="93" spans="1:7">
      <c r="A93" s="3485" t="s">
        <v>1151</v>
      </c>
      <c r="B93" s="3474" t="s">
        <v>1017</v>
      </c>
      <c r="C93" s="3475">
        <v>9.8000000000000004E-2</v>
      </c>
      <c r="D93" s="3475">
        <v>9.8000000000000004E-2</v>
      </c>
      <c r="E93" s="3475">
        <v>9.6000000000000002E-2</v>
      </c>
      <c r="F93" s="3475">
        <v>0.1</v>
      </c>
      <c r="G93" s="3476">
        <v>9.9000000000000005E-2</v>
      </c>
    </row>
    <row r="94" spans="1:7">
      <c r="A94" s="3485" t="s">
        <v>1151</v>
      </c>
      <c r="B94" s="3474" t="s">
        <v>1024</v>
      </c>
      <c r="C94" s="3475">
        <v>8.7999999999999995E-2</v>
      </c>
      <c r="D94" s="3475">
        <v>8.7999999999999995E-2</v>
      </c>
      <c r="E94" s="3475">
        <v>9.6000000000000002E-2</v>
      </c>
      <c r="F94" s="3475">
        <v>0.1</v>
      </c>
      <c r="G94" s="3476">
        <v>8.7999999999999995E-2</v>
      </c>
    </row>
    <row r="95" spans="1:7">
      <c r="A95" s="3485" t="s">
        <v>1151</v>
      </c>
      <c r="B95" s="3474" t="s">
        <v>1034</v>
      </c>
      <c r="C95" s="3475">
        <v>9.6000000000000002E-2</v>
      </c>
      <c r="D95" s="3475">
        <v>9.6000000000000002E-2</v>
      </c>
      <c r="E95" s="3475">
        <v>0.1</v>
      </c>
      <c r="F95" s="3475">
        <v>0.1</v>
      </c>
      <c r="G95" s="3476">
        <v>9.8000000000000004E-2</v>
      </c>
    </row>
    <row r="96" spans="1:7">
      <c r="A96" s="3485" t="s">
        <v>1151</v>
      </c>
      <c r="B96" s="3474" t="s">
        <v>1043</v>
      </c>
      <c r="C96" s="3475">
        <v>9.7000000000000003E-2</v>
      </c>
      <c r="D96" s="3475">
        <v>9.7000000000000003E-2</v>
      </c>
      <c r="E96" s="3475">
        <v>0.1</v>
      </c>
      <c r="F96" s="3475">
        <v>0.1</v>
      </c>
      <c r="G96" s="3476">
        <v>9.8000000000000004E-2</v>
      </c>
    </row>
    <row r="97" spans="1:7">
      <c r="A97" s="3485" t="s">
        <v>1151</v>
      </c>
      <c r="B97" s="3474" t="s">
        <v>1050</v>
      </c>
      <c r="C97" s="3475">
        <v>9.6000000000000002E-2</v>
      </c>
      <c r="D97" s="3475">
        <v>9.6000000000000002E-2</v>
      </c>
      <c r="E97" s="3475">
        <v>9.9000000000000005E-2</v>
      </c>
      <c r="F97" s="3475">
        <v>0.1</v>
      </c>
      <c r="G97" s="3476">
        <v>9.8000000000000004E-2</v>
      </c>
    </row>
    <row r="98" spans="1:7">
      <c r="A98" s="3485" t="s">
        <v>1151</v>
      </c>
      <c r="B98" s="3474" t="s">
        <v>1057</v>
      </c>
      <c r="C98" s="3475">
        <v>9.8000000000000004E-2</v>
      </c>
      <c r="D98" s="3475">
        <v>9.8000000000000004E-2</v>
      </c>
      <c r="E98" s="3475">
        <v>0.1</v>
      </c>
      <c r="F98" s="3475">
        <v>0.1</v>
      </c>
      <c r="G98" s="3476">
        <v>9.9000000000000005E-2</v>
      </c>
    </row>
    <row r="99" spans="1:7">
      <c r="A99" s="3485" t="s">
        <v>1151</v>
      </c>
      <c r="B99" s="3474" t="s">
        <v>1064</v>
      </c>
      <c r="C99" s="3475">
        <v>9.6000000000000002E-2</v>
      </c>
      <c r="D99" s="3475">
        <v>9.6000000000000002E-2</v>
      </c>
      <c r="E99" s="3475">
        <v>0.1</v>
      </c>
      <c r="F99" s="3475">
        <v>0.1</v>
      </c>
      <c r="G99" s="3476">
        <v>9.7000000000000003E-2</v>
      </c>
    </row>
    <row r="100" spans="1:7">
      <c r="A100" s="3485" t="s">
        <v>1151</v>
      </c>
      <c r="B100" s="3474" t="s">
        <v>1072</v>
      </c>
      <c r="C100" s="3475">
        <v>0.1</v>
      </c>
      <c r="D100" s="3475">
        <v>0.1</v>
      </c>
      <c r="E100" s="3475">
        <v>9.7000000000000003E-2</v>
      </c>
      <c r="F100" s="3475">
        <v>9.8000000000000004E-2</v>
      </c>
      <c r="G100" s="3476">
        <v>0.1</v>
      </c>
    </row>
    <row r="101" spans="1:7">
      <c r="A101" s="3485" t="s">
        <v>1151</v>
      </c>
      <c r="B101" s="3474" t="s">
        <v>1080</v>
      </c>
      <c r="C101" s="3475">
        <v>0.1</v>
      </c>
      <c r="D101" s="3475">
        <v>0.1</v>
      </c>
      <c r="E101" s="3475">
        <v>9.5000000000000001E-2</v>
      </c>
      <c r="F101" s="3475">
        <v>0.1</v>
      </c>
      <c r="G101" s="3476">
        <v>0.1</v>
      </c>
    </row>
    <row r="102" spans="1:7">
      <c r="A102" s="3485" t="s">
        <v>1151</v>
      </c>
      <c r="B102" s="3474" t="s">
        <v>1085</v>
      </c>
      <c r="C102" s="3475">
        <v>0.1</v>
      </c>
      <c r="D102" s="3475">
        <v>0.1</v>
      </c>
      <c r="E102" s="3475">
        <v>9.9000000000000005E-2</v>
      </c>
      <c r="F102" s="3475">
        <v>9.7000000000000003E-2</v>
      </c>
      <c r="G102" s="3476">
        <v>0.1</v>
      </c>
    </row>
    <row r="103" spans="1:7">
      <c r="A103" s="3485" t="s">
        <v>1151</v>
      </c>
      <c r="B103" s="3474" t="s">
        <v>1094</v>
      </c>
      <c r="C103" s="3475">
        <v>0.1</v>
      </c>
      <c r="D103" s="3475">
        <v>0.1</v>
      </c>
      <c r="E103" s="3475">
        <v>9.8000000000000004E-2</v>
      </c>
      <c r="F103" s="3475">
        <v>0.1</v>
      </c>
      <c r="G103" s="3476">
        <v>0.1</v>
      </c>
    </row>
    <row r="104" spans="1:7">
      <c r="A104" s="3485" t="s">
        <v>1151</v>
      </c>
      <c r="B104" s="3474" t="s">
        <v>1101</v>
      </c>
      <c r="C104" s="3475">
        <v>0.1</v>
      </c>
      <c r="D104" s="3475">
        <v>0.1</v>
      </c>
      <c r="E104" s="3475">
        <v>9.8000000000000004E-2</v>
      </c>
      <c r="F104" s="3475">
        <v>0.1</v>
      </c>
      <c r="G104" s="3476">
        <v>0.1</v>
      </c>
    </row>
    <row r="105" spans="1:7">
      <c r="A105" s="3485" t="s">
        <v>1151</v>
      </c>
      <c r="B105" s="3474" t="s">
        <v>1109</v>
      </c>
      <c r="C105" s="3475">
        <v>9.8000000000000004E-2</v>
      </c>
      <c r="D105" s="3475">
        <v>9.8000000000000004E-2</v>
      </c>
      <c r="E105" s="3475">
        <v>9.8000000000000004E-2</v>
      </c>
      <c r="F105" s="3475">
        <v>0.1</v>
      </c>
      <c r="G105" s="3476">
        <v>9.9000000000000005E-2</v>
      </c>
    </row>
    <row r="106" spans="1:7">
      <c r="A106" s="3485" t="s">
        <v>1151</v>
      </c>
      <c r="B106" s="3474" t="s">
        <v>1116</v>
      </c>
      <c r="C106" s="3475">
        <v>9.7000000000000003E-2</v>
      </c>
      <c r="D106" s="3475">
        <v>9.7000000000000003E-2</v>
      </c>
      <c r="E106" s="3475">
        <v>9.7000000000000003E-2</v>
      </c>
      <c r="F106" s="3475">
        <v>0.1</v>
      </c>
      <c r="G106" s="3476">
        <v>9.9000000000000005E-2</v>
      </c>
    </row>
    <row r="107" spans="1:7">
      <c r="A107" s="3485" t="s">
        <v>1151</v>
      </c>
      <c r="B107" s="3474" t="s">
        <v>1120</v>
      </c>
      <c r="C107" s="3475">
        <v>0.1</v>
      </c>
      <c r="D107" s="3475">
        <v>0.1</v>
      </c>
      <c r="E107" s="3475">
        <v>8.5999999999999993E-2</v>
      </c>
      <c r="F107" s="3475">
        <v>0.09</v>
      </c>
      <c r="G107" s="3476">
        <v>0.1</v>
      </c>
    </row>
    <row r="108" spans="1:7">
      <c r="A108" s="3485" t="s">
        <v>1151</v>
      </c>
      <c r="B108" s="3474" t="s">
        <v>1127</v>
      </c>
      <c r="C108" s="3475">
        <v>0.1</v>
      </c>
      <c r="D108" s="3475">
        <v>0.1</v>
      </c>
      <c r="E108" s="3475">
        <v>9.6000000000000002E-2</v>
      </c>
      <c r="F108" s="3486"/>
      <c r="G108" s="3476">
        <v>0.1</v>
      </c>
    </row>
    <row r="109" spans="1:7">
      <c r="A109" s="3485" t="s">
        <v>1151</v>
      </c>
      <c r="B109" s="3474" t="s">
        <v>1130</v>
      </c>
      <c r="C109" s="3475">
        <v>0.1</v>
      </c>
      <c r="D109" s="3475">
        <v>0.1</v>
      </c>
      <c r="E109" s="3475">
        <v>0.1</v>
      </c>
      <c r="F109" s="3486"/>
      <c r="G109" s="3476">
        <v>0.1</v>
      </c>
    </row>
    <row r="110" spans="1:7">
      <c r="A110" s="3485" t="s">
        <v>1151</v>
      </c>
      <c r="B110" s="3474" t="s">
        <v>1132</v>
      </c>
      <c r="C110" s="3475">
        <v>0.1</v>
      </c>
      <c r="D110" s="3475">
        <v>0.1</v>
      </c>
      <c r="E110" s="3475">
        <v>0.1</v>
      </c>
      <c r="F110" s="3486"/>
      <c r="G110" s="3476">
        <v>0.1</v>
      </c>
    </row>
    <row r="111" spans="1:7">
      <c r="A111" s="3485" t="s">
        <v>1151</v>
      </c>
      <c r="B111" s="3474" t="s">
        <v>1135</v>
      </c>
      <c r="C111" s="3475">
        <v>0.1</v>
      </c>
      <c r="D111" s="3475">
        <v>0.1</v>
      </c>
      <c r="E111" s="3475">
        <v>9.5000000000000001E-2</v>
      </c>
      <c r="F111" s="3486"/>
      <c r="G111" s="3476">
        <v>0.1</v>
      </c>
    </row>
    <row r="112" spans="1:7">
      <c r="A112" s="3485" t="s">
        <v>1151</v>
      </c>
      <c r="B112" s="3474" t="s">
        <v>1139</v>
      </c>
      <c r="C112" s="3475">
        <v>9.7000000000000003E-2</v>
      </c>
      <c r="D112" s="3475">
        <v>9.7000000000000003E-2</v>
      </c>
      <c r="E112" s="3475">
        <v>0.05</v>
      </c>
      <c r="F112" s="3486"/>
      <c r="G112" s="3476">
        <v>9.8000000000000004E-2</v>
      </c>
    </row>
    <row r="113" spans="1:7">
      <c r="A113" s="3485" t="s">
        <v>1151</v>
      </c>
      <c r="B113" s="3474" t="s">
        <v>2841</v>
      </c>
      <c r="C113" s="3475">
        <v>0.1</v>
      </c>
      <c r="D113" s="3475">
        <v>0.1</v>
      </c>
      <c r="E113" s="3486"/>
      <c r="F113" s="3486"/>
      <c r="G113" s="3476">
        <v>0.1</v>
      </c>
    </row>
    <row r="114" spans="1:7">
      <c r="A114" s="3485" t="s">
        <v>1151</v>
      </c>
      <c r="B114" s="3474" t="s">
        <v>2842</v>
      </c>
      <c r="C114" s="3475">
        <v>9.7000000000000003E-2</v>
      </c>
      <c r="D114" s="3475">
        <v>9.7000000000000003E-2</v>
      </c>
      <c r="E114" s="3486"/>
      <c r="F114" s="3486"/>
      <c r="G114" s="3476">
        <v>9.9000000000000005E-2</v>
      </c>
    </row>
    <row r="115" spans="1:7">
      <c r="A115" s="3485" t="s">
        <v>1151</v>
      </c>
      <c r="B115" s="3474" t="s">
        <v>2843</v>
      </c>
      <c r="C115" s="3475">
        <v>0.1</v>
      </c>
      <c r="D115" s="3475">
        <v>0.1</v>
      </c>
      <c r="E115" s="3486"/>
      <c r="F115" s="3486"/>
      <c r="G115" s="3476">
        <v>0.1</v>
      </c>
    </row>
    <row r="116" spans="1:7">
      <c r="A116" s="3485" t="s">
        <v>1151</v>
      </c>
      <c r="B116" s="3474" t="s">
        <v>2844</v>
      </c>
      <c r="C116" s="3475">
        <v>0.1</v>
      </c>
      <c r="D116" s="3475">
        <v>0.1</v>
      </c>
      <c r="E116" s="3486"/>
      <c r="F116" s="3486"/>
      <c r="G116" s="3476">
        <v>0.1</v>
      </c>
    </row>
    <row r="117" spans="1:7">
      <c r="A117" s="3485" t="s">
        <v>1151</v>
      </c>
      <c r="B117" s="3474" t="s">
        <v>2845</v>
      </c>
      <c r="C117" s="3475">
        <v>9.7000000000000003E-2</v>
      </c>
      <c r="D117" s="3475">
        <v>9.7000000000000003E-2</v>
      </c>
      <c r="E117" s="3486"/>
      <c r="F117" s="3486"/>
      <c r="G117" s="3476">
        <v>9.7000000000000003E-2</v>
      </c>
    </row>
    <row r="118" spans="1:7">
      <c r="A118" s="3485" t="s">
        <v>1151</v>
      </c>
      <c r="B118" s="3474" t="s">
        <v>2846</v>
      </c>
      <c r="C118" s="3475">
        <v>0.1</v>
      </c>
      <c r="D118" s="3475">
        <v>0.1</v>
      </c>
      <c r="E118" s="3486"/>
      <c r="F118" s="3486"/>
      <c r="G118" s="3476">
        <v>0.1</v>
      </c>
    </row>
    <row r="119" spans="1:7">
      <c r="A119" s="3485" t="s">
        <v>1151</v>
      </c>
      <c r="B119" s="3474" t="s">
        <v>2847</v>
      </c>
      <c r="C119" s="3475">
        <v>5.0999999999999997E-2</v>
      </c>
      <c r="D119" s="3475">
        <v>5.1999999999999998E-2</v>
      </c>
      <c r="E119" s="3486"/>
      <c r="F119" s="3491"/>
      <c r="G119" s="3476">
        <v>0.06</v>
      </c>
    </row>
    <row r="120" spans="1:7">
      <c r="A120" s="3485" t="s">
        <v>1151</v>
      </c>
      <c r="B120" s="3474" t="s">
        <v>3046</v>
      </c>
      <c r="C120" s="3486"/>
      <c r="D120" s="3486"/>
      <c r="E120" s="3486"/>
      <c r="F120" s="3475">
        <v>0.1</v>
      </c>
      <c r="G120" s="3492"/>
    </row>
    <row r="121" spans="1:7">
      <c r="A121" s="3485" t="s">
        <v>1151</v>
      </c>
      <c r="B121" s="3474" t="s">
        <v>3047</v>
      </c>
      <c r="C121" s="3486"/>
      <c r="D121" s="3486"/>
      <c r="E121" s="3486"/>
      <c r="F121" s="3475">
        <v>0.1</v>
      </c>
      <c r="G121" s="3492"/>
    </row>
    <row r="122" spans="1:7">
      <c r="A122" s="3485" t="s">
        <v>1151</v>
      </c>
      <c r="B122" s="3474" t="s">
        <v>3048</v>
      </c>
      <c r="C122" s="3475">
        <v>0.1</v>
      </c>
      <c r="D122" s="3475">
        <v>0.1</v>
      </c>
      <c r="E122" s="3475">
        <v>9.8000000000000004E-2</v>
      </c>
      <c r="F122" s="3475">
        <v>0.1</v>
      </c>
      <c r="G122" s="3476">
        <v>0.1</v>
      </c>
    </row>
    <row r="123" spans="1:7">
      <c r="A123" s="3485" t="s">
        <v>1151</v>
      </c>
      <c r="B123" s="3474" t="s">
        <v>2851</v>
      </c>
      <c r="C123" s="3475">
        <v>0.1</v>
      </c>
      <c r="D123" s="3475">
        <v>0.1</v>
      </c>
      <c r="E123" s="3475">
        <v>9.8000000000000004E-2</v>
      </c>
      <c r="F123" s="3475">
        <v>0.1</v>
      </c>
      <c r="G123" s="3476">
        <v>0.1</v>
      </c>
    </row>
    <row r="124" spans="1:7">
      <c r="A124" s="3485" t="s">
        <v>1151</v>
      </c>
      <c r="B124" s="3474" t="s">
        <v>2852</v>
      </c>
      <c r="C124" s="3475">
        <v>0.1</v>
      </c>
      <c r="D124" s="3475">
        <v>0.1</v>
      </c>
      <c r="E124" s="3475">
        <v>9.8000000000000004E-2</v>
      </c>
      <c r="F124" s="3491"/>
      <c r="G124" s="3476">
        <v>0.1</v>
      </c>
    </row>
    <row r="125" spans="1:7">
      <c r="A125" s="3485" t="s">
        <v>1151</v>
      </c>
      <c r="B125" s="3474" t="s">
        <v>2853</v>
      </c>
      <c r="C125" s="3475">
        <v>9.8000000000000004E-2</v>
      </c>
      <c r="D125" s="3475">
        <v>9.8000000000000004E-2</v>
      </c>
      <c r="E125" s="3475">
        <v>9.6000000000000002E-2</v>
      </c>
      <c r="F125" s="3491"/>
      <c r="G125" s="3476">
        <v>0.1</v>
      </c>
    </row>
    <row r="126" spans="1:7" ht="15" thickBot="1">
      <c r="A126" s="3488" t="s">
        <v>1151</v>
      </c>
      <c r="B126" s="3478" t="s">
        <v>3049</v>
      </c>
      <c r="C126" s="3479">
        <v>0.1</v>
      </c>
      <c r="D126" s="3479">
        <v>0.1</v>
      </c>
      <c r="E126" s="3479">
        <v>9.8000000000000004E-2</v>
      </c>
      <c r="F126" s="3479">
        <v>0.1</v>
      </c>
      <c r="G126" s="3481">
        <v>0.1</v>
      </c>
    </row>
    <row r="127" spans="1:7">
      <c r="A127" s="3484" t="s">
        <v>1152</v>
      </c>
      <c r="B127" s="3470" t="s">
        <v>3050</v>
      </c>
      <c r="C127" s="3471">
        <v>0.121</v>
      </c>
      <c r="D127" s="3471">
        <v>0.121</v>
      </c>
      <c r="E127" s="3471">
        <v>0.107</v>
      </c>
      <c r="F127" s="3471">
        <v>0.13</v>
      </c>
      <c r="G127" s="3472">
        <v>0.122</v>
      </c>
    </row>
    <row r="128" spans="1:7">
      <c r="A128" s="3485" t="s">
        <v>1152</v>
      </c>
      <c r="B128" s="3474" t="s">
        <v>976</v>
      </c>
      <c r="C128" s="3475">
        <v>0.11600000000000001</v>
      </c>
      <c r="D128" s="3475">
        <v>0.11700000000000001</v>
      </c>
      <c r="E128" s="3475">
        <v>0.104</v>
      </c>
      <c r="F128" s="3475">
        <v>0.13</v>
      </c>
      <c r="G128" s="3476">
        <v>0.11700000000000001</v>
      </c>
    </row>
    <row r="129" spans="1:7">
      <c r="A129" s="3485" t="s">
        <v>1152</v>
      </c>
      <c r="B129" s="3474" t="s">
        <v>986</v>
      </c>
      <c r="C129" s="3475">
        <v>0.107</v>
      </c>
      <c r="D129" s="3475">
        <v>0.108</v>
      </c>
      <c r="E129" s="3475">
        <v>0.1</v>
      </c>
      <c r="F129" s="3475">
        <v>0.13</v>
      </c>
      <c r="G129" s="3476">
        <v>0.11700000000000001</v>
      </c>
    </row>
    <row r="130" spans="1:7">
      <c r="A130" s="3485" t="s">
        <v>1152</v>
      </c>
      <c r="B130" s="3474" t="s">
        <v>995</v>
      </c>
      <c r="C130" s="3475">
        <v>0.13</v>
      </c>
      <c r="D130" s="3475">
        <v>0.13</v>
      </c>
      <c r="E130" s="3475">
        <v>0.126</v>
      </c>
      <c r="F130" s="3475">
        <v>0.13</v>
      </c>
      <c r="G130" s="3476">
        <v>0.13</v>
      </c>
    </row>
    <row r="131" spans="1:7">
      <c r="A131" s="3485" t="s">
        <v>1152</v>
      </c>
      <c r="B131" s="3474" t="s">
        <v>1005</v>
      </c>
      <c r="C131" s="3475">
        <v>0.13</v>
      </c>
      <c r="D131" s="3475">
        <v>0.13</v>
      </c>
      <c r="E131" s="3475">
        <v>0.13</v>
      </c>
      <c r="F131" s="3475">
        <v>0.13</v>
      </c>
      <c r="G131" s="3476">
        <v>0.13</v>
      </c>
    </row>
    <row r="132" spans="1:7">
      <c r="A132" s="3485" t="s">
        <v>1152</v>
      </c>
      <c r="B132" s="3474" t="s">
        <v>1012</v>
      </c>
      <c r="C132" s="3475">
        <v>0.13</v>
      </c>
      <c r="D132" s="3475">
        <v>0.13</v>
      </c>
      <c r="E132" s="3475">
        <v>0.126</v>
      </c>
      <c r="F132" s="3475">
        <v>0.13</v>
      </c>
      <c r="G132" s="3476">
        <v>0.13</v>
      </c>
    </row>
    <row r="133" spans="1:7">
      <c r="A133" s="3485" t="s">
        <v>1152</v>
      </c>
      <c r="B133" s="3474" t="s">
        <v>1018</v>
      </c>
      <c r="C133" s="3475">
        <v>0.111</v>
      </c>
      <c r="D133" s="3475">
        <v>0.111</v>
      </c>
      <c r="E133" s="3475">
        <v>0.10199999999999999</v>
      </c>
      <c r="F133" s="3475">
        <v>0.13</v>
      </c>
      <c r="G133" s="3476">
        <v>0.121</v>
      </c>
    </row>
    <row r="134" spans="1:7">
      <c r="A134" s="3485" t="s">
        <v>1152</v>
      </c>
      <c r="B134" s="3474" t="s">
        <v>1025</v>
      </c>
      <c r="C134" s="3475">
        <v>0.121</v>
      </c>
      <c r="D134" s="3475">
        <v>0.121</v>
      </c>
      <c r="E134" s="3475">
        <v>0.1</v>
      </c>
      <c r="F134" s="3475">
        <v>0.13</v>
      </c>
      <c r="G134" s="3476">
        <v>0.123</v>
      </c>
    </row>
    <row r="135" spans="1:7">
      <c r="A135" s="3485" t="s">
        <v>1152</v>
      </c>
      <c r="B135" s="3474" t="s">
        <v>1035</v>
      </c>
      <c r="C135" s="3475">
        <v>0.105</v>
      </c>
      <c r="D135" s="3475">
        <v>0.106</v>
      </c>
      <c r="E135" s="3475">
        <v>0.1</v>
      </c>
      <c r="F135" s="3475">
        <v>0.13</v>
      </c>
      <c r="G135" s="3476">
        <v>0.115</v>
      </c>
    </row>
    <row r="136" spans="1:7">
      <c r="A136" s="3485" t="s">
        <v>1152</v>
      </c>
      <c r="B136" s="3474" t="s">
        <v>1044</v>
      </c>
      <c r="C136" s="3475">
        <v>0.127</v>
      </c>
      <c r="D136" s="3475">
        <v>0.127</v>
      </c>
      <c r="E136" s="3475">
        <v>0.121</v>
      </c>
      <c r="F136" s="3475">
        <v>0.123</v>
      </c>
      <c r="G136" s="3476">
        <v>0.129</v>
      </c>
    </row>
    <row r="137" spans="1:7">
      <c r="A137" s="3485" t="s">
        <v>1152</v>
      </c>
      <c r="B137" s="3474" t="s">
        <v>1051</v>
      </c>
      <c r="C137" s="3475">
        <v>0.13</v>
      </c>
      <c r="D137" s="3475">
        <v>0.13</v>
      </c>
      <c r="E137" s="3475">
        <v>0.129</v>
      </c>
      <c r="F137" s="3475">
        <v>0.13</v>
      </c>
      <c r="G137" s="3476">
        <v>0.13</v>
      </c>
    </row>
    <row r="138" spans="1:7">
      <c r="A138" s="3485" t="s">
        <v>1152</v>
      </c>
      <c r="B138" s="3474" t="s">
        <v>1058</v>
      </c>
      <c r="C138" s="3475">
        <v>0.13</v>
      </c>
      <c r="D138" s="3475">
        <v>0.13</v>
      </c>
      <c r="E138" s="3475">
        <v>0.125</v>
      </c>
      <c r="F138" s="3475">
        <v>0.13</v>
      </c>
      <c r="G138" s="3476">
        <v>0.13</v>
      </c>
    </row>
    <row r="139" spans="1:7">
      <c r="A139" s="3485" t="s">
        <v>1152</v>
      </c>
      <c r="B139" s="3474" t="s">
        <v>1065</v>
      </c>
      <c r="C139" s="3475">
        <v>0.13</v>
      </c>
      <c r="D139" s="3475">
        <v>0.13</v>
      </c>
      <c r="E139" s="3475">
        <v>0.126</v>
      </c>
      <c r="F139" s="3475">
        <v>0.13</v>
      </c>
      <c r="G139" s="3476">
        <v>0.13</v>
      </c>
    </row>
    <row r="140" spans="1:7">
      <c r="A140" s="3485" t="s">
        <v>1152</v>
      </c>
      <c r="B140" s="3474" t="s">
        <v>1073</v>
      </c>
      <c r="C140" s="3475">
        <v>0.1</v>
      </c>
      <c r="D140" s="3475">
        <v>0.1</v>
      </c>
      <c r="E140" s="3475">
        <v>0.1</v>
      </c>
      <c r="F140" s="3475">
        <v>0.123</v>
      </c>
      <c r="G140" s="3476">
        <v>0.107</v>
      </c>
    </row>
    <row r="141" spans="1:7">
      <c r="A141" s="3485" t="s">
        <v>1152</v>
      </c>
      <c r="B141" s="3474" t="s">
        <v>1081</v>
      </c>
      <c r="C141" s="3475">
        <v>0.127</v>
      </c>
      <c r="D141" s="3475">
        <v>0.127</v>
      </c>
      <c r="E141" s="3475">
        <v>0.122</v>
      </c>
      <c r="F141" s="3475">
        <v>0.1</v>
      </c>
      <c r="G141" s="3476">
        <v>0.129</v>
      </c>
    </row>
    <row r="142" spans="1:7">
      <c r="A142" s="3485" t="s">
        <v>1152</v>
      </c>
      <c r="B142" s="3474" t="s">
        <v>1086</v>
      </c>
      <c r="C142" s="3475">
        <v>0.121</v>
      </c>
      <c r="D142" s="3475">
        <v>0.122</v>
      </c>
      <c r="E142" s="3475">
        <v>0.1</v>
      </c>
      <c r="F142" s="3475">
        <v>0.123</v>
      </c>
      <c r="G142" s="3476">
        <v>0.123</v>
      </c>
    </row>
    <row r="143" spans="1:7">
      <c r="A143" s="3485" t="s">
        <v>1152</v>
      </c>
      <c r="B143" s="3474" t="s">
        <v>1095</v>
      </c>
      <c r="C143" s="3475">
        <v>0.1</v>
      </c>
      <c r="D143" s="3475">
        <v>0.1</v>
      </c>
      <c r="E143" s="3475">
        <v>0.1</v>
      </c>
      <c r="F143" s="3475">
        <v>0.13</v>
      </c>
      <c r="G143" s="3476">
        <v>0.1</v>
      </c>
    </row>
    <row r="144" spans="1:7">
      <c r="A144" s="3485" t="s">
        <v>1152</v>
      </c>
      <c r="B144" s="3474" t="s">
        <v>1102</v>
      </c>
      <c r="C144" s="3475">
        <v>0.106</v>
      </c>
      <c r="D144" s="3475">
        <v>0.105</v>
      </c>
      <c r="E144" s="3475">
        <v>0.1</v>
      </c>
      <c r="F144" s="3475">
        <v>0.13</v>
      </c>
      <c r="G144" s="3476">
        <v>0.11799999999999999</v>
      </c>
    </row>
    <row r="145" spans="1:7">
      <c r="A145" s="3485" t="s">
        <v>1152</v>
      </c>
      <c r="B145" s="3474" t="s">
        <v>1110</v>
      </c>
      <c r="C145" s="3475">
        <v>0.123</v>
      </c>
      <c r="D145" s="3475">
        <v>0.123</v>
      </c>
      <c r="E145" s="3475">
        <v>0.11700000000000001</v>
      </c>
      <c r="F145" s="3475">
        <v>0.13</v>
      </c>
      <c r="G145" s="3476">
        <v>0.126</v>
      </c>
    </row>
    <row r="146" spans="1:7">
      <c r="A146" s="3485" t="s">
        <v>1152</v>
      </c>
      <c r="B146" s="3474" t="s">
        <v>1117</v>
      </c>
      <c r="C146" s="3475">
        <v>0.127</v>
      </c>
      <c r="D146" s="3475">
        <v>0.127</v>
      </c>
      <c r="E146" s="3475">
        <v>0.12</v>
      </c>
      <c r="F146" s="3486"/>
      <c r="G146" s="3476">
        <v>0.129</v>
      </c>
    </row>
    <row r="147" spans="1:7">
      <c r="A147" s="3485" t="s">
        <v>1152</v>
      </c>
      <c r="B147" s="3474" t="s">
        <v>1121</v>
      </c>
      <c r="C147" s="3475">
        <v>0.13</v>
      </c>
      <c r="D147" s="3475">
        <v>0.13</v>
      </c>
      <c r="E147" s="3475">
        <v>0.126</v>
      </c>
      <c r="F147" s="3486"/>
      <c r="G147" s="3476">
        <v>0.13</v>
      </c>
    </row>
    <row r="148" spans="1:7">
      <c r="A148" s="3485" t="s">
        <v>1152</v>
      </c>
      <c r="B148" s="3474" t="s">
        <v>3051</v>
      </c>
      <c r="C148" s="3475">
        <v>0.13</v>
      </c>
      <c r="D148" s="3475">
        <v>0.13</v>
      </c>
      <c r="E148" s="3475">
        <v>0.13</v>
      </c>
      <c r="F148" s="3486"/>
      <c r="G148" s="3476">
        <v>0.13</v>
      </c>
    </row>
    <row r="149" spans="1:7">
      <c r="A149" s="3485" t="s">
        <v>1152</v>
      </c>
      <c r="B149" s="3474" t="s">
        <v>3052</v>
      </c>
      <c r="C149" s="3475">
        <v>0.13</v>
      </c>
      <c r="D149" s="3475">
        <v>0.13</v>
      </c>
      <c r="E149" s="3475">
        <v>0.13</v>
      </c>
      <c r="F149" s="3475">
        <v>0.13</v>
      </c>
      <c r="G149" s="3476">
        <v>0.13</v>
      </c>
    </row>
    <row r="150" spans="1:7">
      <c r="A150" s="3485" t="s">
        <v>1152</v>
      </c>
      <c r="B150" s="3474" t="s">
        <v>1140</v>
      </c>
      <c r="C150" s="3475">
        <v>0.13</v>
      </c>
      <c r="D150" s="3475">
        <v>0.13</v>
      </c>
      <c r="E150" s="3475">
        <v>0.127</v>
      </c>
      <c r="F150" s="3475">
        <v>0.13</v>
      </c>
      <c r="G150" s="3476">
        <v>0.13</v>
      </c>
    </row>
    <row r="151" spans="1:7">
      <c r="A151" s="3485" t="s">
        <v>1152</v>
      </c>
      <c r="B151" s="3474" t="s">
        <v>1142</v>
      </c>
      <c r="C151" s="3475">
        <v>0.13</v>
      </c>
      <c r="D151" s="3475">
        <v>0.13</v>
      </c>
      <c r="E151" s="3475">
        <v>0.13</v>
      </c>
      <c r="F151" s="3475">
        <v>0.13</v>
      </c>
      <c r="G151" s="3476">
        <v>0.13</v>
      </c>
    </row>
    <row r="152" spans="1:7">
      <c r="A152" s="3485" t="s">
        <v>1152</v>
      </c>
      <c r="B152" s="3474" t="s">
        <v>1145</v>
      </c>
      <c r="C152" s="3475">
        <v>0.13</v>
      </c>
      <c r="D152" s="3475">
        <v>0.13</v>
      </c>
      <c r="E152" s="3475">
        <v>0.13</v>
      </c>
      <c r="F152" s="3475">
        <v>0.13</v>
      </c>
      <c r="G152" s="3476">
        <v>0.13</v>
      </c>
    </row>
    <row r="153" spans="1:7">
      <c r="A153" s="3485" t="s">
        <v>1152</v>
      </c>
      <c r="B153" s="3474" t="s">
        <v>2858</v>
      </c>
      <c r="C153" s="3475">
        <v>0.13</v>
      </c>
      <c r="D153" s="3475">
        <v>0.13</v>
      </c>
      <c r="E153" s="3475">
        <v>0.13</v>
      </c>
      <c r="F153" s="3475">
        <v>0.13</v>
      </c>
      <c r="G153" s="3476">
        <v>0.13</v>
      </c>
    </row>
    <row r="154" spans="1:7">
      <c r="A154" s="3485" t="s">
        <v>1152</v>
      </c>
      <c r="B154" s="3474" t="s">
        <v>3053</v>
      </c>
      <c r="C154" s="3475">
        <v>0.121</v>
      </c>
      <c r="D154" s="3475">
        <v>0.121</v>
      </c>
      <c r="E154" s="3475">
        <v>0.105</v>
      </c>
      <c r="F154" s="3475">
        <v>0.121</v>
      </c>
      <c r="G154" s="3476">
        <v>0.123</v>
      </c>
    </row>
    <row r="155" spans="1:7">
      <c r="A155" s="3485" t="s">
        <v>1152</v>
      </c>
      <c r="B155" s="3474" t="s">
        <v>2860</v>
      </c>
      <c r="C155" s="3475">
        <v>0.1</v>
      </c>
      <c r="D155" s="3475">
        <v>0.1</v>
      </c>
      <c r="E155" s="3475">
        <v>0.1</v>
      </c>
      <c r="F155" s="3475">
        <v>0.1</v>
      </c>
      <c r="G155" s="3476">
        <v>0.1</v>
      </c>
    </row>
    <row r="156" spans="1:7">
      <c r="A156" s="3485" t="s">
        <v>1152</v>
      </c>
      <c r="B156" s="3474" t="s">
        <v>3054</v>
      </c>
      <c r="C156" s="3475">
        <v>0.13</v>
      </c>
      <c r="D156" s="3475">
        <v>0.13</v>
      </c>
      <c r="E156" s="3475">
        <v>0.13</v>
      </c>
      <c r="F156" s="3475">
        <v>0.13</v>
      </c>
      <c r="G156" s="3476">
        <v>0.13</v>
      </c>
    </row>
    <row r="157" spans="1:7">
      <c r="A157" s="3485" t="s">
        <v>1152</v>
      </c>
      <c r="B157" s="3474" t="s">
        <v>1148</v>
      </c>
      <c r="C157" s="3475">
        <v>0.13</v>
      </c>
      <c r="D157" s="3475">
        <v>0.13</v>
      </c>
      <c r="E157" s="3475">
        <v>0.125</v>
      </c>
      <c r="F157" s="3475">
        <v>0.13</v>
      </c>
      <c r="G157" s="3476">
        <v>0.13</v>
      </c>
    </row>
    <row r="158" spans="1:7">
      <c r="A158" s="3485" t="s">
        <v>1152</v>
      </c>
      <c r="B158" s="3474" t="s">
        <v>1149</v>
      </c>
      <c r="C158" s="3475">
        <v>0.124</v>
      </c>
      <c r="D158" s="3475">
        <v>0.124</v>
      </c>
      <c r="E158" s="3475">
        <v>0.11700000000000001</v>
      </c>
      <c r="F158" s="3475">
        <v>0.121</v>
      </c>
      <c r="G158" s="3476">
        <v>0.124</v>
      </c>
    </row>
    <row r="159" spans="1:7">
      <c r="A159" s="3485" t="s">
        <v>1152</v>
      </c>
      <c r="B159" s="3474" t="s">
        <v>1150</v>
      </c>
      <c r="C159" s="3475">
        <v>0.127</v>
      </c>
      <c r="D159" s="3475">
        <v>0.127</v>
      </c>
      <c r="E159" s="3475">
        <v>0.122</v>
      </c>
      <c r="F159" s="3475">
        <v>0.13</v>
      </c>
      <c r="G159" s="3476">
        <v>0.129</v>
      </c>
    </row>
    <row r="160" spans="1:7">
      <c r="A160" s="3485" t="s">
        <v>1152</v>
      </c>
      <c r="B160" s="3474" t="s">
        <v>3055</v>
      </c>
      <c r="C160" s="3475">
        <v>0.13</v>
      </c>
      <c r="D160" s="3475">
        <v>0.13</v>
      </c>
      <c r="E160" s="3475">
        <v>0.124</v>
      </c>
      <c r="F160" s="3475">
        <v>0.126</v>
      </c>
      <c r="G160" s="3476">
        <v>0.13</v>
      </c>
    </row>
    <row r="161" spans="1:7">
      <c r="A161" s="3485" t="s">
        <v>1152</v>
      </c>
      <c r="B161" s="3474" t="s">
        <v>2863</v>
      </c>
      <c r="C161" s="3475">
        <v>0.13</v>
      </c>
      <c r="D161" s="3475">
        <v>0.13</v>
      </c>
      <c r="E161" s="3475">
        <v>0.124</v>
      </c>
      <c r="F161" s="3475">
        <v>0.127</v>
      </c>
      <c r="G161" s="3476">
        <v>0.13</v>
      </c>
    </row>
    <row r="162" spans="1:7">
      <c r="A162" s="3485" t="s">
        <v>1152</v>
      </c>
      <c r="B162" s="3474" t="s">
        <v>2864</v>
      </c>
      <c r="C162" s="3475">
        <v>0.1</v>
      </c>
      <c r="D162" s="3475">
        <v>0.1</v>
      </c>
      <c r="E162" s="3475">
        <v>0.1</v>
      </c>
      <c r="F162" s="3475">
        <v>0.121</v>
      </c>
      <c r="G162" s="3476">
        <v>0.105</v>
      </c>
    </row>
    <row r="163" spans="1:7">
      <c r="A163" s="3485" t="s">
        <v>1152</v>
      </c>
      <c r="B163" s="3474" t="s">
        <v>2865</v>
      </c>
      <c r="C163" s="3475">
        <v>0.1</v>
      </c>
      <c r="D163" s="3475">
        <v>0.1</v>
      </c>
      <c r="E163" s="3475">
        <v>0.1</v>
      </c>
      <c r="F163" s="3475">
        <v>0.1</v>
      </c>
      <c r="G163" s="3476">
        <v>0.1</v>
      </c>
    </row>
    <row r="164" spans="1:7">
      <c r="A164" s="3485" t="s">
        <v>1152</v>
      </c>
      <c r="B164" s="3474" t="s">
        <v>2866</v>
      </c>
      <c r="C164" s="3491"/>
      <c r="D164" s="3491"/>
      <c r="E164" s="3491"/>
      <c r="F164" s="3475">
        <v>0.1</v>
      </c>
      <c r="G164" s="3487"/>
    </row>
    <row r="165" spans="1:7">
      <c r="A165" s="3485" t="s">
        <v>1152</v>
      </c>
      <c r="B165" s="3474" t="s">
        <v>3056</v>
      </c>
      <c r="C165" s="3475">
        <v>0.126</v>
      </c>
      <c r="D165" s="3475">
        <v>0.126</v>
      </c>
      <c r="E165" s="3475">
        <v>0.11899999999999999</v>
      </c>
      <c r="F165" s="3475">
        <v>0.13</v>
      </c>
      <c r="G165" s="3476">
        <v>0.128</v>
      </c>
    </row>
    <row r="166" spans="1:7">
      <c r="A166" s="3485" t="s">
        <v>1152</v>
      </c>
      <c r="B166" s="3474" t="s">
        <v>2868</v>
      </c>
      <c r="C166" s="3475">
        <v>0.129</v>
      </c>
      <c r="D166" s="3475">
        <v>0.129</v>
      </c>
      <c r="E166" s="3475">
        <v>0.123</v>
      </c>
      <c r="F166" s="3475">
        <v>0.128</v>
      </c>
      <c r="G166" s="3476">
        <v>0.13</v>
      </c>
    </row>
    <row r="167" spans="1:7">
      <c r="A167" s="3485" t="s">
        <v>1152</v>
      </c>
      <c r="B167" s="3474" t="s">
        <v>2869</v>
      </c>
      <c r="C167" s="3475">
        <v>0.125</v>
      </c>
      <c r="D167" s="3475">
        <v>0.125</v>
      </c>
      <c r="E167" s="3475">
        <v>0.11700000000000001</v>
      </c>
      <c r="F167" s="3475">
        <v>0.13</v>
      </c>
      <c r="G167" s="3476">
        <v>0.126</v>
      </c>
    </row>
    <row r="168" spans="1:7">
      <c r="A168" s="3485" t="s">
        <v>1152</v>
      </c>
      <c r="B168" s="3474" t="s">
        <v>2870</v>
      </c>
      <c r="C168" s="3475">
        <v>0.128</v>
      </c>
      <c r="D168" s="3475">
        <v>0.128</v>
      </c>
      <c r="E168" s="3475">
        <v>0.123</v>
      </c>
      <c r="F168" s="3486"/>
      <c r="G168" s="3476">
        <v>0.13</v>
      </c>
    </row>
    <row r="169" spans="1:7">
      <c r="A169" s="3485" t="s">
        <v>1152</v>
      </c>
      <c r="B169" s="3474" t="s">
        <v>3057</v>
      </c>
      <c r="C169" s="3491"/>
      <c r="D169" s="3491"/>
      <c r="E169" s="3491"/>
      <c r="F169" s="3475">
        <v>0.05</v>
      </c>
      <c r="G169" s="3487"/>
    </row>
    <row r="170" spans="1:7">
      <c r="A170" s="3485" t="s">
        <v>1152</v>
      </c>
      <c r="B170" s="3474" t="s">
        <v>3058</v>
      </c>
      <c r="C170" s="3491"/>
      <c r="D170" s="3491"/>
      <c r="E170" s="3491"/>
      <c r="F170" s="3475">
        <v>0.05</v>
      </c>
      <c r="G170" s="3487"/>
    </row>
    <row r="171" spans="1:7">
      <c r="A171" s="3485" t="s">
        <v>1152</v>
      </c>
      <c r="B171" s="3474" t="s">
        <v>3059</v>
      </c>
      <c r="C171" s="3491"/>
      <c r="D171" s="3491"/>
      <c r="E171" s="3491"/>
      <c r="F171" s="3475">
        <v>0.05</v>
      </c>
      <c r="G171" s="3492"/>
    </row>
    <row r="172" spans="1:7">
      <c r="A172" s="3485" t="s">
        <v>1152</v>
      </c>
      <c r="B172" s="3474" t="s">
        <v>3060</v>
      </c>
      <c r="C172" s="3491"/>
      <c r="D172" s="3491"/>
      <c r="E172" s="3491"/>
      <c r="F172" s="3475">
        <v>0.05</v>
      </c>
      <c r="G172" s="3492"/>
    </row>
    <row r="173" spans="1:7">
      <c r="A173" s="3485" t="s">
        <v>1152</v>
      </c>
      <c r="B173" s="3474" t="s">
        <v>3061</v>
      </c>
      <c r="C173" s="3491"/>
      <c r="D173" s="3491"/>
      <c r="E173" s="3491"/>
      <c r="F173" s="3475">
        <v>0.05</v>
      </c>
      <c r="G173" s="3487"/>
    </row>
    <row r="174" spans="1:7">
      <c r="A174" s="3485" t="s">
        <v>1152</v>
      </c>
      <c r="B174" s="3474" t="s">
        <v>3062</v>
      </c>
      <c r="C174" s="3491"/>
      <c r="D174" s="3491"/>
      <c r="E174" s="3491"/>
      <c r="F174" s="3475">
        <v>0.05</v>
      </c>
      <c r="G174" s="3487"/>
    </row>
    <row r="175" spans="1:7">
      <c r="A175" s="3485" t="s">
        <v>1152</v>
      </c>
      <c r="B175" s="3474" t="s">
        <v>3063</v>
      </c>
      <c r="C175" s="3491"/>
      <c r="D175" s="3491"/>
      <c r="E175" s="3491"/>
      <c r="F175" s="3475">
        <v>0.05</v>
      </c>
      <c r="G175" s="3487"/>
    </row>
    <row r="176" spans="1:7">
      <c r="A176" s="3485" t="s">
        <v>1152</v>
      </c>
      <c r="B176" s="3474" t="s">
        <v>3064</v>
      </c>
      <c r="C176" s="3491"/>
      <c r="D176" s="3491"/>
      <c r="E176" s="3491"/>
      <c r="F176" s="3475">
        <v>0.05</v>
      </c>
      <c r="G176" s="3487"/>
    </row>
    <row r="177" spans="1:7">
      <c r="A177" s="3485" t="s">
        <v>1152</v>
      </c>
      <c r="B177" s="3474" t="s">
        <v>3065</v>
      </c>
      <c r="C177" s="3486"/>
      <c r="D177" s="3486"/>
      <c r="E177" s="3486"/>
      <c r="F177" s="3475">
        <v>0.05</v>
      </c>
      <c r="G177" s="3492"/>
    </row>
    <row r="178" spans="1:7">
      <c r="A178" s="3485" t="s">
        <v>1152</v>
      </c>
      <c r="B178" s="3474" t="s">
        <v>3066</v>
      </c>
      <c r="C178" s="3486"/>
      <c r="D178" s="3486"/>
      <c r="E178" s="3486"/>
      <c r="F178" s="3475">
        <v>0.05</v>
      </c>
      <c r="G178" s="3492"/>
    </row>
    <row r="179" spans="1:7">
      <c r="A179" s="3485" t="s">
        <v>1152</v>
      </c>
      <c r="B179" s="3474" t="s">
        <v>3067</v>
      </c>
      <c r="C179" s="3486"/>
      <c r="D179" s="3486"/>
      <c r="E179" s="3486"/>
      <c r="F179" s="3475">
        <v>0.05</v>
      </c>
      <c r="G179" s="3492"/>
    </row>
    <row r="180" spans="1:7">
      <c r="A180" s="3485" t="s">
        <v>1152</v>
      </c>
      <c r="B180" s="3474" t="s">
        <v>3068</v>
      </c>
      <c r="C180" s="3486"/>
      <c r="D180" s="3486"/>
      <c r="E180" s="3486"/>
      <c r="F180" s="3475">
        <v>0.05</v>
      </c>
      <c r="G180" s="3492"/>
    </row>
    <row r="181" spans="1:7">
      <c r="A181" s="3485" t="s">
        <v>1152</v>
      </c>
      <c r="B181" s="3474" t="s">
        <v>3069</v>
      </c>
      <c r="C181" s="3486"/>
      <c r="D181" s="3486"/>
      <c r="E181" s="3486"/>
      <c r="F181" s="3475">
        <v>0.05</v>
      </c>
      <c r="G181" s="3492"/>
    </row>
    <row r="182" spans="1:7">
      <c r="A182" s="3485" t="s">
        <v>1152</v>
      </c>
      <c r="B182" s="3474" t="s">
        <v>3070</v>
      </c>
      <c r="C182" s="3486"/>
      <c r="D182" s="3486"/>
      <c r="E182" s="3486"/>
      <c r="F182" s="3475">
        <v>0.05</v>
      </c>
      <c r="G182" s="3492"/>
    </row>
    <row r="183" spans="1:7">
      <c r="A183" s="3485" t="s">
        <v>1152</v>
      </c>
      <c r="B183" s="3474" t="s">
        <v>3071</v>
      </c>
      <c r="C183" s="3486"/>
      <c r="D183" s="3486"/>
      <c r="E183" s="3486"/>
      <c r="F183" s="3475">
        <v>0.05</v>
      </c>
      <c r="G183" s="3492"/>
    </row>
    <row r="184" spans="1:7">
      <c r="A184" s="3485" t="s">
        <v>1152</v>
      </c>
      <c r="B184" s="3474" t="s">
        <v>3072</v>
      </c>
      <c r="C184" s="3486"/>
      <c r="D184" s="3486"/>
      <c r="E184" s="3486"/>
      <c r="F184" s="3475">
        <v>0.05</v>
      </c>
      <c r="G184" s="3492"/>
    </row>
    <row r="185" spans="1:7">
      <c r="A185" s="3485" t="s">
        <v>1152</v>
      </c>
      <c r="B185" s="3474" t="s">
        <v>3073</v>
      </c>
      <c r="C185" s="3486"/>
      <c r="D185" s="3486"/>
      <c r="E185" s="3486"/>
      <c r="F185" s="3475">
        <v>0.05</v>
      </c>
      <c r="G185" s="3492"/>
    </row>
    <row r="186" spans="1:7">
      <c r="A186" s="3485" t="s">
        <v>1152</v>
      </c>
      <c r="B186" s="3474" t="s">
        <v>3074</v>
      </c>
      <c r="C186" s="3486"/>
      <c r="D186" s="3486"/>
      <c r="E186" s="3486"/>
      <c r="F186" s="3475">
        <v>0.05</v>
      </c>
      <c r="G186" s="3492"/>
    </row>
    <row r="187" spans="1:7">
      <c r="A187" s="3485" t="s">
        <v>1152</v>
      </c>
      <c r="B187" s="3474" t="s">
        <v>3075</v>
      </c>
      <c r="C187" s="3486"/>
      <c r="D187" s="3486"/>
      <c r="E187" s="3486"/>
      <c r="F187" s="3475">
        <v>0.05</v>
      </c>
      <c r="G187" s="3492"/>
    </row>
    <row r="188" spans="1:7">
      <c r="A188" s="3485" t="s">
        <v>1152</v>
      </c>
      <c r="B188" s="3474" t="s">
        <v>3076</v>
      </c>
      <c r="C188" s="3486"/>
      <c r="D188" s="3486"/>
      <c r="E188" s="3486"/>
      <c r="F188" s="3475">
        <v>0.05</v>
      </c>
      <c r="G188" s="3492"/>
    </row>
    <row r="189" spans="1:7" ht="15" thickBot="1">
      <c r="A189" s="3488" t="s">
        <v>1152</v>
      </c>
      <c r="B189" s="3478" t="s">
        <v>3077</v>
      </c>
      <c r="C189" s="3480"/>
      <c r="D189" s="3480"/>
      <c r="E189" s="3480"/>
      <c r="F189" s="3479">
        <v>0.05</v>
      </c>
      <c r="G189" s="3493"/>
    </row>
    <row r="190" spans="1:7">
      <c r="A190" s="3484" t="s">
        <v>1153</v>
      </c>
      <c r="B190" s="3470" t="s">
        <v>3078</v>
      </c>
      <c r="C190" s="3471">
        <v>0.124</v>
      </c>
      <c r="D190" s="3471">
        <v>0.124</v>
      </c>
      <c r="E190" s="3471">
        <v>0.129</v>
      </c>
      <c r="F190" s="3471">
        <v>0.13</v>
      </c>
      <c r="G190" s="3472">
        <v>0.127</v>
      </c>
    </row>
    <row r="191" spans="1:7">
      <c r="A191" s="3485" t="s">
        <v>1153</v>
      </c>
      <c r="B191" s="3474" t="s">
        <v>977</v>
      </c>
      <c r="C191" s="3475">
        <v>0.13</v>
      </c>
      <c r="D191" s="3475">
        <v>0.13</v>
      </c>
      <c r="E191" s="3475">
        <v>0.13</v>
      </c>
      <c r="F191" s="3475">
        <v>0.13</v>
      </c>
      <c r="G191" s="3476">
        <v>0.13</v>
      </c>
    </row>
    <row r="192" spans="1:7">
      <c r="A192" s="3485" t="s">
        <v>1153</v>
      </c>
      <c r="B192" s="3474" t="s">
        <v>987</v>
      </c>
      <c r="C192" s="3475">
        <v>0.13</v>
      </c>
      <c r="D192" s="3475">
        <v>0.13</v>
      </c>
      <c r="E192" s="3475">
        <v>0.13</v>
      </c>
      <c r="F192" s="3475">
        <v>0.13</v>
      </c>
      <c r="G192" s="3476">
        <v>0.13</v>
      </c>
    </row>
    <row r="193" spans="1:7">
      <c r="A193" s="3485" t="s">
        <v>1153</v>
      </c>
      <c r="B193" s="3474" t="s">
        <v>996</v>
      </c>
      <c r="C193" s="3475">
        <v>0.13</v>
      </c>
      <c r="D193" s="3475">
        <v>0.13</v>
      </c>
      <c r="E193" s="3475">
        <v>0.13</v>
      </c>
      <c r="F193" s="3475">
        <v>0.13</v>
      </c>
      <c r="G193" s="3476">
        <v>0.13</v>
      </c>
    </row>
    <row r="194" spans="1:7">
      <c r="A194" s="3485" t="s">
        <v>1153</v>
      </c>
      <c r="B194" s="3474" t="s">
        <v>1006</v>
      </c>
      <c r="C194" s="3475">
        <v>0.123</v>
      </c>
      <c r="D194" s="3475">
        <v>0.123</v>
      </c>
      <c r="E194" s="3475">
        <v>0.128</v>
      </c>
      <c r="F194" s="3475">
        <v>0.13</v>
      </c>
      <c r="G194" s="3476">
        <v>0.126</v>
      </c>
    </row>
    <row r="195" spans="1:7">
      <c r="A195" s="3485" t="s">
        <v>1153</v>
      </c>
      <c r="B195" s="3474" t="s">
        <v>1013</v>
      </c>
      <c r="C195" s="3475">
        <v>0.127</v>
      </c>
      <c r="D195" s="3475">
        <v>0.127</v>
      </c>
      <c r="E195" s="3475">
        <v>0.121</v>
      </c>
      <c r="F195" s="3475">
        <v>0.129</v>
      </c>
      <c r="G195" s="3476">
        <v>0.129</v>
      </c>
    </row>
    <row r="196" spans="1:7">
      <c r="A196" s="3485" t="s">
        <v>1153</v>
      </c>
      <c r="B196" s="3474" t="s">
        <v>1019</v>
      </c>
      <c r="C196" s="3475">
        <v>0.127</v>
      </c>
      <c r="D196" s="3475">
        <v>0.128</v>
      </c>
      <c r="E196" s="3475">
        <v>0.122</v>
      </c>
      <c r="F196" s="3475">
        <v>0.13</v>
      </c>
      <c r="G196" s="3476">
        <v>0.129</v>
      </c>
    </row>
    <row r="197" spans="1:7">
      <c r="A197" s="3485" t="s">
        <v>1153</v>
      </c>
      <c r="B197" s="3474" t="s">
        <v>1026</v>
      </c>
      <c r="C197" s="3475">
        <v>0.126</v>
      </c>
      <c r="D197" s="3475">
        <v>0.126</v>
      </c>
      <c r="E197" s="3475">
        <v>0.11899999999999999</v>
      </c>
      <c r="F197" s="3475">
        <v>0.13</v>
      </c>
      <c r="G197" s="3476">
        <v>0.128</v>
      </c>
    </row>
    <row r="198" spans="1:7">
      <c r="A198" s="3485" t="s">
        <v>1153</v>
      </c>
      <c r="B198" s="3474" t="s">
        <v>1036</v>
      </c>
      <c r="C198" s="3475">
        <v>0.13</v>
      </c>
      <c r="D198" s="3475">
        <v>0.13</v>
      </c>
      <c r="E198" s="3475">
        <v>0.126</v>
      </c>
      <c r="F198" s="3491"/>
      <c r="G198" s="3476">
        <v>0.13</v>
      </c>
    </row>
    <row r="199" spans="1:7">
      <c r="A199" s="3485" t="s">
        <v>1153</v>
      </c>
      <c r="B199" s="3474" t="s">
        <v>3079</v>
      </c>
      <c r="C199" s="3475">
        <v>0.13</v>
      </c>
      <c r="D199" s="3475">
        <v>0.13</v>
      </c>
      <c r="E199" s="3475">
        <v>0.13</v>
      </c>
      <c r="F199" s="3475">
        <v>0.13</v>
      </c>
      <c r="G199" s="3476">
        <v>0.13</v>
      </c>
    </row>
    <row r="200" spans="1:7">
      <c r="A200" s="3485" t="s">
        <v>1153</v>
      </c>
      <c r="B200" s="3474" t="s">
        <v>2894</v>
      </c>
      <c r="C200" s="3491"/>
      <c r="D200" s="3491"/>
      <c r="E200" s="3491"/>
      <c r="F200" s="3475">
        <v>0.13</v>
      </c>
      <c r="G200" s="3487"/>
    </row>
    <row r="201" spans="1:7">
      <c r="A201" s="3485" t="s">
        <v>1153</v>
      </c>
      <c r="B201" s="3474" t="s">
        <v>3080</v>
      </c>
      <c r="C201" s="3475">
        <v>0.13</v>
      </c>
      <c r="D201" s="3475">
        <v>0.13</v>
      </c>
      <c r="E201" s="3475">
        <v>0.13</v>
      </c>
      <c r="F201" s="3475">
        <v>0.129</v>
      </c>
      <c r="G201" s="3476">
        <v>0.13</v>
      </c>
    </row>
    <row r="202" spans="1:7">
      <c r="A202" s="3485" t="s">
        <v>1153</v>
      </c>
      <c r="B202" s="3474" t="s">
        <v>1087</v>
      </c>
      <c r="C202" s="3475">
        <v>0.13</v>
      </c>
      <c r="D202" s="3475">
        <v>0.13</v>
      </c>
      <c r="E202" s="3475">
        <v>0.13</v>
      </c>
      <c r="F202" s="3475">
        <v>0.13</v>
      </c>
      <c r="G202" s="3476">
        <v>0.13</v>
      </c>
    </row>
    <row r="203" spans="1:7">
      <c r="A203" s="3485" t="s">
        <v>1153</v>
      </c>
      <c r="B203" s="3474" t="s">
        <v>3081</v>
      </c>
      <c r="C203" s="3475">
        <v>0.129</v>
      </c>
      <c r="D203" s="3475">
        <v>0.129</v>
      </c>
      <c r="E203" s="3475">
        <v>0.13</v>
      </c>
      <c r="F203" s="3475">
        <v>0.13</v>
      </c>
      <c r="G203" s="3476">
        <v>0.13</v>
      </c>
    </row>
    <row r="204" spans="1:7">
      <c r="A204" s="3485" t="s">
        <v>1153</v>
      </c>
      <c r="B204" s="3474" t="s">
        <v>2897</v>
      </c>
      <c r="C204" s="3475">
        <v>0.129</v>
      </c>
      <c r="D204" s="3475">
        <v>0.129</v>
      </c>
      <c r="E204" s="3475">
        <v>0.123</v>
      </c>
      <c r="F204" s="3475">
        <v>0.13</v>
      </c>
      <c r="G204" s="3476">
        <v>0.13</v>
      </c>
    </row>
    <row r="205" spans="1:7">
      <c r="A205" s="3485" t="s">
        <v>1153</v>
      </c>
      <c r="B205" s="3474" t="s">
        <v>2898</v>
      </c>
      <c r="C205" s="3475">
        <v>0.13</v>
      </c>
      <c r="D205" s="3475">
        <v>0.13</v>
      </c>
      <c r="E205" s="3475">
        <v>0.13</v>
      </c>
      <c r="F205" s="3475">
        <v>0.13</v>
      </c>
      <c r="G205" s="3476">
        <v>0.13</v>
      </c>
    </row>
    <row r="206" spans="1:7">
      <c r="A206" s="3485" t="s">
        <v>1153</v>
      </c>
      <c r="B206" s="3474" t="s">
        <v>2899</v>
      </c>
      <c r="C206" s="3475">
        <v>0.13</v>
      </c>
      <c r="D206" s="3475">
        <v>0.13</v>
      </c>
      <c r="E206" s="3475">
        <v>0.13</v>
      </c>
      <c r="F206" s="3475">
        <v>0.128</v>
      </c>
      <c r="G206" s="3476">
        <v>0.13</v>
      </c>
    </row>
    <row r="207" spans="1:7">
      <c r="A207" s="3485" t="s">
        <v>1153</v>
      </c>
      <c r="B207" s="3474" t="s">
        <v>2900</v>
      </c>
      <c r="C207" s="3475">
        <v>0.13</v>
      </c>
      <c r="D207" s="3475">
        <v>0.13</v>
      </c>
      <c r="E207" s="3475">
        <v>0.13</v>
      </c>
      <c r="F207" s="3475">
        <v>0.13</v>
      </c>
      <c r="G207" s="3476">
        <v>0.13</v>
      </c>
    </row>
    <row r="208" spans="1:7">
      <c r="A208" s="3485" t="s">
        <v>1153</v>
      </c>
      <c r="B208" s="3474" t="s">
        <v>3082</v>
      </c>
      <c r="C208" s="3475">
        <v>0.13</v>
      </c>
      <c r="D208" s="3475">
        <v>0.13</v>
      </c>
      <c r="E208" s="3475">
        <v>0.13</v>
      </c>
      <c r="F208" s="3475">
        <v>0.13</v>
      </c>
      <c r="G208" s="3476">
        <v>0.13</v>
      </c>
    </row>
    <row r="209" spans="1:7">
      <c r="A209" s="3485" t="s">
        <v>1153</v>
      </c>
      <c r="B209" s="3474" t="s">
        <v>1111</v>
      </c>
      <c r="C209" s="3475">
        <v>0.13</v>
      </c>
      <c r="D209" s="3475">
        <v>0.13</v>
      </c>
      <c r="E209" s="3475">
        <v>0.13</v>
      </c>
      <c r="F209" s="3475">
        <v>0.13</v>
      </c>
      <c r="G209" s="3476">
        <v>0.13</v>
      </c>
    </row>
    <row r="210" spans="1:7">
      <c r="A210" s="3485" t="s">
        <v>1153</v>
      </c>
      <c r="B210" s="3474" t="s">
        <v>2902</v>
      </c>
      <c r="C210" s="3475">
        <v>0.121</v>
      </c>
      <c r="D210" s="3475">
        <v>0.121</v>
      </c>
      <c r="E210" s="3475">
        <v>0.125</v>
      </c>
      <c r="F210" s="3475">
        <v>0.13</v>
      </c>
      <c r="G210" s="3476">
        <v>0.123</v>
      </c>
    </row>
    <row r="211" spans="1:7">
      <c r="A211" s="3485" t="s">
        <v>1153</v>
      </c>
      <c r="B211" s="3474" t="s">
        <v>3083</v>
      </c>
      <c r="C211" s="3475">
        <v>0.123</v>
      </c>
      <c r="D211" s="3475">
        <v>0.123</v>
      </c>
      <c r="E211" s="3475">
        <v>0.127</v>
      </c>
      <c r="F211" s="3475">
        <v>0.115</v>
      </c>
      <c r="G211" s="3476">
        <v>0.126</v>
      </c>
    </row>
    <row r="212" spans="1:7">
      <c r="A212" s="3485" t="s">
        <v>1153</v>
      </c>
      <c r="B212" s="3474" t="s">
        <v>1133</v>
      </c>
      <c r="C212" s="3475">
        <v>0.126</v>
      </c>
      <c r="D212" s="3475">
        <v>0.126</v>
      </c>
      <c r="E212" s="3475">
        <v>0.13</v>
      </c>
      <c r="F212" s="3475">
        <v>0.13</v>
      </c>
      <c r="G212" s="3476">
        <v>0.129</v>
      </c>
    </row>
    <row r="213" spans="1:7">
      <c r="A213" s="3485" t="s">
        <v>1153</v>
      </c>
      <c r="B213" s="3474" t="s">
        <v>1136</v>
      </c>
      <c r="C213" s="3475">
        <v>0.129</v>
      </c>
      <c r="D213" s="3475">
        <v>0.13</v>
      </c>
      <c r="E213" s="3475">
        <v>0.127</v>
      </c>
      <c r="F213" s="3475">
        <v>0.13</v>
      </c>
      <c r="G213" s="3476">
        <v>0.13</v>
      </c>
    </row>
    <row r="214" spans="1:7">
      <c r="A214" s="3485" t="s">
        <v>1153</v>
      </c>
      <c r="B214" s="3474" t="s">
        <v>3084</v>
      </c>
      <c r="C214" s="3475">
        <v>0.128</v>
      </c>
      <c r="D214" s="3475">
        <v>0.128</v>
      </c>
      <c r="E214" s="3475">
        <v>0.13</v>
      </c>
      <c r="F214" s="3475">
        <v>0.13</v>
      </c>
      <c r="G214" s="3476">
        <v>0.13</v>
      </c>
    </row>
    <row r="215" spans="1:7">
      <c r="A215" s="3485" t="s">
        <v>1153</v>
      </c>
      <c r="B215" s="3474" t="s">
        <v>3085</v>
      </c>
      <c r="C215" s="3475">
        <v>0.13</v>
      </c>
      <c r="D215" s="3475">
        <v>0.13</v>
      </c>
      <c r="E215" s="3475">
        <v>0.13</v>
      </c>
      <c r="F215" s="3475">
        <v>0.129</v>
      </c>
      <c r="G215" s="3476">
        <v>0.13</v>
      </c>
    </row>
    <row r="216" spans="1:7">
      <c r="A216" s="3485" t="s">
        <v>1153</v>
      </c>
      <c r="B216" s="3474" t="s">
        <v>3086</v>
      </c>
      <c r="C216" s="3475">
        <v>0.13</v>
      </c>
      <c r="D216" s="3475">
        <v>0.13</v>
      </c>
      <c r="E216" s="3475">
        <v>0.13</v>
      </c>
      <c r="F216" s="3475">
        <v>0.13</v>
      </c>
      <c r="G216" s="3476">
        <v>0.13</v>
      </c>
    </row>
    <row r="217" spans="1:7">
      <c r="A217" s="3485" t="s">
        <v>1153</v>
      </c>
      <c r="B217" s="3474" t="s">
        <v>2906</v>
      </c>
      <c r="C217" s="3475">
        <v>0.129</v>
      </c>
      <c r="D217" s="3475">
        <v>0.129</v>
      </c>
      <c r="E217" s="3475">
        <v>0.13</v>
      </c>
      <c r="F217" s="3475">
        <v>0.13</v>
      </c>
      <c r="G217" s="3476">
        <v>0.13</v>
      </c>
    </row>
    <row r="218" spans="1:7">
      <c r="A218" s="3485" t="s">
        <v>1153</v>
      </c>
      <c r="B218" s="3474" t="s">
        <v>3087</v>
      </c>
      <c r="C218" s="3486"/>
      <c r="D218" s="3486"/>
      <c r="E218" s="3486"/>
      <c r="F218" s="3475">
        <v>0.05</v>
      </c>
      <c r="G218" s="3492"/>
    </row>
    <row r="219" spans="1:7">
      <c r="A219" s="3485" t="s">
        <v>1153</v>
      </c>
      <c r="B219" s="3474" t="s">
        <v>3088</v>
      </c>
      <c r="C219" s="3486"/>
      <c r="D219" s="3486"/>
      <c r="E219" s="3486"/>
      <c r="F219" s="3475">
        <v>0.05</v>
      </c>
      <c r="G219" s="3492"/>
    </row>
    <row r="220" spans="1:7">
      <c r="A220" s="3485" t="s">
        <v>1153</v>
      </c>
      <c r="B220" s="3474" t="s">
        <v>3089</v>
      </c>
      <c r="C220" s="3486"/>
      <c r="D220" s="3486"/>
      <c r="E220" s="3486"/>
      <c r="F220" s="3475">
        <v>0.05</v>
      </c>
      <c r="G220" s="3492"/>
    </row>
    <row r="221" spans="1:7">
      <c r="A221" s="3485" t="s">
        <v>1153</v>
      </c>
      <c r="B221" s="3474" t="s">
        <v>3090</v>
      </c>
      <c r="C221" s="3486"/>
      <c r="D221" s="3486"/>
      <c r="E221" s="3486"/>
      <c r="F221" s="3475">
        <v>0.05</v>
      </c>
      <c r="G221" s="3492"/>
    </row>
    <row r="222" spans="1:7">
      <c r="A222" s="3485" t="s">
        <v>1153</v>
      </c>
      <c r="B222" s="3474" t="s">
        <v>3091</v>
      </c>
      <c r="C222" s="3486"/>
      <c r="D222" s="3486"/>
      <c r="E222" s="3486"/>
      <c r="F222" s="3475">
        <v>0.05</v>
      </c>
      <c r="G222" s="3492"/>
    </row>
    <row r="223" spans="1:7">
      <c r="A223" s="3485" t="s">
        <v>1153</v>
      </c>
      <c r="B223" s="3474" t="s">
        <v>3092</v>
      </c>
      <c r="C223" s="3486"/>
      <c r="D223" s="3486"/>
      <c r="E223" s="3486"/>
      <c r="F223" s="3475">
        <v>0.05</v>
      </c>
      <c r="G223" s="3492"/>
    </row>
    <row r="224" spans="1:7">
      <c r="A224" s="3485" t="s">
        <v>1153</v>
      </c>
      <c r="B224" s="3474" t="s">
        <v>3093</v>
      </c>
      <c r="C224" s="3486"/>
      <c r="D224" s="3486"/>
      <c r="E224" s="3486"/>
      <c r="F224" s="3475">
        <v>0.05</v>
      </c>
      <c r="G224" s="3492"/>
    </row>
    <row r="225" spans="1:7">
      <c r="A225" s="3485" t="s">
        <v>1153</v>
      </c>
      <c r="B225" s="3474" t="s">
        <v>3094</v>
      </c>
      <c r="C225" s="3486"/>
      <c r="D225" s="3486"/>
      <c r="E225" s="3486"/>
      <c r="F225" s="3475">
        <v>0.05</v>
      </c>
      <c r="G225" s="3492"/>
    </row>
    <row r="226" spans="1:7">
      <c r="A226" s="3485" t="s">
        <v>1153</v>
      </c>
      <c r="B226" s="3474" t="s">
        <v>3095</v>
      </c>
      <c r="C226" s="3486"/>
      <c r="D226" s="3486"/>
      <c r="E226" s="3486"/>
      <c r="F226" s="3475">
        <v>0.05</v>
      </c>
      <c r="G226" s="3492"/>
    </row>
    <row r="227" spans="1:7">
      <c r="A227" s="3485" t="s">
        <v>1153</v>
      </c>
      <c r="B227" s="3474" t="s">
        <v>3096</v>
      </c>
      <c r="C227" s="3486"/>
      <c r="D227" s="3486"/>
      <c r="E227" s="3486"/>
      <c r="F227" s="3475">
        <v>0.05</v>
      </c>
      <c r="G227" s="3492"/>
    </row>
    <row r="228" spans="1:7">
      <c r="A228" s="3485" t="s">
        <v>1153</v>
      </c>
      <c r="B228" s="3474" t="s">
        <v>3097</v>
      </c>
      <c r="C228" s="3486"/>
      <c r="D228" s="3486"/>
      <c r="E228" s="3486"/>
      <c r="F228" s="3475">
        <v>0.05</v>
      </c>
      <c r="G228" s="3492"/>
    </row>
    <row r="229" spans="1:7">
      <c r="A229" s="3485" t="s">
        <v>1153</v>
      </c>
      <c r="B229" s="3474" t="s">
        <v>3098</v>
      </c>
      <c r="C229" s="3486"/>
      <c r="D229" s="3486"/>
      <c r="E229" s="3486"/>
      <c r="F229" s="3475">
        <v>0.05</v>
      </c>
      <c r="G229" s="3492"/>
    </row>
    <row r="230" spans="1:7">
      <c r="A230" s="3485" t="s">
        <v>1153</v>
      </c>
      <c r="B230" s="3474" t="s">
        <v>3099</v>
      </c>
      <c r="C230" s="3486"/>
      <c r="D230" s="3486"/>
      <c r="E230" s="3486"/>
      <c r="F230" s="3475">
        <v>0.05</v>
      </c>
      <c r="G230" s="3492"/>
    </row>
    <row r="231" spans="1:7">
      <c r="A231" s="3485" t="s">
        <v>1153</v>
      </c>
      <c r="B231" s="3474" t="s">
        <v>3100</v>
      </c>
      <c r="C231" s="3486"/>
      <c r="D231" s="3486"/>
      <c r="E231" s="3486"/>
      <c r="F231" s="3475">
        <v>0.05</v>
      </c>
      <c r="G231" s="3492"/>
    </row>
    <row r="232" spans="1:7">
      <c r="A232" s="3485" t="s">
        <v>1153</v>
      </c>
      <c r="B232" s="3474" t="s">
        <v>3101</v>
      </c>
      <c r="C232" s="3486"/>
      <c r="D232" s="3486"/>
      <c r="E232" s="3486"/>
      <c r="F232" s="3475">
        <v>0.05</v>
      </c>
      <c r="G232" s="3492"/>
    </row>
    <row r="233" spans="1:7" ht="15" thickBot="1">
      <c r="A233" s="3488" t="s">
        <v>1153</v>
      </c>
      <c r="B233" s="3478" t="s">
        <v>3102</v>
      </c>
      <c r="C233" s="3480"/>
      <c r="D233" s="3480"/>
      <c r="E233" s="3480"/>
      <c r="F233" s="3479">
        <v>0.05</v>
      </c>
      <c r="G233" s="3493"/>
    </row>
    <row r="234" spans="1:7">
      <c r="A234" s="3484" t="s">
        <v>1154</v>
      </c>
      <c r="B234" s="3470" t="s">
        <v>3103</v>
      </c>
      <c r="C234" s="3471">
        <v>0.13</v>
      </c>
      <c r="D234" s="3471">
        <v>0.128</v>
      </c>
      <c r="E234" s="3471">
        <v>0.14199999999999999</v>
      </c>
      <c r="F234" s="3471">
        <v>0.14699999999999999</v>
      </c>
      <c r="G234" s="3472">
        <v>0.14000000000000001</v>
      </c>
    </row>
    <row r="235" spans="1:7">
      <c r="A235" s="3485" t="s">
        <v>1154</v>
      </c>
      <c r="B235" s="3474" t="s">
        <v>978</v>
      </c>
      <c r="C235" s="3475">
        <v>0.13600000000000001</v>
      </c>
      <c r="D235" s="3475">
        <v>0.13800000000000001</v>
      </c>
      <c r="E235" s="3475">
        <v>0.14499999999999999</v>
      </c>
      <c r="F235" s="3475">
        <v>0.14299999999999999</v>
      </c>
      <c r="G235" s="3476">
        <v>0.14099999999999999</v>
      </c>
    </row>
    <row r="236" spans="1:7">
      <c r="A236" s="3485" t="s">
        <v>1154</v>
      </c>
      <c r="B236" s="3474" t="s">
        <v>988</v>
      </c>
      <c r="C236" s="3475">
        <v>0.15</v>
      </c>
      <c r="D236" s="3475">
        <v>0.15</v>
      </c>
      <c r="E236" s="3475">
        <v>0.15</v>
      </c>
      <c r="F236" s="3475">
        <v>0.15</v>
      </c>
      <c r="G236" s="3476">
        <v>0.15</v>
      </c>
    </row>
    <row r="237" spans="1:7">
      <c r="A237" s="3485" t="s">
        <v>1154</v>
      </c>
      <c r="B237" s="3474" t="s">
        <v>997</v>
      </c>
      <c r="C237" s="3475">
        <v>0.15</v>
      </c>
      <c r="D237" s="3475">
        <v>0.15</v>
      </c>
      <c r="E237" s="3475">
        <v>0.15</v>
      </c>
      <c r="F237" s="3475">
        <v>0.15</v>
      </c>
      <c r="G237" s="3476">
        <v>0.15</v>
      </c>
    </row>
    <row r="238" spans="1:7">
      <c r="A238" s="3485" t="s">
        <v>1154</v>
      </c>
      <c r="B238" s="3474" t="s">
        <v>2924</v>
      </c>
      <c r="C238" s="3475">
        <v>0.14899999999999999</v>
      </c>
      <c r="D238" s="3475">
        <v>0.14899999999999999</v>
      </c>
      <c r="E238" s="3475">
        <v>0.15</v>
      </c>
      <c r="F238" s="3475">
        <v>0.15</v>
      </c>
      <c r="G238" s="3476">
        <v>0.15</v>
      </c>
    </row>
    <row r="239" spans="1:7">
      <c r="A239" s="3485" t="s">
        <v>1154</v>
      </c>
      <c r="B239" s="3474" t="s">
        <v>3104</v>
      </c>
      <c r="C239" s="3475">
        <v>0.15</v>
      </c>
      <c r="D239" s="3475">
        <v>0.15</v>
      </c>
      <c r="E239" s="3475">
        <v>0.15</v>
      </c>
      <c r="F239" s="3475">
        <v>0.15</v>
      </c>
      <c r="G239" s="3476">
        <v>0.15</v>
      </c>
    </row>
    <row r="240" spans="1:7">
      <c r="A240" s="3485" t="s">
        <v>1154</v>
      </c>
      <c r="B240" s="3474" t="s">
        <v>3105</v>
      </c>
      <c r="C240" s="3475">
        <v>0.15</v>
      </c>
      <c r="D240" s="3475">
        <v>0.15</v>
      </c>
      <c r="E240" s="3475">
        <v>0.15</v>
      </c>
      <c r="F240" s="3475">
        <v>0.15</v>
      </c>
      <c r="G240" s="3476">
        <v>0.15</v>
      </c>
    </row>
    <row r="241" spans="1:7">
      <c r="A241" s="3485" t="s">
        <v>1154</v>
      </c>
      <c r="B241" s="3474" t="s">
        <v>3106</v>
      </c>
      <c r="C241" s="3475">
        <v>0.14099999999999999</v>
      </c>
      <c r="D241" s="3475">
        <v>0.14199999999999999</v>
      </c>
      <c r="E241" s="3475">
        <v>0.14899999999999999</v>
      </c>
      <c r="F241" s="3475">
        <v>0.15</v>
      </c>
      <c r="G241" s="3476">
        <v>0.14399999999999999</v>
      </c>
    </row>
    <row r="242" spans="1:7">
      <c r="A242" s="3485" t="s">
        <v>1154</v>
      </c>
      <c r="B242" s="3474" t="s">
        <v>1027</v>
      </c>
      <c r="C242" s="3475">
        <v>0.14099999999999999</v>
      </c>
      <c r="D242" s="3475">
        <v>0.14199999999999999</v>
      </c>
      <c r="E242" s="3475">
        <v>0.14799999999999999</v>
      </c>
      <c r="F242" s="3475">
        <v>0.127</v>
      </c>
      <c r="G242" s="3476">
        <v>0.14399999999999999</v>
      </c>
    </row>
    <row r="243" spans="1:7">
      <c r="A243" s="3485" t="s">
        <v>1154</v>
      </c>
      <c r="B243" s="3474" t="s">
        <v>1037</v>
      </c>
      <c r="C243" s="3475">
        <v>0.14699999999999999</v>
      </c>
      <c r="D243" s="3475">
        <v>0.14699999999999999</v>
      </c>
      <c r="E243" s="3475">
        <v>0.15</v>
      </c>
      <c r="F243" s="3475">
        <v>0.15</v>
      </c>
      <c r="G243" s="3476">
        <v>0.14899999999999999</v>
      </c>
    </row>
    <row r="244" spans="1:7">
      <c r="A244" s="3485" t="s">
        <v>1154</v>
      </c>
      <c r="B244" s="3474" t="s">
        <v>3107</v>
      </c>
      <c r="C244" s="3475">
        <v>0.15</v>
      </c>
      <c r="D244" s="3475">
        <v>0.15</v>
      </c>
      <c r="E244" s="3475">
        <v>0.15</v>
      </c>
      <c r="F244" s="3475">
        <v>0.15</v>
      </c>
      <c r="G244" s="3476">
        <v>0.15</v>
      </c>
    </row>
    <row r="245" spans="1:7">
      <c r="A245" s="3485" t="s">
        <v>1154</v>
      </c>
      <c r="B245" s="3474" t="s">
        <v>1052</v>
      </c>
      <c r="C245" s="3475">
        <v>0.14199999999999999</v>
      </c>
      <c r="D245" s="3475">
        <v>0.14199999999999999</v>
      </c>
      <c r="E245" s="3475">
        <v>0.15</v>
      </c>
      <c r="F245" s="3475">
        <v>0.15</v>
      </c>
      <c r="G245" s="3476">
        <v>0.14499999999999999</v>
      </c>
    </row>
    <row r="246" spans="1:7">
      <c r="A246" s="3485" t="s">
        <v>1154</v>
      </c>
      <c r="B246" s="3474" t="s">
        <v>1059</v>
      </c>
      <c r="C246" s="3475">
        <v>0.14199999999999999</v>
      </c>
      <c r="D246" s="3475">
        <v>0.14299999999999999</v>
      </c>
      <c r="E246" s="3475">
        <v>0.15</v>
      </c>
      <c r="F246" s="3475">
        <v>0.14199999999999999</v>
      </c>
      <c r="G246" s="3476">
        <v>0.14399999999999999</v>
      </c>
    </row>
    <row r="247" spans="1:7">
      <c r="A247" s="3485" t="s">
        <v>1154</v>
      </c>
      <c r="B247" s="3474" t="s">
        <v>3108</v>
      </c>
      <c r="C247" s="3475">
        <v>0.14899999999999999</v>
      </c>
      <c r="D247" s="3475">
        <v>0.14899999999999999</v>
      </c>
      <c r="E247" s="3475">
        <v>0.15</v>
      </c>
      <c r="F247" s="3475">
        <v>0.15</v>
      </c>
      <c r="G247" s="3476">
        <v>0.15</v>
      </c>
    </row>
    <row r="248" spans="1:7">
      <c r="A248" s="3485" t="s">
        <v>1154</v>
      </c>
      <c r="B248" s="3474" t="s">
        <v>1074</v>
      </c>
      <c r="C248" s="3475">
        <v>0.14399999999999999</v>
      </c>
      <c r="D248" s="3475">
        <v>0.14399999999999999</v>
      </c>
      <c r="E248" s="3475">
        <v>0.14899999999999999</v>
      </c>
      <c r="F248" s="3475">
        <v>0.14799999999999999</v>
      </c>
      <c r="G248" s="3476">
        <v>0.14599999999999999</v>
      </c>
    </row>
    <row r="249" spans="1:7">
      <c r="A249" s="3485" t="s">
        <v>1154</v>
      </c>
      <c r="B249" s="3474" t="s">
        <v>3109</v>
      </c>
      <c r="C249" s="3475">
        <v>0.14000000000000001</v>
      </c>
      <c r="D249" s="3475">
        <v>0.14000000000000001</v>
      </c>
      <c r="E249" s="3475">
        <v>0.14699999999999999</v>
      </c>
      <c r="F249" s="3475">
        <v>0.14899999999999999</v>
      </c>
      <c r="G249" s="3476">
        <v>0.14199999999999999</v>
      </c>
    </row>
    <row r="250" spans="1:7">
      <c r="A250" s="3485" t="s">
        <v>1154</v>
      </c>
      <c r="B250" s="3474" t="s">
        <v>1088</v>
      </c>
      <c r="C250" s="3475">
        <v>0.14399999999999999</v>
      </c>
      <c r="D250" s="3475">
        <v>0.14299999999999999</v>
      </c>
      <c r="E250" s="3475">
        <v>0.14899999999999999</v>
      </c>
      <c r="F250" s="3475">
        <v>0.15</v>
      </c>
      <c r="G250" s="3476">
        <v>0.14599999999999999</v>
      </c>
    </row>
    <row r="251" spans="1:7">
      <c r="A251" s="3485" t="s">
        <v>1154</v>
      </c>
      <c r="B251" s="3474" t="s">
        <v>1096</v>
      </c>
      <c r="C251" s="3491"/>
      <c r="D251" s="3486"/>
      <c r="E251" s="3486"/>
      <c r="F251" s="3475">
        <v>0.1</v>
      </c>
      <c r="G251" s="3492"/>
    </row>
    <row r="252" spans="1:7">
      <c r="A252" s="3485" t="s">
        <v>1154</v>
      </c>
      <c r="B252" s="3474" t="s">
        <v>3110</v>
      </c>
      <c r="C252" s="3475">
        <v>0.14399999999999999</v>
      </c>
      <c r="D252" s="3475">
        <v>0.14399999999999999</v>
      </c>
      <c r="E252" s="3475">
        <v>0.15</v>
      </c>
      <c r="F252" s="3475">
        <v>0.14899999999999999</v>
      </c>
      <c r="G252" s="3476">
        <v>0.14599999999999999</v>
      </c>
    </row>
    <row r="253" spans="1:7">
      <c r="A253" s="3485" t="s">
        <v>1154</v>
      </c>
      <c r="B253" s="3474" t="s">
        <v>1131</v>
      </c>
      <c r="C253" s="3475">
        <v>0.14199999999999999</v>
      </c>
      <c r="D253" s="3475">
        <v>0.14199999999999999</v>
      </c>
      <c r="E253" s="3475">
        <v>0.14599999999999999</v>
      </c>
      <c r="F253" s="3475">
        <v>0.14799999999999999</v>
      </c>
      <c r="G253" s="3476">
        <v>0.14499999999999999</v>
      </c>
    </row>
    <row r="254" spans="1:7">
      <c r="A254" s="3485" t="s">
        <v>1154</v>
      </c>
      <c r="B254" s="3474" t="s">
        <v>1134</v>
      </c>
      <c r="C254" s="3475">
        <v>0.15</v>
      </c>
      <c r="D254" s="3475">
        <v>0.15</v>
      </c>
      <c r="E254" s="3475">
        <v>0.15</v>
      </c>
      <c r="F254" s="3475">
        <v>0.15</v>
      </c>
      <c r="G254" s="3476">
        <v>0.15</v>
      </c>
    </row>
    <row r="255" spans="1:7">
      <c r="A255" s="3485" t="s">
        <v>1154</v>
      </c>
      <c r="B255" s="3474" t="s">
        <v>1137</v>
      </c>
      <c r="C255" s="3475">
        <v>0.14299999999999999</v>
      </c>
      <c r="D255" s="3475">
        <v>0.14299999999999999</v>
      </c>
      <c r="E255" s="3475">
        <v>0.15</v>
      </c>
      <c r="F255" s="3475">
        <v>0.15</v>
      </c>
      <c r="G255" s="3476">
        <v>0.14499999999999999</v>
      </c>
    </row>
    <row r="256" spans="1:7">
      <c r="A256" s="3485" t="s">
        <v>1154</v>
      </c>
      <c r="B256" s="3474" t="s">
        <v>3111</v>
      </c>
      <c r="C256" s="3475">
        <v>0.15</v>
      </c>
      <c r="D256" s="3475">
        <v>0.15</v>
      </c>
      <c r="E256" s="3475">
        <v>0.15</v>
      </c>
      <c r="F256" s="3475">
        <v>0.14599999999999999</v>
      </c>
      <c r="G256" s="3476">
        <v>0.15</v>
      </c>
    </row>
    <row r="257" spans="1:7">
      <c r="A257" s="3485" t="s">
        <v>1154</v>
      </c>
      <c r="B257" s="3474" t="s">
        <v>1123</v>
      </c>
      <c r="C257" s="3475">
        <v>0.14199999999999999</v>
      </c>
      <c r="D257" s="3475">
        <v>0.14299999999999999</v>
      </c>
      <c r="E257" s="3475">
        <v>0.14799999999999999</v>
      </c>
      <c r="F257" s="3475">
        <v>0.15</v>
      </c>
      <c r="G257" s="3476">
        <v>0.14499999999999999</v>
      </c>
    </row>
    <row r="258" spans="1:7">
      <c r="A258" s="3485" t="s">
        <v>1154</v>
      </c>
      <c r="B258" s="3474" t="s">
        <v>2933</v>
      </c>
      <c r="C258" s="3475">
        <v>0.14299999999999999</v>
      </c>
      <c r="D258" s="3475">
        <v>0.14299999999999999</v>
      </c>
      <c r="E258" s="3475">
        <v>0.15</v>
      </c>
      <c r="F258" s="3475">
        <v>0.14799999999999999</v>
      </c>
      <c r="G258" s="3476">
        <v>0.14599999999999999</v>
      </c>
    </row>
    <row r="259" spans="1:7">
      <c r="A259" s="3485" t="s">
        <v>1154</v>
      </c>
      <c r="B259" s="3474" t="s">
        <v>3112</v>
      </c>
      <c r="C259" s="3475">
        <v>0.14399999999999999</v>
      </c>
      <c r="D259" s="3475">
        <v>0.14399999999999999</v>
      </c>
      <c r="E259" s="3475">
        <v>0.14899999999999999</v>
      </c>
      <c r="F259" s="3475">
        <v>0.14699999999999999</v>
      </c>
      <c r="G259" s="3476">
        <v>0.14599999999999999</v>
      </c>
    </row>
    <row r="260" spans="1:7">
      <c r="A260" s="3485" t="s">
        <v>1154</v>
      </c>
      <c r="B260" s="3474" t="s">
        <v>3113</v>
      </c>
      <c r="C260" s="3475">
        <v>0.109</v>
      </c>
      <c r="D260" s="3475">
        <v>0.111</v>
      </c>
      <c r="E260" s="3475">
        <v>0.13100000000000001</v>
      </c>
      <c r="F260" s="3475">
        <v>0.126</v>
      </c>
      <c r="G260" s="3476">
        <v>0.11899999999999999</v>
      </c>
    </row>
    <row r="261" spans="1:7">
      <c r="A261" s="3485" t="s">
        <v>1154</v>
      </c>
      <c r="B261" s="3474" t="s">
        <v>3114</v>
      </c>
      <c r="C261" s="3475">
        <v>0.1</v>
      </c>
      <c r="D261" s="3475">
        <v>0.1</v>
      </c>
      <c r="E261" s="3475">
        <v>0.11799999999999999</v>
      </c>
      <c r="F261" s="3475">
        <v>0.108</v>
      </c>
      <c r="G261" s="3476">
        <v>0.107</v>
      </c>
    </row>
    <row r="262" spans="1:7">
      <c r="A262" s="3485" t="s">
        <v>1154</v>
      </c>
      <c r="B262" s="3474" t="s">
        <v>3115</v>
      </c>
      <c r="C262" s="3475">
        <v>0.1</v>
      </c>
      <c r="D262" s="3475">
        <v>0.1</v>
      </c>
      <c r="E262" s="3475">
        <v>0.1</v>
      </c>
      <c r="F262" s="3475">
        <v>0.14099999999999999</v>
      </c>
      <c r="G262" s="3476">
        <v>0.1</v>
      </c>
    </row>
    <row r="263" spans="1:7">
      <c r="A263" s="3485" t="s">
        <v>1154</v>
      </c>
      <c r="B263" s="3474" t="s">
        <v>3116</v>
      </c>
      <c r="C263" s="3475">
        <v>0.14799999999999999</v>
      </c>
      <c r="D263" s="3475">
        <v>0.14799999999999999</v>
      </c>
      <c r="E263" s="3475">
        <v>0.15</v>
      </c>
      <c r="F263" s="3475">
        <v>0.14699999999999999</v>
      </c>
      <c r="G263" s="3476">
        <v>0.15</v>
      </c>
    </row>
    <row r="264" spans="1:7">
      <c r="A264" s="3485" t="s">
        <v>1154</v>
      </c>
      <c r="B264" s="3474" t="s">
        <v>1147</v>
      </c>
      <c r="C264" s="3475">
        <v>0.14299999999999999</v>
      </c>
      <c r="D264" s="3475">
        <v>0.14299999999999999</v>
      </c>
      <c r="E264" s="3475">
        <v>0.15</v>
      </c>
      <c r="F264" s="3475">
        <v>0.14899999999999999</v>
      </c>
      <c r="G264" s="3476">
        <v>0.14599999999999999</v>
      </c>
    </row>
    <row r="265" spans="1:7">
      <c r="A265" s="3485" t="s">
        <v>1154</v>
      </c>
      <c r="B265" s="3474" t="s">
        <v>3117</v>
      </c>
      <c r="C265" s="3486"/>
      <c r="D265" s="3486"/>
      <c r="E265" s="3486"/>
      <c r="F265" s="3475">
        <v>0.05</v>
      </c>
      <c r="G265" s="3492"/>
    </row>
    <row r="266" spans="1:7">
      <c r="A266" s="3485" t="s">
        <v>1154</v>
      </c>
      <c r="B266" s="3474" t="s">
        <v>3118</v>
      </c>
      <c r="C266" s="3486"/>
      <c r="D266" s="3486"/>
      <c r="E266" s="3486"/>
      <c r="F266" s="3475">
        <v>0.05</v>
      </c>
      <c r="G266" s="3492"/>
    </row>
    <row r="267" spans="1:7">
      <c r="A267" s="3485" t="s">
        <v>1154</v>
      </c>
      <c r="B267" s="3474" t="s">
        <v>3119</v>
      </c>
      <c r="C267" s="3486"/>
      <c r="D267" s="3486"/>
      <c r="E267" s="3486"/>
      <c r="F267" s="3475">
        <v>0.05</v>
      </c>
      <c r="G267" s="3492"/>
    </row>
    <row r="268" spans="1:7">
      <c r="A268" s="3485" t="s">
        <v>1154</v>
      </c>
      <c r="B268" s="3474" t="s">
        <v>3120</v>
      </c>
      <c r="C268" s="3486"/>
      <c r="D268" s="3486"/>
      <c r="E268" s="3486"/>
      <c r="F268" s="3475">
        <v>0.05</v>
      </c>
      <c r="G268" s="3492"/>
    </row>
    <row r="269" spans="1:7">
      <c r="A269" s="3485" t="s">
        <v>1154</v>
      </c>
      <c r="B269" s="3474" t="s">
        <v>3121</v>
      </c>
      <c r="C269" s="3486"/>
      <c r="D269" s="3486"/>
      <c r="E269" s="3486"/>
      <c r="F269" s="3475">
        <v>0.05</v>
      </c>
      <c r="G269" s="3492"/>
    </row>
    <row r="270" spans="1:7">
      <c r="A270" s="3485" t="s">
        <v>1154</v>
      </c>
      <c r="B270" s="3474" t="s">
        <v>3122</v>
      </c>
      <c r="C270" s="3486"/>
      <c r="D270" s="3486"/>
      <c r="E270" s="3486"/>
      <c r="F270" s="3475">
        <v>0.05</v>
      </c>
      <c r="G270" s="3492"/>
    </row>
    <row r="271" spans="1:7">
      <c r="A271" s="3485" t="s">
        <v>1154</v>
      </c>
      <c r="B271" s="3474" t="s">
        <v>3123</v>
      </c>
      <c r="C271" s="3486"/>
      <c r="D271" s="3486"/>
      <c r="E271" s="3486"/>
      <c r="F271" s="3475">
        <v>0.05</v>
      </c>
      <c r="G271" s="3492"/>
    </row>
    <row r="272" spans="1:7">
      <c r="A272" s="3485" t="s">
        <v>1154</v>
      </c>
      <c r="B272" s="3474" t="s">
        <v>3124</v>
      </c>
      <c r="C272" s="3486"/>
      <c r="D272" s="3486"/>
      <c r="E272" s="3486"/>
      <c r="F272" s="3475">
        <v>0.05</v>
      </c>
      <c r="G272" s="3492"/>
    </row>
    <row r="273" spans="1:7">
      <c r="A273" s="3485" t="s">
        <v>1154</v>
      </c>
      <c r="B273" s="3474" t="s">
        <v>3125</v>
      </c>
      <c r="C273" s="3486"/>
      <c r="D273" s="3486"/>
      <c r="E273" s="3486"/>
      <c r="F273" s="3475">
        <v>0.05</v>
      </c>
      <c r="G273" s="3492"/>
    </row>
    <row r="274" spans="1:7">
      <c r="A274" s="3485" t="s">
        <v>1154</v>
      </c>
      <c r="B274" s="3474" t="s">
        <v>3126</v>
      </c>
      <c r="C274" s="3486"/>
      <c r="D274" s="3486"/>
      <c r="E274" s="3486"/>
      <c r="F274" s="3475">
        <v>0.05</v>
      </c>
      <c r="G274" s="3492"/>
    </row>
    <row r="275" spans="1:7">
      <c r="A275" s="3485" t="s">
        <v>1154</v>
      </c>
      <c r="B275" s="3474" t="s">
        <v>3127</v>
      </c>
      <c r="C275" s="3486"/>
      <c r="D275" s="3486"/>
      <c r="E275" s="3486"/>
      <c r="F275" s="3475">
        <v>0.05</v>
      </c>
      <c r="G275" s="3492"/>
    </row>
    <row r="276" spans="1:7" ht="15" thickBot="1">
      <c r="A276" s="3488" t="s">
        <v>1154</v>
      </c>
      <c r="B276" s="3478" t="s">
        <v>3128</v>
      </c>
      <c r="C276" s="3480"/>
      <c r="D276" s="3480"/>
      <c r="E276" s="3480"/>
      <c r="F276" s="3479">
        <v>0.05</v>
      </c>
      <c r="G276" s="3493"/>
    </row>
    <row r="277" spans="1:7">
      <c r="A277" s="3484" t="s">
        <v>1155</v>
      </c>
      <c r="B277" s="3470" t="s">
        <v>3129</v>
      </c>
      <c r="C277" s="3471">
        <v>0.15</v>
      </c>
      <c r="D277" s="3471">
        <v>0.15</v>
      </c>
      <c r="E277" s="3471">
        <v>0.15</v>
      </c>
      <c r="F277" s="3471">
        <v>0.15</v>
      </c>
      <c r="G277" s="3472">
        <v>0.15</v>
      </c>
    </row>
    <row r="278" spans="1:7">
      <c r="A278" s="3485" t="s">
        <v>1155</v>
      </c>
      <c r="B278" s="3474" t="s">
        <v>979</v>
      </c>
      <c r="C278" s="3475">
        <v>0.15</v>
      </c>
      <c r="D278" s="3475">
        <v>0.15</v>
      </c>
      <c r="E278" s="3475">
        <v>0.15</v>
      </c>
      <c r="F278" s="3475">
        <v>0.15</v>
      </c>
      <c r="G278" s="3476">
        <v>0.15</v>
      </c>
    </row>
    <row r="279" spans="1:7">
      <c r="A279" s="3485" t="s">
        <v>1155</v>
      </c>
      <c r="B279" s="3474" t="s">
        <v>3130</v>
      </c>
      <c r="C279" s="3475">
        <v>0.15</v>
      </c>
      <c r="D279" s="3475">
        <v>0.15</v>
      </c>
      <c r="E279" s="3475">
        <v>0.15</v>
      </c>
      <c r="F279" s="3475">
        <v>0.15</v>
      </c>
      <c r="G279" s="3476">
        <v>0.15</v>
      </c>
    </row>
    <row r="280" spans="1:7">
      <c r="A280" s="3485" t="s">
        <v>1155</v>
      </c>
      <c r="B280" s="3474" t="s">
        <v>3131</v>
      </c>
      <c r="C280" s="3475">
        <v>0.15</v>
      </c>
      <c r="D280" s="3475">
        <v>0.15</v>
      </c>
      <c r="E280" s="3475">
        <v>0.15</v>
      </c>
      <c r="F280" s="3475">
        <v>0.15</v>
      </c>
      <c r="G280" s="3476">
        <v>0.15</v>
      </c>
    </row>
    <row r="281" spans="1:7">
      <c r="A281" s="3485" t="s">
        <v>1155</v>
      </c>
      <c r="B281" s="3474" t="s">
        <v>3132</v>
      </c>
      <c r="C281" s="3475">
        <v>0.15</v>
      </c>
      <c r="D281" s="3475">
        <v>0.15</v>
      </c>
      <c r="E281" s="3475">
        <v>0.15</v>
      </c>
      <c r="F281" s="3475">
        <v>0.15</v>
      </c>
      <c r="G281" s="3476">
        <v>0.15</v>
      </c>
    </row>
    <row r="282" spans="1:7">
      <c r="A282" s="3485" t="s">
        <v>1155</v>
      </c>
      <c r="B282" s="3474" t="s">
        <v>3133</v>
      </c>
      <c r="C282" s="3475">
        <v>0.15</v>
      </c>
      <c r="D282" s="3475">
        <v>0.15</v>
      </c>
      <c r="E282" s="3475">
        <v>0.15</v>
      </c>
      <c r="F282" s="3475">
        <v>0.14499999999999999</v>
      </c>
      <c r="G282" s="3476">
        <v>0.15</v>
      </c>
    </row>
    <row r="283" spans="1:7">
      <c r="A283" s="3485" t="s">
        <v>1155</v>
      </c>
      <c r="B283" s="3474" t="s">
        <v>1020</v>
      </c>
      <c r="C283" s="3475">
        <v>0.15</v>
      </c>
      <c r="D283" s="3475">
        <v>0.15</v>
      </c>
      <c r="E283" s="3475">
        <v>0.15</v>
      </c>
      <c r="F283" s="3475">
        <v>0.14199999999999999</v>
      </c>
      <c r="G283" s="3476">
        <v>0.15</v>
      </c>
    </row>
    <row r="284" spans="1:7">
      <c r="A284" s="3485" t="s">
        <v>1155</v>
      </c>
      <c r="B284" s="3474" t="s">
        <v>1028</v>
      </c>
      <c r="C284" s="3475">
        <v>0.15</v>
      </c>
      <c r="D284" s="3475">
        <v>0.15</v>
      </c>
      <c r="E284" s="3475">
        <v>0.15</v>
      </c>
      <c r="F284" s="3475">
        <v>0.15</v>
      </c>
      <c r="G284" s="3476">
        <v>0.15</v>
      </c>
    </row>
    <row r="285" spans="1:7">
      <c r="A285" s="3485" t="s">
        <v>1155</v>
      </c>
      <c r="B285" s="3474" t="s">
        <v>1038</v>
      </c>
      <c r="C285" s="3475">
        <v>0.15</v>
      </c>
      <c r="D285" s="3475">
        <v>0.15</v>
      </c>
      <c r="E285" s="3475">
        <v>0.15</v>
      </c>
      <c r="F285" s="3475">
        <v>0.15</v>
      </c>
      <c r="G285" s="3476">
        <v>0.15</v>
      </c>
    </row>
    <row r="286" spans="1:7">
      <c r="A286" s="3485" t="s">
        <v>1155</v>
      </c>
      <c r="B286" s="3474" t="s">
        <v>1045</v>
      </c>
      <c r="C286" s="3475">
        <v>0.14499999999999999</v>
      </c>
      <c r="D286" s="3475">
        <v>0.14499999999999999</v>
      </c>
      <c r="E286" s="3475">
        <v>0.15</v>
      </c>
      <c r="F286" s="3475">
        <v>0.14099999999999999</v>
      </c>
      <c r="G286" s="3476">
        <v>0.14499999999999999</v>
      </c>
    </row>
    <row r="287" spans="1:7">
      <c r="A287" s="3485" t="s">
        <v>1155</v>
      </c>
      <c r="B287" s="3474" t="s">
        <v>3134</v>
      </c>
      <c r="C287" s="3475">
        <v>0.11</v>
      </c>
      <c r="D287" s="3475">
        <v>0.111</v>
      </c>
      <c r="E287" s="3475">
        <v>0.14099999999999999</v>
      </c>
      <c r="F287" s="3475">
        <v>0.11</v>
      </c>
      <c r="G287" s="3476">
        <v>0.12</v>
      </c>
    </row>
    <row r="288" spans="1:7">
      <c r="A288" s="3485" t="s">
        <v>1155</v>
      </c>
      <c r="B288" s="3474" t="s">
        <v>1066</v>
      </c>
      <c r="C288" s="3475">
        <v>0.14199999999999999</v>
      </c>
      <c r="D288" s="3475">
        <v>0.14299999999999999</v>
      </c>
      <c r="E288" s="3475">
        <v>0.15</v>
      </c>
      <c r="F288" s="3475">
        <v>0.14199999999999999</v>
      </c>
      <c r="G288" s="3476">
        <v>0.14399999999999999</v>
      </c>
    </row>
    <row r="289" spans="1:7">
      <c r="A289" s="3485" t="s">
        <v>1155</v>
      </c>
      <c r="B289" s="3474" t="s">
        <v>3135</v>
      </c>
      <c r="C289" s="3475">
        <v>0.14299999999999999</v>
      </c>
      <c r="D289" s="3475">
        <v>0.14299999999999999</v>
      </c>
      <c r="E289" s="3475">
        <v>0.14799999999999999</v>
      </c>
      <c r="F289" s="3475">
        <v>0.14399999999999999</v>
      </c>
      <c r="G289" s="3476">
        <v>0.14399999999999999</v>
      </c>
    </row>
    <row r="290" spans="1:7">
      <c r="A290" s="3485" t="s">
        <v>1155</v>
      </c>
      <c r="B290" s="3474" t="s">
        <v>1089</v>
      </c>
      <c r="C290" s="3475">
        <v>0.14799999999999999</v>
      </c>
      <c r="D290" s="3475">
        <v>0.14899999999999999</v>
      </c>
      <c r="E290" s="3475">
        <v>0.15</v>
      </c>
      <c r="F290" s="3475">
        <v>0.127</v>
      </c>
      <c r="G290" s="3476">
        <v>0.15</v>
      </c>
    </row>
    <row r="291" spans="1:7">
      <c r="A291" s="3485" t="s">
        <v>1155</v>
      </c>
      <c r="B291" s="3474" t="s">
        <v>1097</v>
      </c>
      <c r="C291" s="3475">
        <v>0.15</v>
      </c>
      <c r="D291" s="3475">
        <v>0.15</v>
      </c>
      <c r="E291" s="3475">
        <v>0.15</v>
      </c>
      <c r="F291" s="3475">
        <v>0.14899999999999999</v>
      </c>
      <c r="G291" s="3476">
        <v>0.15</v>
      </c>
    </row>
    <row r="292" spans="1:7">
      <c r="A292" s="3485" t="s">
        <v>1155</v>
      </c>
      <c r="B292" s="3474" t="s">
        <v>1103</v>
      </c>
      <c r="C292" s="3475">
        <v>0.15</v>
      </c>
      <c r="D292" s="3475">
        <v>0.15</v>
      </c>
      <c r="E292" s="3475">
        <v>0.15</v>
      </c>
      <c r="F292" s="3475">
        <v>0.14399999999999999</v>
      </c>
      <c r="G292" s="3476">
        <v>0.15</v>
      </c>
    </row>
    <row r="293" spans="1:7">
      <c r="A293" s="3485" t="s">
        <v>1155</v>
      </c>
      <c r="B293" s="3474" t="s">
        <v>2958</v>
      </c>
      <c r="C293" s="3475">
        <v>0.15</v>
      </c>
      <c r="D293" s="3475">
        <v>0.15</v>
      </c>
      <c r="E293" s="3475">
        <v>0.15</v>
      </c>
      <c r="F293" s="3475">
        <v>0.14499999999999999</v>
      </c>
      <c r="G293" s="3476">
        <v>0.15</v>
      </c>
    </row>
    <row r="294" spans="1:7">
      <c r="A294" s="3485" t="s">
        <v>1155</v>
      </c>
      <c r="B294" s="3474" t="s">
        <v>3136</v>
      </c>
      <c r="C294" s="3475">
        <v>0.15</v>
      </c>
      <c r="D294" s="3475">
        <v>0.15</v>
      </c>
      <c r="E294" s="3475">
        <v>0.15</v>
      </c>
      <c r="F294" s="3475">
        <v>0.14899999999999999</v>
      </c>
      <c r="G294" s="3476">
        <v>0.15</v>
      </c>
    </row>
    <row r="295" spans="1:7">
      <c r="A295" s="3485" t="s">
        <v>1155</v>
      </c>
      <c r="B295" s="3474" t="s">
        <v>1138</v>
      </c>
      <c r="C295" s="3475">
        <v>0.15</v>
      </c>
      <c r="D295" s="3475">
        <v>0.15</v>
      </c>
      <c r="E295" s="3475">
        <v>0.15</v>
      </c>
      <c r="F295" s="3475">
        <v>0.14799999999999999</v>
      </c>
      <c r="G295" s="3476">
        <v>0.15</v>
      </c>
    </row>
    <row r="296" spans="1:7">
      <c r="A296" s="3485" t="s">
        <v>1155</v>
      </c>
      <c r="B296" s="3474" t="s">
        <v>1141</v>
      </c>
      <c r="C296" s="3475">
        <v>0.15</v>
      </c>
      <c r="D296" s="3475">
        <v>0.15</v>
      </c>
      <c r="E296" s="3475">
        <v>0.15</v>
      </c>
      <c r="F296" s="3475">
        <v>0.14399999999999999</v>
      </c>
      <c r="G296" s="3476">
        <v>0.15</v>
      </c>
    </row>
    <row r="297" spans="1:7">
      <c r="A297" s="3485" t="s">
        <v>1155</v>
      </c>
      <c r="B297" s="3474" t="s">
        <v>1143</v>
      </c>
      <c r="C297" s="3475">
        <v>0.15</v>
      </c>
      <c r="D297" s="3475">
        <v>0.15</v>
      </c>
      <c r="E297" s="3475">
        <v>0.15</v>
      </c>
      <c r="F297" s="3475">
        <v>0.14499999999999999</v>
      </c>
      <c r="G297" s="3476">
        <v>0.15</v>
      </c>
    </row>
    <row r="298" spans="1:7">
      <c r="A298" s="3485" t="s">
        <v>1155</v>
      </c>
      <c r="B298" s="3474" t="s">
        <v>1146</v>
      </c>
      <c r="C298" s="3475">
        <v>0.15</v>
      </c>
      <c r="D298" s="3475">
        <v>0.15</v>
      </c>
      <c r="E298" s="3475">
        <v>0.15</v>
      </c>
      <c r="F298" s="3475">
        <v>0.15</v>
      </c>
      <c r="G298" s="3476">
        <v>0.15</v>
      </c>
    </row>
    <row r="299" spans="1:7">
      <c r="A299" s="3485" t="s">
        <v>1155</v>
      </c>
      <c r="B299" s="3494" t="s">
        <v>2960</v>
      </c>
      <c r="C299" s="3475">
        <v>0.15</v>
      </c>
      <c r="D299" s="3475">
        <v>0.15</v>
      </c>
      <c r="E299" s="3475">
        <v>0.15</v>
      </c>
      <c r="F299" s="3475">
        <v>0.14499999999999999</v>
      </c>
      <c r="G299" s="3476">
        <v>0.15</v>
      </c>
    </row>
    <row r="300" spans="1:7">
      <c r="A300" s="3485" t="s">
        <v>1155</v>
      </c>
      <c r="B300" s="3494" t="s">
        <v>1118</v>
      </c>
      <c r="C300" s="3475">
        <v>0.15</v>
      </c>
      <c r="D300" s="3475">
        <v>0.15</v>
      </c>
      <c r="E300" s="3475">
        <v>0.15</v>
      </c>
      <c r="F300" s="3475">
        <v>0.14599999999999999</v>
      </c>
      <c r="G300" s="3476">
        <v>0.15</v>
      </c>
    </row>
    <row r="301" spans="1:7">
      <c r="A301" s="3485" t="s">
        <v>1155</v>
      </c>
      <c r="B301" s="3494" t="s">
        <v>1124</v>
      </c>
      <c r="C301" s="3475">
        <v>0.126</v>
      </c>
      <c r="D301" s="3475">
        <v>0.124</v>
      </c>
      <c r="E301" s="3475">
        <v>0.14099999999999999</v>
      </c>
      <c r="F301" s="3475">
        <v>0.14399999999999999</v>
      </c>
      <c r="G301" s="3476">
        <v>0.13</v>
      </c>
    </row>
    <row r="302" spans="1:7">
      <c r="A302" s="3485" t="s">
        <v>1155</v>
      </c>
      <c r="B302" s="3474" t="s">
        <v>3137</v>
      </c>
      <c r="C302" s="3475">
        <v>0.15</v>
      </c>
      <c r="D302" s="3475">
        <v>0.15</v>
      </c>
      <c r="E302" s="3475">
        <v>0.15</v>
      </c>
      <c r="F302" s="3475">
        <v>0.14699999999999999</v>
      </c>
      <c r="G302" s="3476">
        <v>0.15</v>
      </c>
    </row>
    <row r="303" spans="1:7">
      <c r="A303" s="3485" t="s">
        <v>1155</v>
      </c>
      <c r="B303" s="3474" t="s">
        <v>2962</v>
      </c>
      <c r="C303" s="3475">
        <v>0.15</v>
      </c>
      <c r="D303" s="3475">
        <v>0.15</v>
      </c>
      <c r="E303" s="3475">
        <v>0.15</v>
      </c>
      <c r="F303" s="3475">
        <v>0.14199999999999999</v>
      </c>
      <c r="G303" s="3476">
        <v>0.15</v>
      </c>
    </row>
    <row r="304" spans="1:7">
      <c r="A304" s="3485" t="s">
        <v>1155</v>
      </c>
      <c r="B304" s="3474" t="s">
        <v>2963</v>
      </c>
      <c r="C304" s="3475">
        <v>0.15</v>
      </c>
      <c r="D304" s="3475">
        <v>0.15</v>
      </c>
      <c r="E304" s="3475">
        <v>0.15</v>
      </c>
      <c r="F304" s="3475">
        <v>0.14499999999999999</v>
      </c>
      <c r="G304" s="3476">
        <v>0.15</v>
      </c>
    </row>
    <row r="305" spans="1:7">
      <c r="A305" s="3485" t="s">
        <v>1155</v>
      </c>
      <c r="B305" s="3474" t="s">
        <v>2964</v>
      </c>
      <c r="C305" s="3475">
        <v>0.15</v>
      </c>
      <c r="D305" s="3475">
        <v>0.15</v>
      </c>
      <c r="E305" s="3475">
        <v>0.15</v>
      </c>
      <c r="F305" s="3475">
        <v>0.111</v>
      </c>
      <c r="G305" s="3476">
        <v>0.15</v>
      </c>
    </row>
    <row r="306" spans="1:7">
      <c r="A306" s="3485" t="s">
        <v>1155</v>
      </c>
      <c r="B306" s="3474" t="s">
        <v>3138</v>
      </c>
      <c r="C306" s="3475">
        <v>0.15</v>
      </c>
      <c r="D306" s="3475">
        <v>0.15</v>
      </c>
      <c r="E306" s="3475">
        <v>0.15</v>
      </c>
      <c r="F306" s="3475">
        <v>0.126</v>
      </c>
      <c r="G306" s="3476">
        <v>0.15</v>
      </c>
    </row>
    <row r="307" spans="1:7">
      <c r="A307" s="3485" t="s">
        <v>1155</v>
      </c>
      <c r="B307" s="3474" t="s">
        <v>2966</v>
      </c>
      <c r="C307" s="3475">
        <v>0.15</v>
      </c>
      <c r="D307" s="3475">
        <v>0.15</v>
      </c>
      <c r="E307" s="3475">
        <v>0.15</v>
      </c>
      <c r="F307" s="3475">
        <v>0.12</v>
      </c>
      <c r="G307" s="3476">
        <v>0.15</v>
      </c>
    </row>
    <row r="308" spans="1:7">
      <c r="A308" s="3485" t="s">
        <v>1155</v>
      </c>
      <c r="B308" s="3474" t="s">
        <v>3139</v>
      </c>
      <c r="C308" s="3475">
        <v>0.15</v>
      </c>
      <c r="D308" s="3475">
        <v>0.15</v>
      </c>
      <c r="E308" s="3475">
        <v>0.15</v>
      </c>
      <c r="F308" s="3475">
        <v>0.13</v>
      </c>
      <c r="G308" s="3476">
        <v>0.15</v>
      </c>
    </row>
    <row r="309" spans="1:7">
      <c r="A309" s="3485" t="s">
        <v>1155</v>
      </c>
      <c r="B309" s="3474" t="s">
        <v>3140</v>
      </c>
      <c r="C309" s="3475">
        <v>0.15</v>
      </c>
      <c r="D309" s="3475">
        <v>0.15</v>
      </c>
      <c r="E309" s="3475">
        <v>0.15</v>
      </c>
      <c r="F309" s="3475">
        <v>0.14099999999999999</v>
      </c>
      <c r="G309" s="3476">
        <v>0.15</v>
      </c>
    </row>
    <row r="310" spans="1:7">
      <c r="A310" s="3485" t="s">
        <v>1155</v>
      </c>
      <c r="B310" s="3474" t="s">
        <v>2969</v>
      </c>
      <c r="C310" s="3475">
        <v>0.15</v>
      </c>
      <c r="D310" s="3475">
        <v>0.15</v>
      </c>
      <c r="E310" s="3475">
        <v>0.15</v>
      </c>
      <c r="F310" s="3475">
        <v>0.15</v>
      </c>
      <c r="G310" s="3476">
        <v>0.15</v>
      </c>
    </row>
    <row r="311" spans="1:7">
      <c r="A311" s="3485" t="s">
        <v>1155</v>
      </c>
      <c r="B311" s="3474" t="s">
        <v>3141</v>
      </c>
      <c r="C311" s="3475">
        <v>0.13200000000000001</v>
      </c>
      <c r="D311" s="3475">
        <v>0.13300000000000001</v>
      </c>
      <c r="E311" s="3475">
        <v>0.14499999999999999</v>
      </c>
      <c r="F311" s="3475">
        <v>0.14199999999999999</v>
      </c>
      <c r="G311" s="3476">
        <v>0.14000000000000001</v>
      </c>
    </row>
    <row r="312" spans="1:7">
      <c r="A312" s="3485" t="s">
        <v>1155</v>
      </c>
      <c r="B312" s="3474" t="s">
        <v>2971</v>
      </c>
      <c r="C312" s="3475">
        <v>0.13800000000000001</v>
      </c>
      <c r="D312" s="3475">
        <v>0.14000000000000001</v>
      </c>
      <c r="E312" s="3475">
        <v>0.14599999999999999</v>
      </c>
      <c r="F312" s="3475">
        <v>0.14899999999999999</v>
      </c>
      <c r="G312" s="3476">
        <v>0.14199999999999999</v>
      </c>
    </row>
    <row r="313" spans="1:7">
      <c r="A313" s="3485" t="s">
        <v>1155</v>
      </c>
      <c r="B313" s="3474" t="s">
        <v>2972</v>
      </c>
      <c r="C313" s="3475">
        <v>0.125</v>
      </c>
      <c r="D313" s="3475">
        <v>0.127</v>
      </c>
      <c r="E313" s="3475">
        <v>0.14399999999999999</v>
      </c>
      <c r="F313" s="3475">
        <v>0.115</v>
      </c>
      <c r="G313" s="3476">
        <v>0.13600000000000001</v>
      </c>
    </row>
    <row r="314" spans="1:7">
      <c r="A314" s="3485" t="s">
        <v>1155</v>
      </c>
      <c r="B314" s="3474" t="s">
        <v>3142</v>
      </c>
      <c r="C314" s="3491"/>
      <c r="D314" s="3491"/>
      <c r="E314" s="3491"/>
      <c r="F314" s="3475">
        <v>0.05</v>
      </c>
      <c r="G314" s="3492"/>
    </row>
    <row r="315" spans="1:7">
      <c r="A315" s="3485" t="s">
        <v>1155</v>
      </c>
      <c r="B315" s="3474" t="s">
        <v>3143</v>
      </c>
      <c r="C315" s="3491"/>
      <c r="D315" s="3491"/>
      <c r="E315" s="3491"/>
      <c r="F315" s="3475">
        <v>0.05</v>
      </c>
      <c r="G315" s="3492"/>
    </row>
    <row r="316" spans="1:7">
      <c r="A316" s="3485" t="s">
        <v>1155</v>
      </c>
      <c r="B316" s="3474" t="s">
        <v>3144</v>
      </c>
      <c r="C316" s="3486"/>
      <c r="D316" s="3486"/>
      <c r="E316" s="3486"/>
      <c r="F316" s="3475">
        <v>0.05</v>
      </c>
      <c r="G316" s="3492"/>
    </row>
    <row r="317" spans="1:7">
      <c r="A317" s="3485" t="s">
        <v>1155</v>
      </c>
      <c r="B317" s="3474" t="s">
        <v>3145</v>
      </c>
      <c r="C317" s="3486"/>
      <c r="D317" s="3486"/>
      <c r="E317" s="3486"/>
      <c r="F317" s="3475">
        <v>0.05</v>
      </c>
      <c r="G317" s="3492"/>
    </row>
    <row r="318" spans="1:7">
      <c r="A318" s="3485" t="s">
        <v>1155</v>
      </c>
      <c r="B318" s="3474" t="s">
        <v>3146</v>
      </c>
      <c r="C318" s="3486"/>
      <c r="D318" s="3486"/>
      <c r="E318" s="3486"/>
      <c r="F318" s="3475">
        <v>0.05</v>
      </c>
      <c r="G318" s="3492"/>
    </row>
    <row r="319" spans="1:7">
      <c r="A319" s="3485" t="s">
        <v>1155</v>
      </c>
      <c r="B319" s="3474" t="s">
        <v>3147</v>
      </c>
      <c r="C319" s="3486"/>
      <c r="D319" s="3486"/>
      <c r="E319" s="3486"/>
      <c r="F319" s="3475">
        <v>0.05</v>
      </c>
      <c r="G319" s="3492"/>
    </row>
    <row r="320" spans="1:7">
      <c r="A320" s="3485" t="s">
        <v>1155</v>
      </c>
      <c r="B320" s="3474" t="s">
        <v>3148</v>
      </c>
      <c r="C320" s="3486"/>
      <c r="D320" s="3486"/>
      <c r="E320" s="3486"/>
      <c r="F320" s="3475">
        <v>0.05</v>
      </c>
      <c r="G320" s="3492"/>
    </row>
    <row r="321" spans="1:7">
      <c r="A321" s="3485" t="s">
        <v>1155</v>
      </c>
      <c r="B321" s="3474" t="s">
        <v>3149</v>
      </c>
      <c r="C321" s="3486"/>
      <c r="D321" s="3486"/>
      <c r="E321" s="3486"/>
      <c r="F321" s="3475">
        <v>0.05</v>
      </c>
      <c r="G321" s="3492"/>
    </row>
    <row r="322" spans="1:7">
      <c r="A322" s="3485" t="s">
        <v>1155</v>
      </c>
      <c r="B322" s="3474" t="s">
        <v>3150</v>
      </c>
      <c r="C322" s="3486"/>
      <c r="D322" s="3486"/>
      <c r="E322" s="3486"/>
      <c r="F322" s="3475">
        <v>0.05</v>
      </c>
      <c r="G322" s="3492"/>
    </row>
    <row r="323" spans="1:7">
      <c r="A323" s="3485" t="s">
        <v>1155</v>
      </c>
      <c r="B323" s="3474" t="s">
        <v>3151</v>
      </c>
      <c r="C323" s="3486"/>
      <c r="D323" s="3486"/>
      <c r="E323" s="3486"/>
      <c r="F323" s="3475">
        <v>0.05</v>
      </c>
      <c r="G323" s="3492"/>
    </row>
    <row r="324" spans="1:7">
      <c r="A324" s="3485" t="s">
        <v>1155</v>
      </c>
      <c r="B324" s="3474" t="s">
        <v>3152</v>
      </c>
      <c r="C324" s="3486"/>
      <c r="D324" s="3486"/>
      <c r="E324" s="3486"/>
      <c r="F324" s="3475">
        <v>0.05</v>
      </c>
      <c r="G324" s="3492"/>
    </row>
    <row r="325" spans="1:7">
      <c r="A325" s="3485" t="s">
        <v>1155</v>
      </c>
      <c r="B325" s="3474" t="s">
        <v>3153</v>
      </c>
      <c r="C325" s="3486"/>
      <c r="D325" s="3486"/>
      <c r="E325" s="3486"/>
      <c r="F325" s="3475">
        <v>0.05</v>
      </c>
      <c r="G325" s="3492"/>
    </row>
    <row r="326" spans="1:7" ht="15" thickBot="1">
      <c r="A326" s="3488" t="s">
        <v>1155</v>
      </c>
      <c r="B326" s="3478" t="s">
        <v>3154</v>
      </c>
      <c r="C326" s="3480"/>
      <c r="D326" s="3480"/>
      <c r="E326" s="3480"/>
      <c r="F326" s="3479">
        <v>0.05</v>
      </c>
      <c r="G326" s="3493"/>
    </row>
    <row r="327" spans="1:7">
      <c r="A327" s="3484" t="s">
        <v>1156</v>
      </c>
      <c r="B327" s="3470" t="s">
        <v>3155</v>
      </c>
      <c r="C327" s="3471">
        <v>0.15</v>
      </c>
      <c r="D327" s="3471">
        <v>0.15</v>
      </c>
      <c r="E327" s="3471">
        <v>0.15</v>
      </c>
      <c r="F327" s="3471">
        <v>0.15</v>
      </c>
      <c r="G327" s="3472">
        <v>0.15</v>
      </c>
    </row>
    <row r="328" spans="1:7">
      <c r="A328" s="3485" t="s">
        <v>1156</v>
      </c>
      <c r="B328" s="3474" t="s">
        <v>980</v>
      </c>
      <c r="C328" s="3475">
        <v>0.15</v>
      </c>
      <c r="D328" s="3475">
        <v>0.15</v>
      </c>
      <c r="E328" s="3475">
        <v>0.15</v>
      </c>
      <c r="F328" s="3475">
        <v>0.126</v>
      </c>
      <c r="G328" s="3476">
        <v>0.15</v>
      </c>
    </row>
    <row r="329" spans="1:7">
      <c r="A329" s="3485" t="s">
        <v>1156</v>
      </c>
      <c r="B329" s="3474" t="s">
        <v>3156</v>
      </c>
      <c r="C329" s="3475">
        <v>0.15</v>
      </c>
      <c r="D329" s="3475">
        <v>0.15</v>
      </c>
      <c r="E329" s="3475">
        <v>0.15</v>
      </c>
      <c r="F329" s="3475">
        <v>0.15</v>
      </c>
      <c r="G329" s="3476">
        <v>0.15</v>
      </c>
    </row>
    <row r="330" spans="1:7">
      <c r="A330" s="3485" t="s">
        <v>1156</v>
      </c>
      <c r="B330" s="3474" t="s">
        <v>3157</v>
      </c>
      <c r="C330" s="3475">
        <v>0.15</v>
      </c>
      <c r="D330" s="3475">
        <v>0.15</v>
      </c>
      <c r="E330" s="3475">
        <v>0.15</v>
      </c>
      <c r="F330" s="3475">
        <v>0.15</v>
      </c>
      <c r="G330" s="3476">
        <v>0.15</v>
      </c>
    </row>
    <row r="331" spans="1:7">
      <c r="A331" s="3485" t="s">
        <v>1156</v>
      </c>
      <c r="B331" s="3474" t="s">
        <v>1007</v>
      </c>
      <c r="C331" s="3475">
        <v>0.15</v>
      </c>
      <c r="D331" s="3475">
        <v>0.15</v>
      </c>
      <c r="E331" s="3475">
        <v>0.15</v>
      </c>
      <c r="F331" s="3475">
        <v>0.15</v>
      </c>
      <c r="G331" s="3476">
        <v>0.15</v>
      </c>
    </row>
    <row r="332" spans="1:7">
      <c r="A332" s="3485" t="s">
        <v>1156</v>
      </c>
      <c r="B332" s="3474" t="s">
        <v>2989</v>
      </c>
      <c r="C332" s="3475">
        <v>0.15</v>
      </c>
      <c r="D332" s="3475">
        <v>0.15</v>
      </c>
      <c r="E332" s="3475">
        <v>0.15</v>
      </c>
      <c r="F332" s="3475">
        <v>0.15</v>
      </c>
      <c r="G332" s="3476">
        <v>0.15</v>
      </c>
    </row>
    <row r="333" spans="1:7">
      <c r="A333" s="3485" t="s">
        <v>1156</v>
      </c>
      <c r="B333" s="3474" t="s">
        <v>3158</v>
      </c>
      <c r="C333" s="3475">
        <v>0.14899999999999999</v>
      </c>
      <c r="D333" s="3475">
        <v>0.14899999999999999</v>
      </c>
      <c r="E333" s="3475">
        <v>0.15</v>
      </c>
      <c r="F333" s="3475">
        <v>0.11600000000000001</v>
      </c>
      <c r="G333" s="3476">
        <v>0.15</v>
      </c>
    </row>
    <row r="334" spans="1:7">
      <c r="A334" s="3485" t="s">
        <v>1156</v>
      </c>
      <c r="B334" s="3474" t="s">
        <v>1029</v>
      </c>
      <c r="C334" s="3475">
        <v>0.15</v>
      </c>
      <c r="D334" s="3475">
        <v>0.15</v>
      </c>
      <c r="E334" s="3475">
        <v>0.15</v>
      </c>
      <c r="F334" s="3475">
        <v>0.13</v>
      </c>
      <c r="G334" s="3476">
        <v>0.15</v>
      </c>
    </row>
    <row r="335" spans="1:7">
      <c r="A335" s="3485" t="s">
        <v>1156</v>
      </c>
      <c r="B335" s="3474" t="s">
        <v>1039</v>
      </c>
      <c r="C335" s="3475">
        <v>0.15</v>
      </c>
      <c r="D335" s="3475">
        <v>0.15</v>
      </c>
      <c r="E335" s="3475">
        <v>0.15</v>
      </c>
      <c r="F335" s="3475">
        <v>0.14399999999999999</v>
      </c>
      <c r="G335" s="3476">
        <v>0.15</v>
      </c>
    </row>
    <row r="336" spans="1:7">
      <c r="A336" s="3485" t="s">
        <v>1156</v>
      </c>
      <c r="B336" s="3474" t="s">
        <v>2991</v>
      </c>
      <c r="C336" s="3475">
        <v>0.15</v>
      </c>
      <c r="D336" s="3475">
        <v>0.15</v>
      </c>
      <c r="E336" s="3475">
        <v>0.15</v>
      </c>
      <c r="F336" s="3475">
        <v>0.14199999999999999</v>
      </c>
      <c r="G336" s="3476">
        <v>0.15</v>
      </c>
    </row>
    <row r="337" spans="1:7">
      <c r="A337" s="3485" t="s">
        <v>1156</v>
      </c>
      <c r="B337" s="3474" t="s">
        <v>3159</v>
      </c>
      <c r="C337" s="3475">
        <v>0.15</v>
      </c>
      <c r="D337" s="3475">
        <v>0.15</v>
      </c>
      <c r="E337" s="3475">
        <v>0.15</v>
      </c>
      <c r="F337" s="3475">
        <v>0.14499999999999999</v>
      </c>
      <c r="G337" s="3476">
        <v>0.15</v>
      </c>
    </row>
    <row r="338" spans="1:7">
      <c r="A338" s="3485" t="s">
        <v>1156</v>
      </c>
      <c r="B338" s="3474" t="s">
        <v>1067</v>
      </c>
      <c r="C338" s="3475">
        <v>0.15</v>
      </c>
      <c r="D338" s="3475">
        <v>0.15</v>
      </c>
      <c r="E338" s="3475">
        <v>0.15</v>
      </c>
      <c r="F338" s="3475">
        <v>0.15</v>
      </c>
      <c r="G338" s="3476">
        <v>0.15</v>
      </c>
    </row>
    <row r="339" spans="1:7">
      <c r="A339" s="3485" t="s">
        <v>1156</v>
      </c>
      <c r="B339" s="3474" t="s">
        <v>1075</v>
      </c>
      <c r="C339" s="3475">
        <v>0.15</v>
      </c>
      <c r="D339" s="3475">
        <v>0.15</v>
      </c>
      <c r="E339" s="3475">
        <v>0.15</v>
      </c>
      <c r="F339" s="3475">
        <v>0.14699999999999999</v>
      </c>
      <c r="G339" s="3476">
        <v>0.15</v>
      </c>
    </row>
    <row r="340" spans="1:7">
      <c r="A340" s="3485" t="s">
        <v>1156</v>
      </c>
      <c r="B340" s="3474" t="s">
        <v>3160</v>
      </c>
      <c r="C340" s="3475">
        <v>0.14599999999999999</v>
      </c>
      <c r="D340" s="3475">
        <v>0.14599999999999999</v>
      </c>
      <c r="E340" s="3475">
        <v>0.15</v>
      </c>
      <c r="F340" s="3475">
        <v>0.14099999999999999</v>
      </c>
      <c r="G340" s="3476">
        <v>0.14699999999999999</v>
      </c>
    </row>
    <row r="341" spans="1:7">
      <c r="A341" s="3485" t="s">
        <v>1156</v>
      </c>
      <c r="B341" s="3474" t="s">
        <v>1053</v>
      </c>
      <c r="C341" s="3475">
        <v>0.126</v>
      </c>
      <c r="D341" s="3475">
        <v>0.124</v>
      </c>
      <c r="E341" s="3475">
        <v>0.14099999999999999</v>
      </c>
      <c r="F341" s="3475">
        <v>0.14399999999999999</v>
      </c>
      <c r="G341" s="3476">
        <v>0.13</v>
      </c>
    </row>
    <row r="342" spans="1:7">
      <c r="A342" s="3485" t="s">
        <v>1156</v>
      </c>
      <c r="B342" s="3474" t="s">
        <v>3161</v>
      </c>
      <c r="C342" s="3475">
        <v>0.15</v>
      </c>
      <c r="D342" s="3475">
        <v>0.15</v>
      </c>
      <c r="E342" s="3475">
        <v>0.15</v>
      </c>
      <c r="F342" s="3475">
        <v>0.14399999999999999</v>
      </c>
      <c r="G342" s="3476">
        <v>0.15</v>
      </c>
    </row>
    <row r="343" spans="1:7">
      <c r="A343" s="3485" t="s">
        <v>1156</v>
      </c>
      <c r="B343" s="3474" t="s">
        <v>1104</v>
      </c>
      <c r="C343" s="3475">
        <v>0.15</v>
      </c>
      <c r="D343" s="3475">
        <v>0.15</v>
      </c>
      <c r="E343" s="3475">
        <v>0.15</v>
      </c>
      <c r="F343" s="3475">
        <v>0.128</v>
      </c>
      <c r="G343" s="3476">
        <v>0.15</v>
      </c>
    </row>
    <row r="344" spans="1:7">
      <c r="A344" s="3485" t="s">
        <v>1156</v>
      </c>
      <c r="B344" s="3474" t="s">
        <v>1112</v>
      </c>
      <c r="C344" s="3475">
        <v>0.15</v>
      </c>
      <c r="D344" s="3475">
        <v>0.15</v>
      </c>
      <c r="E344" s="3475">
        <v>0.15</v>
      </c>
      <c r="F344" s="3475">
        <v>0.14799999999999999</v>
      </c>
      <c r="G344" s="3476">
        <v>0.15</v>
      </c>
    </row>
    <row r="345" spans="1:7">
      <c r="A345" s="3485" t="s">
        <v>1156</v>
      </c>
      <c r="B345" s="3474" t="s">
        <v>2995</v>
      </c>
      <c r="C345" s="3475">
        <v>0.15</v>
      </c>
      <c r="D345" s="3475">
        <v>0.15</v>
      </c>
      <c r="E345" s="3475">
        <v>0.15</v>
      </c>
      <c r="F345" s="3475">
        <v>0.13800000000000001</v>
      </c>
      <c r="G345" s="3476">
        <v>0.15</v>
      </c>
    </row>
    <row r="346" spans="1:7">
      <c r="A346" s="3485" t="s">
        <v>1156</v>
      </c>
      <c r="B346" s="3474" t="s">
        <v>3162</v>
      </c>
      <c r="C346" s="3475">
        <v>0.15</v>
      </c>
      <c r="D346" s="3475">
        <v>0.15</v>
      </c>
      <c r="E346" s="3475">
        <v>0.15</v>
      </c>
      <c r="F346" s="3475">
        <v>0.14399999999999999</v>
      </c>
      <c r="G346" s="3476">
        <v>0.15</v>
      </c>
    </row>
    <row r="347" spans="1:7">
      <c r="A347" s="3485" t="s">
        <v>1156</v>
      </c>
      <c r="B347" s="3474" t="s">
        <v>1090</v>
      </c>
      <c r="C347" s="3475">
        <v>0.15</v>
      </c>
      <c r="D347" s="3475">
        <v>0.15</v>
      </c>
      <c r="E347" s="3475">
        <v>0.15</v>
      </c>
      <c r="F347" s="3475">
        <v>0.14599999999999999</v>
      </c>
      <c r="G347" s="3476">
        <v>0.15</v>
      </c>
    </row>
    <row r="348" spans="1:7">
      <c r="A348" s="3485" t="s">
        <v>1156</v>
      </c>
      <c r="B348" s="3474" t="s">
        <v>2997</v>
      </c>
      <c r="C348" s="3475">
        <v>0.15</v>
      </c>
      <c r="D348" s="3475">
        <v>0.15</v>
      </c>
      <c r="E348" s="3475">
        <v>0.15</v>
      </c>
      <c r="F348" s="3475">
        <v>0.14399999999999999</v>
      </c>
      <c r="G348" s="3476">
        <v>0.15</v>
      </c>
    </row>
    <row r="349" spans="1:7">
      <c r="A349" s="3485" t="s">
        <v>1156</v>
      </c>
      <c r="B349" s="3474" t="s">
        <v>2998</v>
      </c>
      <c r="C349" s="3475">
        <v>0.15</v>
      </c>
      <c r="D349" s="3475">
        <v>0.15</v>
      </c>
      <c r="E349" s="3475">
        <v>0.15</v>
      </c>
      <c r="F349" s="3475">
        <v>0.15</v>
      </c>
      <c r="G349" s="3476">
        <v>0.15</v>
      </c>
    </row>
    <row r="350" spans="1:7">
      <c r="A350" s="3485" t="s">
        <v>1156</v>
      </c>
      <c r="B350" s="3474" t="s">
        <v>3163</v>
      </c>
      <c r="C350" s="3475">
        <v>0.15</v>
      </c>
      <c r="D350" s="3475">
        <v>0.15</v>
      </c>
      <c r="E350" s="3475">
        <v>0.15</v>
      </c>
      <c r="F350" s="3475">
        <v>0.14699999999999999</v>
      </c>
      <c r="G350" s="3476">
        <v>0.15</v>
      </c>
    </row>
    <row r="351" spans="1:7">
      <c r="A351" s="3485" t="s">
        <v>1156</v>
      </c>
      <c r="B351" s="3474" t="s">
        <v>3000</v>
      </c>
      <c r="C351" s="3475">
        <v>0.15</v>
      </c>
      <c r="D351" s="3475">
        <v>0.15</v>
      </c>
      <c r="E351" s="3475">
        <v>0.15</v>
      </c>
      <c r="F351" s="3475">
        <v>0.13</v>
      </c>
      <c r="G351" s="3476">
        <v>0.15</v>
      </c>
    </row>
    <row r="352" spans="1:7">
      <c r="A352" s="3485" t="s">
        <v>1156</v>
      </c>
      <c r="B352" s="3474" t="s">
        <v>3001</v>
      </c>
      <c r="C352" s="3475">
        <v>0.15</v>
      </c>
      <c r="D352" s="3475">
        <v>0.15</v>
      </c>
      <c r="E352" s="3475">
        <v>0.15</v>
      </c>
      <c r="F352" s="3475">
        <v>0.14599999999999999</v>
      </c>
      <c r="G352" s="3476">
        <v>0.15</v>
      </c>
    </row>
    <row r="353" spans="1:7">
      <c r="A353" s="3485" t="s">
        <v>1156</v>
      </c>
      <c r="B353" s="3474" t="s">
        <v>3164</v>
      </c>
      <c r="C353" s="3475">
        <v>0.15</v>
      </c>
      <c r="D353" s="3475">
        <v>0.15</v>
      </c>
      <c r="E353" s="3475">
        <v>0.15</v>
      </c>
      <c r="F353" s="3475">
        <v>0.14499999999999999</v>
      </c>
      <c r="G353" s="3476">
        <v>0.15</v>
      </c>
    </row>
    <row r="354" spans="1:7">
      <c r="A354" s="3485" t="s">
        <v>1156</v>
      </c>
      <c r="B354" s="3474" t="s">
        <v>1128</v>
      </c>
      <c r="C354" s="3475">
        <v>0.15</v>
      </c>
      <c r="D354" s="3475">
        <v>0.15</v>
      </c>
      <c r="E354" s="3475">
        <v>0.15</v>
      </c>
      <c r="F354" s="3475">
        <v>0.14099999999999999</v>
      </c>
      <c r="G354" s="3476">
        <v>0.15</v>
      </c>
    </row>
    <row r="355" spans="1:7">
      <c r="A355" s="3485" t="s">
        <v>1156</v>
      </c>
      <c r="B355" s="3474" t="s">
        <v>3003</v>
      </c>
      <c r="C355" s="3475">
        <v>0.15</v>
      </c>
      <c r="D355" s="3475">
        <v>0.15</v>
      </c>
      <c r="E355" s="3475">
        <v>0.15</v>
      </c>
      <c r="F355" s="3475">
        <v>0.15</v>
      </c>
      <c r="G355" s="3476">
        <v>0.15</v>
      </c>
    </row>
    <row r="356" spans="1:7">
      <c r="A356" s="3485" t="s">
        <v>1156</v>
      </c>
      <c r="B356" s="3474" t="s">
        <v>3004</v>
      </c>
      <c r="C356" s="3475">
        <v>0.15</v>
      </c>
      <c r="D356" s="3475">
        <v>0.15</v>
      </c>
      <c r="E356" s="3475">
        <v>0.15</v>
      </c>
      <c r="F356" s="3475">
        <v>0.15</v>
      </c>
      <c r="G356" s="3476">
        <v>0.15</v>
      </c>
    </row>
    <row r="357" spans="1:7" ht="15" thickBot="1">
      <c r="A357" s="3488" t="s">
        <v>1156</v>
      </c>
      <c r="B357" s="3478" t="s">
        <v>3165</v>
      </c>
      <c r="C357" s="3479">
        <v>0.126</v>
      </c>
      <c r="D357" s="3479">
        <v>0.127</v>
      </c>
      <c r="E357" s="3479">
        <v>0.14299999999999999</v>
      </c>
      <c r="F357" s="3479">
        <v>0.125</v>
      </c>
      <c r="G357" s="3481">
        <v>0.129</v>
      </c>
    </row>
    <row r="358" spans="1:7">
      <c r="A358" s="3484" t="s">
        <v>3166</v>
      </c>
      <c r="B358" s="3470" t="s">
        <v>3167</v>
      </c>
      <c r="C358" s="3471">
        <v>0.15</v>
      </c>
      <c r="D358" s="3471">
        <v>0.15</v>
      </c>
      <c r="E358" s="3471">
        <v>0.15</v>
      </c>
      <c r="F358" s="3471">
        <v>0.15</v>
      </c>
      <c r="G358" s="3472">
        <v>0.15</v>
      </c>
    </row>
    <row r="359" spans="1:7">
      <c r="A359" s="3485" t="s">
        <v>3166</v>
      </c>
      <c r="B359" s="3474" t="s">
        <v>3168</v>
      </c>
      <c r="C359" s="3475">
        <v>0.1</v>
      </c>
      <c r="D359" s="3475">
        <v>0.1</v>
      </c>
      <c r="E359" s="3475">
        <v>0.1</v>
      </c>
      <c r="F359" s="3475">
        <v>0.1</v>
      </c>
      <c r="G359" s="3476">
        <v>0.1</v>
      </c>
    </row>
    <row r="360" spans="1:7">
      <c r="A360" s="3485" t="s">
        <v>3166</v>
      </c>
      <c r="B360" s="3474" t="s">
        <v>3169</v>
      </c>
      <c r="C360" s="3475">
        <v>0.15</v>
      </c>
      <c r="D360" s="3475">
        <v>0.15</v>
      </c>
      <c r="E360" s="3475">
        <v>0.15</v>
      </c>
      <c r="F360" s="3475">
        <v>0.14899999999999999</v>
      </c>
      <c r="G360" s="3476">
        <v>0.15</v>
      </c>
    </row>
    <row r="361" spans="1:7">
      <c r="A361" s="3485" t="s">
        <v>3166</v>
      </c>
      <c r="B361" s="3474" t="s">
        <v>998</v>
      </c>
      <c r="C361" s="3475">
        <v>0.15</v>
      </c>
      <c r="D361" s="3475">
        <v>0.15</v>
      </c>
      <c r="E361" s="3475">
        <v>0.15</v>
      </c>
      <c r="F361" s="3475">
        <v>0.115</v>
      </c>
      <c r="G361" s="3476">
        <v>0.15</v>
      </c>
    </row>
    <row r="362" spans="1:7">
      <c r="A362" s="3485" t="s">
        <v>3166</v>
      </c>
      <c r="B362" s="3474" t="s">
        <v>3170</v>
      </c>
      <c r="C362" s="3475">
        <v>0.15</v>
      </c>
      <c r="D362" s="3475">
        <v>0.15</v>
      </c>
      <c r="E362" s="3475">
        <v>0.15</v>
      </c>
      <c r="F362" s="3475">
        <v>0.106</v>
      </c>
      <c r="G362" s="3476">
        <v>0.15</v>
      </c>
    </row>
    <row r="363" spans="1:7">
      <c r="A363" s="3485" t="s">
        <v>3166</v>
      </c>
      <c r="B363" s="3474" t="s">
        <v>3010</v>
      </c>
      <c r="C363" s="3475">
        <v>0.15</v>
      </c>
      <c r="D363" s="3475">
        <v>0.15</v>
      </c>
      <c r="E363" s="3475">
        <v>0.15</v>
      </c>
      <c r="F363" s="3475">
        <v>0.14699999999999999</v>
      </c>
      <c r="G363" s="3476">
        <v>0.15</v>
      </c>
    </row>
    <row r="364" spans="1:7">
      <c r="A364" s="3485" t="s">
        <v>3166</v>
      </c>
      <c r="B364" s="3474" t="s">
        <v>3171</v>
      </c>
      <c r="C364" s="3475">
        <v>0.15</v>
      </c>
      <c r="D364" s="3475">
        <v>0.15</v>
      </c>
      <c r="E364" s="3475">
        <v>0.15</v>
      </c>
      <c r="F364" s="3475">
        <v>0.14799999999999999</v>
      </c>
      <c r="G364" s="3476">
        <v>0.15</v>
      </c>
    </row>
    <row r="365" spans="1:7">
      <c r="A365" s="3485" t="s">
        <v>3166</v>
      </c>
      <c r="B365" s="3474" t="s">
        <v>1046</v>
      </c>
      <c r="C365" s="3475">
        <v>0.15</v>
      </c>
      <c r="D365" s="3475">
        <v>0.15</v>
      </c>
      <c r="E365" s="3475">
        <v>0.15</v>
      </c>
      <c r="F365" s="3475">
        <v>0.15</v>
      </c>
      <c r="G365" s="3476">
        <v>0.15</v>
      </c>
    </row>
    <row r="366" spans="1:7">
      <c r="A366" s="3485" t="s">
        <v>3166</v>
      </c>
      <c r="B366" s="3474" t="s">
        <v>3012</v>
      </c>
      <c r="C366" s="3475">
        <v>0.15</v>
      </c>
      <c r="D366" s="3475">
        <v>0.15</v>
      </c>
      <c r="E366" s="3475">
        <v>0.15</v>
      </c>
      <c r="F366" s="3475">
        <v>0.15</v>
      </c>
      <c r="G366" s="3476">
        <v>0.15</v>
      </c>
    </row>
    <row r="367" spans="1:7">
      <c r="A367" s="3485" t="s">
        <v>3166</v>
      </c>
      <c r="B367" s="3474" t="s">
        <v>3172</v>
      </c>
      <c r="C367" s="3475">
        <v>0.15</v>
      </c>
      <c r="D367" s="3475">
        <v>0.15</v>
      </c>
      <c r="E367" s="3475">
        <v>0.15</v>
      </c>
      <c r="F367" s="3475">
        <v>0.14699999999999999</v>
      </c>
      <c r="G367" s="3476">
        <v>0.15</v>
      </c>
    </row>
    <row r="368" spans="1:7">
      <c r="A368" s="3485" t="s">
        <v>3166</v>
      </c>
      <c r="B368" s="3474" t="s">
        <v>3173</v>
      </c>
      <c r="C368" s="3475">
        <v>0.15</v>
      </c>
      <c r="D368" s="3475">
        <v>0.15</v>
      </c>
      <c r="E368" s="3475">
        <v>0.15</v>
      </c>
      <c r="F368" s="3475">
        <v>0.13600000000000001</v>
      </c>
      <c r="G368" s="3476">
        <v>0.15</v>
      </c>
    </row>
    <row r="369" spans="1:7">
      <c r="A369" s="3485" t="s">
        <v>3166</v>
      </c>
      <c r="B369" s="3474" t="s">
        <v>1060</v>
      </c>
      <c r="C369" s="3475">
        <v>0.15</v>
      </c>
      <c r="D369" s="3475">
        <v>0.15</v>
      </c>
      <c r="E369" s="3475">
        <v>0.15</v>
      </c>
      <c r="F369" s="3475">
        <v>0.14399999999999999</v>
      </c>
      <c r="G369" s="3476">
        <v>0.15</v>
      </c>
    </row>
    <row r="370" spans="1:7">
      <c r="A370" s="3485" t="s">
        <v>3166</v>
      </c>
      <c r="B370" s="3474" t="s">
        <v>1068</v>
      </c>
      <c r="C370" s="3475">
        <v>0.15</v>
      </c>
      <c r="D370" s="3475">
        <v>0.15</v>
      </c>
      <c r="E370" s="3475">
        <v>0.15</v>
      </c>
      <c r="F370" s="3475">
        <v>0.14599999999999999</v>
      </c>
      <c r="G370" s="3476">
        <v>0.15</v>
      </c>
    </row>
    <row r="371" spans="1:7">
      <c r="A371" s="3485" t="s">
        <v>3166</v>
      </c>
      <c r="B371" s="3474" t="s">
        <v>1076</v>
      </c>
      <c r="C371" s="3475">
        <v>0.15</v>
      </c>
      <c r="D371" s="3475">
        <v>0.15</v>
      </c>
      <c r="E371" s="3475">
        <v>0.15</v>
      </c>
      <c r="F371" s="3475">
        <v>0.12</v>
      </c>
      <c r="G371" s="3476">
        <v>0.15</v>
      </c>
    </row>
    <row r="372" spans="1:7">
      <c r="A372" s="3485" t="s">
        <v>3166</v>
      </c>
      <c r="B372" s="3474" t="s">
        <v>3174</v>
      </c>
      <c r="C372" s="3475">
        <v>0.15</v>
      </c>
      <c r="D372" s="3475">
        <v>0.15</v>
      </c>
      <c r="E372" s="3475">
        <v>0.15</v>
      </c>
      <c r="F372" s="3475">
        <v>0.14299999999999999</v>
      </c>
      <c r="G372" s="3476">
        <v>0.15</v>
      </c>
    </row>
    <row r="373" spans="1:7">
      <c r="A373" s="3485" t="s">
        <v>3166</v>
      </c>
      <c r="B373" s="3474" t="s">
        <v>1105</v>
      </c>
      <c r="C373" s="3475">
        <v>0.15</v>
      </c>
      <c r="D373" s="3475">
        <v>0.15</v>
      </c>
      <c r="E373" s="3475">
        <v>0.15</v>
      </c>
      <c r="F373" s="3475">
        <v>0.14599999999999999</v>
      </c>
      <c r="G373" s="3476">
        <v>0.15</v>
      </c>
    </row>
    <row r="374" spans="1:7">
      <c r="A374" s="3485" t="s">
        <v>3166</v>
      </c>
      <c r="B374" s="3474" t="s">
        <v>1113</v>
      </c>
      <c r="C374" s="3475">
        <v>0.15</v>
      </c>
      <c r="D374" s="3475">
        <v>0.15</v>
      </c>
      <c r="E374" s="3475">
        <v>0.15</v>
      </c>
      <c r="F374" s="3475">
        <v>0.14399999999999999</v>
      </c>
      <c r="G374" s="3476">
        <v>0.15</v>
      </c>
    </row>
    <row r="375" spans="1:7">
      <c r="A375" s="3485" t="s">
        <v>3166</v>
      </c>
      <c r="B375" s="3474" t="s">
        <v>3175</v>
      </c>
      <c r="C375" s="3475">
        <v>0.15</v>
      </c>
      <c r="D375" s="3475">
        <v>0.15</v>
      </c>
      <c r="E375" s="3475">
        <v>0.15</v>
      </c>
      <c r="F375" s="3475">
        <v>0.13</v>
      </c>
      <c r="G375" s="3476">
        <v>0.15</v>
      </c>
    </row>
    <row r="376" spans="1:7">
      <c r="A376" s="3485" t="s">
        <v>3166</v>
      </c>
      <c r="B376" s="3474" t="s">
        <v>1125</v>
      </c>
      <c r="C376" s="3475">
        <v>0.15</v>
      </c>
      <c r="D376" s="3475">
        <v>0.15</v>
      </c>
      <c r="E376" s="3475">
        <v>0.15</v>
      </c>
      <c r="F376" s="3475">
        <v>0.14199999999999999</v>
      </c>
      <c r="G376" s="3476">
        <v>0.15</v>
      </c>
    </row>
    <row r="377" spans="1:7" ht="15" thickBot="1">
      <c r="A377" s="3488" t="s">
        <v>3166</v>
      </c>
      <c r="B377" s="3478" t="s">
        <v>3017</v>
      </c>
      <c r="C377" s="3479">
        <v>0.15</v>
      </c>
      <c r="D377" s="3479">
        <v>0.15</v>
      </c>
      <c r="E377" s="3479">
        <v>0.15</v>
      </c>
      <c r="F377" s="3479">
        <v>0.14000000000000001</v>
      </c>
      <c r="G377" s="3481">
        <v>0.15</v>
      </c>
    </row>
    <row r="378" spans="1:7">
      <c r="A378" s="3484" t="s">
        <v>3176</v>
      </c>
      <c r="B378" s="3470" t="s">
        <v>3177</v>
      </c>
      <c r="C378" s="3471">
        <v>0.15</v>
      </c>
      <c r="D378" s="3471">
        <v>0.15</v>
      </c>
      <c r="E378" s="3471">
        <v>0.15</v>
      </c>
      <c r="F378" s="3471">
        <v>0.107</v>
      </c>
      <c r="G378" s="3472">
        <v>0.15</v>
      </c>
    </row>
    <row r="379" spans="1:7">
      <c r="A379" s="3485" t="s">
        <v>3176</v>
      </c>
      <c r="B379" s="3474" t="s">
        <v>3178</v>
      </c>
      <c r="C379" s="3475">
        <v>0.15</v>
      </c>
      <c r="D379" s="3475">
        <v>0.15</v>
      </c>
      <c r="E379" s="3475">
        <v>0.15</v>
      </c>
      <c r="F379" s="3475">
        <v>0.115</v>
      </c>
      <c r="G379" s="3476">
        <v>0.14899999999999999</v>
      </c>
    </row>
    <row r="380" spans="1:7">
      <c r="A380" s="3485" t="s">
        <v>3179</v>
      </c>
      <c r="B380" s="3474" t="s">
        <v>3180</v>
      </c>
      <c r="C380" s="3475">
        <v>0.15</v>
      </c>
      <c r="D380" s="3475">
        <v>0.15</v>
      </c>
      <c r="E380" s="3475">
        <v>0.15</v>
      </c>
      <c r="F380" s="3475">
        <v>0.1</v>
      </c>
      <c r="G380" s="3476">
        <v>0.14799999999999999</v>
      </c>
    </row>
    <row r="381" spans="1:7">
      <c r="A381" s="3485" t="s">
        <v>3179</v>
      </c>
      <c r="B381" s="3474" t="s">
        <v>3181</v>
      </c>
      <c r="C381" s="3475">
        <v>0.15</v>
      </c>
      <c r="D381" s="3475">
        <v>0.15</v>
      </c>
      <c r="E381" s="3475">
        <v>0.15</v>
      </c>
      <c r="F381" s="3475">
        <v>0.126</v>
      </c>
      <c r="G381" s="3476">
        <v>0.15</v>
      </c>
    </row>
    <row r="382" spans="1:7">
      <c r="A382" s="3485" t="s">
        <v>3179</v>
      </c>
      <c r="B382" s="3474" t="s">
        <v>3182</v>
      </c>
      <c r="C382" s="3475">
        <v>0.15</v>
      </c>
      <c r="D382" s="3475">
        <v>0.15</v>
      </c>
      <c r="E382" s="3475">
        <v>0.15</v>
      </c>
      <c r="F382" s="3475">
        <v>0.15</v>
      </c>
      <c r="G382" s="3476">
        <v>0.15</v>
      </c>
    </row>
    <row r="383" spans="1:7">
      <c r="A383" s="3485" t="s">
        <v>3179</v>
      </c>
      <c r="B383" s="3474" t="s">
        <v>3183</v>
      </c>
      <c r="C383" s="3475">
        <v>0.15</v>
      </c>
      <c r="D383" s="3475">
        <v>0.15</v>
      </c>
      <c r="E383" s="3475">
        <v>0.15</v>
      </c>
      <c r="F383" s="3475">
        <v>0.14699999999999999</v>
      </c>
      <c r="G383" s="3476">
        <v>0.15</v>
      </c>
    </row>
    <row r="384" spans="1:7" ht="15" thickBot="1">
      <c r="A384" s="3495" t="s">
        <v>3179</v>
      </c>
      <c r="B384" s="3496" t="s">
        <v>3184</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32" t="s">
        <v>1857</v>
      </c>
      <c r="C1" s="3932"/>
      <c r="D1" s="3932"/>
      <c r="E1" s="3932"/>
      <c r="F1" s="3932"/>
      <c r="G1" s="3931" t="s">
        <v>1858</v>
      </c>
      <c r="H1" s="3931"/>
      <c r="I1" s="3931"/>
      <c r="J1" s="3931"/>
      <c r="K1" s="3931"/>
      <c r="L1" s="3931"/>
      <c r="N1" s="3931" t="s">
        <v>1859</v>
      </c>
      <c r="O1" s="3931"/>
      <c r="P1" s="3931"/>
      <c r="Q1" s="3931"/>
      <c r="S1" s="3931" t="s">
        <v>1860</v>
      </c>
      <c r="T1" s="3931"/>
      <c r="U1" s="3931"/>
      <c r="V1" s="3931"/>
      <c r="X1" s="3930" t="s">
        <v>1920</v>
      </c>
      <c r="Y1" s="3931"/>
      <c r="Z1" s="3931"/>
      <c r="AA1" s="3931"/>
      <c r="AB1" s="3931"/>
      <c r="AD1" s="3930" t="s">
        <v>1924</v>
      </c>
      <c r="AE1" s="3931"/>
      <c r="AF1" s="3931"/>
      <c r="AG1" s="3931"/>
      <c r="AH1" s="3931"/>
    </row>
    <row r="2" spans="1:34" s="2618" customFormat="1" ht="15" thickBot="1">
      <c r="B2" s="2619" t="s">
        <v>1861</v>
      </c>
      <c r="C2" s="2619" t="s">
        <v>1922</v>
      </c>
      <c r="D2" s="2620" t="s">
        <v>1178</v>
      </c>
      <c r="E2" s="2620" t="s">
        <v>1468</v>
      </c>
      <c r="F2" s="2619" t="s">
        <v>1923</v>
      </c>
      <c r="G2" s="2621"/>
      <c r="I2" s="2619" t="s">
        <v>2216</v>
      </c>
      <c r="J2" s="2620" t="s">
        <v>2218</v>
      </c>
      <c r="K2" s="2620" t="s">
        <v>2219</v>
      </c>
      <c r="L2" s="2619" t="s">
        <v>2220</v>
      </c>
      <c r="N2" s="2619" t="s">
        <v>1861</v>
      </c>
      <c r="O2" s="2620" t="s">
        <v>2217</v>
      </c>
      <c r="P2" s="2620" t="s">
        <v>1468</v>
      </c>
      <c r="Q2" s="2619" t="s">
        <v>1923</v>
      </c>
      <c r="S2" s="2619" t="s">
        <v>1861</v>
      </c>
      <c r="T2" s="2620" t="s">
        <v>2217</v>
      </c>
      <c r="U2" s="2620" t="s">
        <v>1468</v>
      </c>
      <c r="V2" s="2619" t="s">
        <v>1923</v>
      </c>
      <c r="X2" s="2619" t="s">
        <v>1861</v>
      </c>
      <c r="Y2" s="2619" t="s">
        <v>1922</v>
      </c>
      <c r="Z2" s="2620" t="s">
        <v>1178</v>
      </c>
      <c r="AA2" s="2620" t="s">
        <v>1468</v>
      </c>
      <c r="AB2" s="2619" t="s">
        <v>1923</v>
      </c>
      <c r="AD2" s="2619" t="s">
        <v>1861</v>
      </c>
      <c r="AE2" s="2619" t="s">
        <v>1922</v>
      </c>
      <c r="AF2" s="2620" t="s">
        <v>1178</v>
      </c>
      <c r="AG2" s="2620" t="s">
        <v>1468</v>
      </c>
      <c r="AH2" s="2619" t="s">
        <v>1923</v>
      </c>
    </row>
    <row r="3" spans="1:34" s="2628" customFormat="1" ht="14.4">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2286</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2285</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3934">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3934"/>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3934"/>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3940"/>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3939">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4"/>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1862</v>
      </c>
      <c r="B28" s="2642">
        <f t="shared" si="16"/>
        <v>419.31181600000002</v>
      </c>
      <c r="C28" s="2642">
        <f t="shared" si="16"/>
        <v>313.95436800000004</v>
      </c>
      <c r="D28" s="2642">
        <f t="shared" si="13"/>
        <v>313.95436800000004</v>
      </c>
      <c r="E28" s="2642">
        <f t="shared" si="17"/>
        <v>596.63028431999999</v>
      </c>
      <c r="F28" s="2642">
        <f t="shared" si="17"/>
        <v>274.74220703999998</v>
      </c>
      <c r="G28" s="3934"/>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1863</v>
      </c>
      <c r="B29" s="2642">
        <f t="shared" si="16"/>
        <v>405.524</v>
      </c>
      <c r="C29" s="2642">
        <f t="shared" si="16"/>
        <v>307.79840000000002</v>
      </c>
      <c r="D29" s="2642">
        <f t="shared" si="13"/>
        <v>307.79840000000002</v>
      </c>
      <c r="E29" s="2642">
        <f t="shared" si="17"/>
        <v>574.67759999999998</v>
      </c>
      <c r="F29" s="2642">
        <f t="shared" si="17"/>
        <v>270.20280000000002</v>
      </c>
      <c r="G29" s="3940"/>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894</v>
      </c>
      <c r="B30" s="2663">
        <v>392</v>
      </c>
      <c r="C30" s="2663">
        <v>302</v>
      </c>
      <c r="D30" s="2663">
        <f t="shared" si="13"/>
        <v>302</v>
      </c>
      <c r="E30" s="2663">
        <v>553</v>
      </c>
      <c r="F30" s="2664">
        <v>266</v>
      </c>
      <c r="G30" s="3939">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893</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4"/>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883</v>
      </c>
      <c r="B32" s="2642">
        <f t="shared" si="19"/>
        <v>360.06949782209392</v>
      </c>
      <c r="C32" s="2642">
        <f t="shared" si="19"/>
        <v>289.84672674747821</v>
      </c>
      <c r="D32" s="2642">
        <f t="shared" si="20"/>
        <v>289.84672674747821</v>
      </c>
      <c r="E32" s="2642">
        <f t="shared" si="21"/>
        <v>501.06543001181495</v>
      </c>
      <c r="F32" s="2642">
        <f t="shared" si="21"/>
        <v>256.82882500744967</v>
      </c>
      <c r="G32" s="3934"/>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892</v>
      </c>
      <c r="B33" s="2642">
        <f t="shared" si="19"/>
        <v>346.720748986128</v>
      </c>
      <c r="C33" s="2642">
        <f t="shared" si="19"/>
        <v>284.30282172386285</v>
      </c>
      <c r="D33" s="2642">
        <f t="shared" si="20"/>
        <v>284.30282172386285</v>
      </c>
      <c r="E33" s="2642">
        <f t="shared" si="21"/>
        <v>479.58023546306947</v>
      </c>
      <c r="F33" s="2642">
        <f t="shared" si="21"/>
        <v>253.25788877571213</v>
      </c>
      <c r="G33" s="3935"/>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891</v>
      </c>
      <c r="B34" s="2663">
        <v>333</v>
      </c>
      <c r="C34" s="2663">
        <v>277</v>
      </c>
      <c r="D34" s="2663">
        <f t="shared" si="20"/>
        <v>277</v>
      </c>
      <c r="E34" s="2663">
        <v>459</v>
      </c>
      <c r="F34" s="2664">
        <v>249</v>
      </c>
      <c r="G34" s="3933">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890</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4"/>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889</v>
      </c>
      <c r="B36" s="2642">
        <f t="shared" si="23"/>
        <v>322.34053690220776</v>
      </c>
      <c r="C36" s="2642">
        <f t="shared" si="23"/>
        <v>271.46160770422546</v>
      </c>
      <c r="D36" s="2642">
        <f t="shared" si="20"/>
        <v>271.46160770422546</v>
      </c>
      <c r="E36" s="2642">
        <f t="shared" si="24"/>
        <v>442.69434542172456</v>
      </c>
      <c r="F36" s="2642">
        <f t="shared" si="24"/>
        <v>241.34030753190925</v>
      </c>
      <c r="G36" s="3934"/>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888</v>
      </c>
      <c r="B37" s="2642">
        <f t="shared" si="23"/>
        <v>319.87748030386797</v>
      </c>
      <c r="C37" s="2642">
        <f t="shared" si="23"/>
        <v>269.60135833173649</v>
      </c>
      <c r="D37" s="2642">
        <f t="shared" si="20"/>
        <v>269.60135833173649</v>
      </c>
      <c r="E37" s="2642">
        <f t="shared" si="24"/>
        <v>439.18089823583784</v>
      </c>
      <c r="F37" s="2642">
        <f t="shared" si="24"/>
        <v>239.23503918706311</v>
      </c>
      <c r="G37" s="3935"/>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887</v>
      </c>
      <c r="B38" s="2670">
        <v>318</v>
      </c>
      <c r="C38" s="2670">
        <v>268</v>
      </c>
      <c r="D38" s="2670">
        <f t="shared" si="20"/>
        <v>268</v>
      </c>
      <c r="E38" s="2670">
        <v>437</v>
      </c>
      <c r="F38" s="2671">
        <v>237</v>
      </c>
      <c r="G38" s="3933">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886</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4"/>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885</v>
      </c>
      <c r="B40" s="2642">
        <f t="shared" si="25"/>
        <v>314.72141172386546</v>
      </c>
      <c r="C40" s="2642">
        <f t="shared" si="25"/>
        <v>263.03901319069001</v>
      </c>
      <c r="D40" s="2642">
        <f t="shared" si="20"/>
        <v>263.03901319069001</v>
      </c>
      <c r="E40" s="2642">
        <f t="shared" si="26"/>
        <v>433.65745506782821</v>
      </c>
      <c r="F40" s="2642">
        <f t="shared" si="26"/>
        <v>233.23005080045735</v>
      </c>
      <c r="G40" s="3934"/>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884</v>
      </c>
      <c r="B41" s="2675">
        <f t="shared" si="25"/>
        <v>307.34512863658733</v>
      </c>
      <c r="C41" s="2675">
        <f t="shared" si="25"/>
        <v>257.80556031626975</v>
      </c>
      <c r="D41" s="2675">
        <f t="shared" si="20"/>
        <v>257.80556031626975</v>
      </c>
      <c r="E41" s="2675">
        <f t="shared" si="26"/>
        <v>422.70928459677179</v>
      </c>
      <c r="F41" s="2675">
        <f t="shared" si="26"/>
        <v>229.73803270336617</v>
      </c>
      <c r="G41" s="3935"/>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1921</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1864</v>
      </c>
      <c r="B42" s="2663">
        <v>299</v>
      </c>
      <c r="C42" s="2663">
        <v>252</v>
      </c>
      <c r="D42" s="2663">
        <f t="shared" si="20"/>
        <v>252</v>
      </c>
      <c r="E42" s="2663">
        <v>409</v>
      </c>
      <c r="F42" s="2664">
        <v>227</v>
      </c>
      <c r="G42" s="3936">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1865</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7"/>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1866</v>
      </c>
      <c r="B44" s="2642">
        <f t="shared" si="27"/>
        <v>288.2649053828776</v>
      </c>
      <c r="C44" s="2642">
        <f t="shared" si="27"/>
        <v>243.64564425013293</v>
      </c>
      <c r="D44" s="2642">
        <f t="shared" si="20"/>
        <v>243.64564425013293</v>
      </c>
      <c r="E44" s="2642">
        <f t="shared" si="28"/>
        <v>393.31080825986544</v>
      </c>
      <c r="F44" s="2642">
        <f t="shared" si="28"/>
        <v>223.07903790551154</v>
      </c>
      <c r="G44" s="3937"/>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1867</v>
      </c>
      <c r="B45" s="2642">
        <f t="shared" si="27"/>
        <v>282.50186729015837</v>
      </c>
      <c r="C45" s="2642">
        <f t="shared" si="27"/>
        <v>238.09796174155468</v>
      </c>
      <c r="D45" s="2642">
        <f t="shared" si="20"/>
        <v>238.09796174155468</v>
      </c>
      <c r="E45" s="2642">
        <f t="shared" si="28"/>
        <v>385.33438646014054</v>
      </c>
      <c r="F45" s="2642">
        <f t="shared" si="28"/>
        <v>221.55034055567739</v>
      </c>
      <c r="G45" s="3938"/>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1868</v>
      </c>
      <c r="B46" s="2691">
        <v>278</v>
      </c>
      <c r="C46" s="2691">
        <v>234</v>
      </c>
      <c r="D46" s="2691">
        <f t="shared" si="20"/>
        <v>234</v>
      </c>
      <c r="E46" s="2691">
        <v>379</v>
      </c>
      <c r="F46" s="2692">
        <v>220</v>
      </c>
      <c r="G46" s="3933">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1869</v>
      </c>
      <c r="B47" s="2642">
        <f>B46/(1+N46)</f>
        <v>275.49301357645425</v>
      </c>
      <c r="C47" s="2642">
        <f>C46/(1+O46)</f>
        <v>232.41954707985698</v>
      </c>
      <c r="D47" s="2642">
        <f t="shared" si="20"/>
        <v>232.41954707985698</v>
      </c>
      <c r="E47" s="2642">
        <f t="shared" ref="E47:F49" si="29">E46/(1+P46)</f>
        <v>375.32184591008121</v>
      </c>
      <c r="F47" s="2642">
        <f t="shared" si="29"/>
        <v>218.03766105054513</v>
      </c>
      <c r="G47" s="3934"/>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1870</v>
      </c>
      <c r="B48" s="2642">
        <f>B47/(1+N47)</f>
        <v>275.24529281292263</v>
      </c>
      <c r="C48" s="2642">
        <f>C47/(1+O47)</f>
        <v>231.74747938962707</v>
      </c>
      <c r="D48" s="2642">
        <f t="shared" si="20"/>
        <v>231.74747938962707</v>
      </c>
      <c r="E48" s="2642">
        <f t="shared" si="29"/>
        <v>375.35938184826603</v>
      </c>
      <c r="F48" s="2642">
        <f t="shared" si="29"/>
        <v>216.78033510692495</v>
      </c>
      <c r="G48" s="3934"/>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1871</v>
      </c>
      <c r="B49" s="2642">
        <f>B48/(1+N48)</f>
        <v>275.19025476197027</v>
      </c>
      <c r="C49" s="2693">
        <v>232</v>
      </c>
      <c r="D49" s="2693">
        <f t="shared" si="20"/>
        <v>232</v>
      </c>
      <c r="E49" s="2642">
        <f t="shared" si="29"/>
        <v>375.65990977608692</v>
      </c>
      <c r="F49" s="2642">
        <f t="shared" si="29"/>
        <v>214.12518283971252</v>
      </c>
      <c r="G49" s="3935"/>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1872</v>
      </c>
      <c r="B50" s="2663">
        <v>275</v>
      </c>
      <c r="C50" s="2663">
        <v>232</v>
      </c>
      <c r="D50" s="2663">
        <f t="shared" si="20"/>
        <v>232</v>
      </c>
      <c r="E50" s="2663">
        <v>376</v>
      </c>
      <c r="F50" s="2664">
        <v>213</v>
      </c>
      <c r="G50" s="3933">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1873</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4">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1874</v>
      </c>
      <c r="B52" s="2642">
        <f t="shared" si="30"/>
        <v>275.19335084830601</v>
      </c>
      <c r="C52" s="2642">
        <f t="shared" si="30"/>
        <v>230.18088050139744</v>
      </c>
      <c r="D52" s="2642">
        <f t="shared" si="20"/>
        <v>230.18088050139744</v>
      </c>
      <c r="E52" s="2642">
        <f t="shared" si="31"/>
        <v>377.58482925212331</v>
      </c>
      <c r="F52" s="2642">
        <f t="shared" si="31"/>
        <v>210.90687997847917</v>
      </c>
      <c r="G52" s="3934">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1875</v>
      </c>
      <c r="B53" s="2642">
        <f t="shared" si="30"/>
        <v>276.29854502841971</v>
      </c>
      <c r="C53" s="2642">
        <f t="shared" si="30"/>
        <v>229.79023709833027</v>
      </c>
      <c r="D53" s="2642">
        <f t="shared" si="20"/>
        <v>229.79023709833027</v>
      </c>
      <c r="E53" s="2642">
        <f t="shared" si="31"/>
        <v>379.78759731655936</v>
      </c>
      <c r="F53" s="2642">
        <f t="shared" si="31"/>
        <v>211.32953905659235</v>
      </c>
      <c r="G53" s="3935">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1876</v>
      </c>
      <c r="B54" s="2663">
        <v>269</v>
      </c>
      <c r="C54" s="2663">
        <v>221</v>
      </c>
      <c r="D54" s="2663">
        <f t="shared" si="20"/>
        <v>221</v>
      </c>
      <c r="E54" s="2663">
        <v>373</v>
      </c>
      <c r="F54" s="2664">
        <v>196</v>
      </c>
      <c r="G54" s="3933">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1877</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4">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1878</v>
      </c>
      <c r="B56" s="2642">
        <f t="shared" si="32"/>
        <v>242.95398227588385</v>
      </c>
      <c r="C56" s="2642">
        <f t="shared" si="32"/>
        <v>199.59137053614126</v>
      </c>
      <c r="D56" s="2642">
        <f t="shared" si="20"/>
        <v>199.59137053614126</v>
      </c>
      <c r="E56" s="2642">
        <f t="shared" si="33"/>
        <v>335.92189522342125</v>
      </c>
      <c r="F56" s="2642">
        <f t="shared" si="33"/>
        <v>183.10139991109489</v>
      </c>
      <c r="G56" s="3934">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1879</v>
      </c>
      <c r="B57" s="2642">
        <f t="shared" si="32"/>
        <v>232.06990378821649</v>
      </c>
      <c r="C57" s="2642">
        <f t="shared" si="32"/>
        <v>192.74878854286936</v>
      </c>
      <c r="D57" s="2642">
        <f t="shared" si="20"/>
        <v>192.74878854286936</v>
      </c>
      <c r="E57" s="2642">
        <f t="shared" si="33"/>
        <v>319.71247284992984</v>
      </c>
      <c r="F57" s="2642">
        <f t="shared" si="33"/>
        <v>175.67053622862409</v>
      </c>
      <c r="G57" s="3935">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1880</v>
      </c>
      <c r="B58" s="2663">
        <v>220</v>
      </c>
      <c r="C58" s="2663">
        <v>187</v>
      </c>
      <c r="D58" s="2663">
        <f t="shared" si="20"/>
        <v>187</v>
      </c>
      <c r="E58" s="2663">
        <v>301</v>
      </c>
      <c r="F58" s="2664">
        <v>168</v>
      </c>
      <c r="G58" s="3933">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1881</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4">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1882</v>
      </c>
      <c r="B60" s="2642">
        <f t="shared" si="34"/>
        <v>210.630522469011</v>
      </c>
      <c r="C60" s="2642">
        <f t="shared" si="34"/>
        <v>181.69567812247232</v>
      </c>
      <c r="D60" s="2642">
        <f t="shared" si="20"/>
        <v>181.69567812247232</v>
      </c>
      <c r="E60" s="2642">
        <f t="shared" si="35"/>
        <v>286.13517466736738</v>
      </c>
      <c r="F60" s="2642">
        <f t="shared" si="35"/>
        <v>165.47535084591149</v>
      </c>
      <c r="G60" s="3934">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1883</v>
      </c>
      <c r="B61" s="2642">
        <f t="shared" si="34"/>
        <v>208.83454537875372</v>
      </c>
      <c r="C61" s="2642">
        <f t="shared" si="34"/>
        <v>183.77230517090351</v>
      </c>
      <c r="D61" s="2642">
        <f t="shared" si="20"/>
        <v>183.77230517090351</v>
      </c>
      <c r="E61" s="2642">
        <f t="shared" si="35"/>
        <v>281.10342338870947</v>
      </c>
      <c r="F61" s="2642">
        <f t="shared" si="35"/>
        <v>168.97309388942256</v>
      </c>
      <c r="G61" s="3935">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1884</v>
      </c>
      <c r="B62" s="2691">
        <v>214</v>
      </c>
      <c r="C62" s="2691">
        <v>188</v>
      </c>
      <c r="D62" s="2691">
        <f t="shared" si="20"/>
        <v>188</v>
      </c>
      <c r="E62" s="2691">
        <v>289</v>
      </c>
      <c r="F62" s="2692">
        <v>166</v>
      </c>
      <c r="G62" s="3933">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1885</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4">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1886</v>
      </c>
      <c r="B64" s="2642">
        <f t="shared" si="36"/>
        <v>206.31694671589116</v>
      </c>
      <c r="C64" s="2642">
        <f t="shared" si="36"/>
        <v>183.61041121036101</v>
      </c>
      <c r="D64" s="2642">
        <f t="shared" si="20"/>
        <v>183.61041121036101</v>
      </c>
      <c r="E64" s="2642">
        <f t="shared" si="37"/>
        <v>276.66850301795557</v>
      </c>
      <c r="F64" s="2642">
        <f t="shared" si="37"/>
        <v>165.1360938278614</v>
      </c>
      <c r="G64" s="3934">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1887</v>
      </c>
      <c r="B65" s="2694">
        <f t="shared" si="36"/>
        <v>196.62341248059772</v>
      </c>
      <c r="C65" s="2694">
        <f t="shared" si="36"/>
        <v>170.99125648199012</v>
      </c>
      <c r="D65" s="2694">
        <f t="shared" si="20"/>
        <v>170.99125648199012</v>
      </c>
      <c r="E65" s="2694">
        <f t="shared" si="37"/>
        <v>266.07857570490052</v>
      </c>
      <c r="F65" s="2694">
        <f t="shared" si="37"/>
        <v>154.53499328828505</v>
      </c>
      <c r="G65" s="3935">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1888</v>
      </c>
      <c r="B66" s="2663">
        <v>188</v>
      </c>
      <c r="C66" s="2663">
        <v>165</v>
      </c>
      <c r="D66" s="2663">
        <f t="shared" si="20"/>
        <v>165</v>
      </c>
      <c r="E66" s="2663">
        <v>254</v>
      </c>
      <c r="F66" s="2664">
        <v>148</v>
      </c>
      <c r="G66" s="3933">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1889</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4">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1890</v>
      </c>
      <c r="B68" s="2642">
        <f t="shared" si="40"/>
        <v>168.82017748715555</v>
      </c>
      <c r="C68" s="2642">
        <f t="shared" si="40"/>
        <v>148.06267029972753</v>
      </c>
      <c r="D68" s="2642">
        <f t="shared" si="20"/>
        <v>148.06267029972753</v>
      </c>
      <c r="E68" s="2642">
        <f t="shared" si="41"/>
        <v>216.46288379323747</v>
      </c>
      <c r="F68" s="2642">
        <f t="shared" si="41"/>
        <v>134.23529411764704</v>
      </c>
      <c r="G68" s="3934">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1891</v>
      </c>
      <c r="B69" s="2642">
        <f t="shared" si="40"/>
        <v>163.84913591779542</v>
      </c>
      <c r="C69" s="2642">
        <f t="shared" si="40"/>
        <v>145.0283378746594</v>
      </c>
      <c r="D69" s="2642">
        <f t="shared" si="20"/>
        <v>145.0283378746594</v>
      </c>
      <c r="E69" s="2642">
        <f t="shared" si="41"/>
        <v>204.95180722891567</v>
      </c>
      <c r="F69" s="2642">
        <f t="shared" si="41"/>
        <v>125.95920303605313</v>
      </c>
      <c r="G69" s="3935">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1892</v>
      </c>
      <c r="B70" s="2670">
        <v>159</v>
      </c>
      <c r="C70" s="2670">
        <v>141</v>
      </c>
      <c r="D70" s="2670">
        <f t="shared" si="20"/>
        <v>141</v>
      </c>
      <c r="E70" s="2670">
        <v>195</v>
      </c>
      <c r="F70" s="2671">
        <v>122</v>
      </c>
      <c r="G70" s="3933">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1893</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4">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1894</v>
      </c>
      <c r="B72" s="2642">
        <f t="shared" si="44"/>
        <v>146.57412060301507</v>
      </c>
      <c r="C72" s="2642">
        <f t="shared" si="44"/>
        <v>136.46831955922866</v>
      </c>
      <c r="D72" s="2642">
        <f t="shared" si="20"/>
        <v>136.46831955922866</v>
      </c>
      <c r="E72" s="2642">
        <f t="shared" si="45"/>
        <v>166.73864894795128</v>
      </c>
      <c r="F72" s="2642">
        <f t="shared" si="45"/>
        <v>115.05882352941177</v>
      </c>
      <c r="G72" s="3934">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1895</v>
      </c>
      <c r="B73" s="2642">
        <f t="shared" si="44"/>
        <v>144.04145728643215</v>
      </c>
      <c r="C73" s="2642">
        <f t="shared" si="44"/>
        <v>136.12396694214877</v>
      </c>
      <c r="D73" s="2642">
        <f t="shared" si="20"/>
        <v>136.12396694214877</v>
      </c>
      <c r="E73" s="2642">
        <f t="shared" si="45"/>
        <v>158.32225913621264</v>
      </c>
      <c r="F73" s="2642">
        <f t="shared" si="45"/>
        <v>114.04278074866311</v>
      </c>
      <c r="G73" s="3935">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1896</v>
      </c>
      <c r="B74" s="2670">
        <v>138</v>
      </c>
      <c r="C74" s="2670">
        <v>131</v>
      </c>
      <c r="D74" s="2670">
        <f t="shared" si="20"/>
        <v>131</v>
      </c>
      <c r="E74" s="2670">
        <v>155</v>
      </c>
      <c r="F74" s="2671">
        <v>114</v>
      </c>
      <c r="G74" s="3933">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1897</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4">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1898</v>
      </c>
      <c r="B76" s="2642">
        <f t="shared" si="48"/>
        <v>124.29032258064517</v>
      </c>
      <c r="C76" s="2642">
        <f t="shared" si="48"/>
        <v>123.8968609865471</v>
      </c>
      <c r="D76" s="2642">
        <f t="shared" si="20"/>
        <v>123.8968609865471</v>
      </c>
      <c r="E76" s="2642">
        <f t="shared" si="49"/>
        <v>138.00507614213197</v>
      </c>
      <c r="F76" s="2642">
        <f t="shared" si="49"/>
        <v>107.96106557377048</v>
      </c>
      <c r="G76" s="3934">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1899</v>
      </c>
      <c r="B77" s="2642">
        <f t="shared" si="48"/>
        <v>122.57204301075269</v>
      </c>
      <c r="C77" s="2642">
        <f t="shared" si="48"/>
        <v>123.4932735426009</v>
      </c>
      <c r="D77" s="2642">
        <f t="shared" si="20"/>
        <v>123.4932735426009</v>
      </c>
      <c r="E77" s="2642">
        <f t="shared" si="49"/>
        <v>129.82233502538071</v>
      </c>
      <c r="F77" s="2642">
        <f t="shared" si="49"/>
        <v>107.39446721311475</v>
      </c>
      <c r="G77" s="3935">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1900</v>
      </c>
      <c r="B78" s="2691">
        <v>121</v>
      </c>
      <c r="C78" s="2691">
        <v>122</v>
      </c>
      <c r="D78" s="2691">
        <f t="shared" si="20"/>
        <v>122</v>
      </c>
      <c r="E78" s="2691">
        <v>124</v>
      </c>
      <c r="F78" s="2692">
        <v>107</v>
      </c>
      <c r="G78" s="3933">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1901</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4">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1902</v>
      </c>
      <c r="B80" s="2642">
        <f t="shared" si="52"/>
        <v>116.99099099099099</v>
      </c>
      <c r="C80" s="2642">
        <f t="shared" si="52"/>
        <v>118.84848484848486</v>
      </c>
      <c r="D80" s="2642">
        <f t="shared" si="20"/>
        <v>118.84848484848486</v>
      </c>
      <c r="E80" s="2642">
        <f t="shared" si="53"/>
        <v>117.60960960960961</v>
      </c>
      <c r="F80" s="2642">
        <f t="shared" si="53"/>
        <v>104</v>
      </c>
      <c r="G80" s="3934">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1903</v>
      </c>
      <c r="B81" s="2694">
        <f t="shared" si="52"/>
        <v>112.48648648648648</v>
      </c>
      <c r="C81" s="2694">
        <f t="shared" si="52"/>
        <v>115.21212121212122</v>
      </c>
      <c r="D81" s="2694">
        <f t="shared" si="20"/>
        <v>115.21212121212122</v>
      </c>
      <c r="E81" s="2694">
        <f t="shared" si="53"/>
        <v>110.4024024024024</v>
      </c>
      <c r="F81" s="2694">
        <f t="shared" si="53"/>
        <v>104</v>
      </c>
      <c r="G81" s="3935">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1904</v>
      </c>
      <c r="B82" s="2711">
        <v>111</v>
      </c>
      <c r="C82" s="2711">
        <v>114</v>
      </c>
      <c r="D82" s="2711">
        <f t="shared" si="20"/>
        <v>114</v>
      </c>
      <c r="E82" s="2711">
        <v>108</v>
      </c>
      <c r="F82" s="2712">
        <v>104</v>
      </c>
      <c r="G82" s="3933">
        <v>2003</v>
      </c>
      <c r="H82" s="2701">
        <v>4</v>
      </c>
      <c r="I82" s="2713"/>
      <c r="J82" s="2713"/>
      <c r="K82" s="2713"/>
      <c r="L82" s="2713"/>
      <c r="N82" s="2714"/>
      <c r="O82" s="2713"/>
      <c r="P82" s="2713"/>
      <c r="Q82" s="2713"/>
      <c r="S82" s="2714"/>
      <c r="T82" s="2713"/>
      <c r="U82" s="2713"/>
      <c r="V82" s="2713"/>
      <c r="X82" s="2705"/>
      <c r="Y82" s="2705"/>
      <c r="Z82" s="2705"/>
    </row>
    <row r="83" spans="1:26">
      <c r="A83" s="2641" t="s">
        <v>1905</v>
      </c>
      <c r="B83" s="2715">
        <f t="shared" ref="B83:C85" si="54">B84+(B$82-B$86)/4</f>
        <v>109.75</v>
      </c>
      <c r="C83" s="2715">
        <f t="shared" si="54"/>
        <v>112.25</v>
      </c>
      <c r="D83" s="2715">
        <f t="shared" si="20"/>
        <v>112.25</v>
      </c>
      <c r="E83" s="2715">
        <f t="shared" ref="E83:F85" si="55">E84+(E$82-E$86)/4</f>
        <v>107.25</v>
      </c>
      <c r="F83" s="2715">
        <f t="shared" si="55"/>
        <v>103.5</v>
      </c>
      <c r="G83" s="3934">
        <v>2003</v>
      </c>
      <c r="H83" s="2668">
        <v>3</v>
      </c>
      <c r="I83" s="2713"/>
      <c r="J83" s="2713"/>
      <c r="K83" s="2713"/>
      <c r="L83" s="2713"/>
      <c r="X83" s="2705"/>
      <c r="Y83" s="2705"/>
      <c r="Z83" s="2705"/>
    </row>
    <row r="84" spans="1:26">
      <c r="A84" s="2641" t="s">
        <v>1906</v>
      </c>
      <c r="B84" s="2715">
        <f t="shared" si="54"/>
        <v>108.5</v>
      </c>
      <c r="C84" s="2715">
        <f t="shared" si="54"/>
        <v>110.5</v>
      </c>
      <c r="D84" s="2715">
        <f t="shared" si="20"/>
        <v>110.5</v>
      </c>
      <c r="E84" s="2715">
        <f t="shared" si="55"/>
        <v>106.5</v>
      </c>
      <c r="F84" s="2715">
        <f t="shared" si="55"/>
        <v>103</v>
      </c>
      <c r="G84" s="3934">
        <v>2003</v>
      </c>
      <c r="H84" s="2656">
        <v>2</v>
      </c>
      <c r="I84" s="2713"/>
      <c r="J84" s="2713"/>
      <c r="K84" s="2713"/>
      <c r="L84" s="2713"/>
      <c r="X84" s="2705"/>
      <c r="Y84" s="2705"/>
      <c r="Z84" s="2705"/>
    </row>
    <row r="85" spans="1:26" ht="13.8" thickBot="1">
      <c r="A85" s="2641" t="s">
        <v>1907</v>
      </c>
      <c r="B85" s="2715">
        <f t="shared" si="54"/>
        <v>107.25</v>
      </c>
      <c r="C85" s="2715">
        <f t="shared" si="54"/>
        <v>108.75</v>
      </c>
      <c r="D85" s="2715">
        <f t="shared" si="20"/>
        <v>108.75</v>
      </c>
      <c r="E85" s="2715">
        <f t="shared" si="55"/>
        <v>105.75</v>
      </c>
      <c r="F85" s="2715">
        <f t="shared" si="55"/>
        <v>102.5</v>
      </c>
      <c r="G85" s="3935">
        <v>2003</v>
      </c>
      <c r="H85" s="2716">
        <v>1</v>
      </c>
      <c r="I85" s="2713"/>
      <c r="J85" s="2713"/>
      <c r="K85" s="2713"/>
      <c r="L85" s="2713"/>
      <c r="S85" s="2644"/>
      <c r="T85" s="2640"/>
      <c r="U85" s="2640"/>
      <c r="X85" s="2705"/>
      <c r="Y85" s="2705"/>
      <c r="Z85" s="2705"/>
    </row>
    <row r="86" spans="1:26" ht="13.8" thickBot="1">
      <c r="A86" s="2641" t="s">
        <v>1908</v>
      </c>
      <c r="B86" s="2717">
        <v>106</v>
      </c>
      <c r="C86" s="2717">
        <v>107</v>
      </c>
      <c r="D86" s="2717">
        <f t="shared" si="20"/>
        <v>107</v>
      </c>
      <c r="E86" s="2717">
        <v>105</v>
      </c>
      <c r="F86" s="2718">
        <v>102</v>
      </c>
      <c r="G86" s="3933">
        <v>2002</v>
      </c>
      <c r="H86" s="2665">
        <v>4</v>
      </c>
      <c r="I86" s="2713"/>
      <c r="J86" s="2713"/>
      <c r="K86" s="2713"/>
      <c r="L86" s="2713"/>
      <c r="N86" s="2714"/>
      <c r="O86" s="2713"/>
      <c r="P86" s="2713"/>
      <c r="Q86" s="2713"/>
      <c r="S86" s="2714"/>
      <c r="T86" s="2713"/>
      <c r="U86" s="2713"/>
      <c r="V86" s="2713"/>
      <c r="X86" s="2705"/>
      <c r="Y86" s="2705"/>
      <c r="Z86" s="2705"/>
    </row>
    <row r="87" spans="1:26">
      <c r="A87" s="2641" t="s">
        <v>1909</v>
      </c>
      <c r="B87" s="2715">
        <f t="shared" ref="B87:C89" si="56">B88+(B$86-B$90)/4</f>
        <v>105</v>
      </c>
      <c r="C87" s="2715">
        <f t="shared" si="56"/>
        <v>106</v>
      </c>
      <c r="D87" s="2715">
        <f t="shared" si="20"/>
        <v>106</v>
      </c>
      <c r="E87" s="2715">
        <f t="shared" ref="E87:F89" si="57">E88+(E$86-E$90)/4</f>
        <v>104.5</v>
      </c>
      <c r="F87" s="2715">
        <f t="shared" si="57"/>
        <v>101.5</v>
      </c>
      <c r="G87" s="3934">
        <v>2002</v>
      </c>
      <c r="H87" s="2668">
        <v>3</v>
      </c>
      <c r="I87" s="2713"/>
      <c r="J87" s="2713"/>
      <c r="K87" s="2713"/>
      <c r="L87" s="2713"/>
      <c r="X87" s="2705"/>
      <c r="Y87" s="2705"/>
      <c r="Z87" s="2705"/>
    </row>
    <row r="88" spans="1:26">
      <c r="A88" s="2641" t="s">
        <v>1910</v>
      </c>
      <c r="B88" s="2715">
        <f t="shared" si="56"/>
        <v>104</v>
      </c>
      <c r="C88" s="2715">
        <f t="shared" si="56"/>
        <v>105</v>
      </c>
      <c r="D88" s="2715">
        <f t="shared" si="20"/>
        <v>105</v>
      </c>
      <c r="E88" s="2715">
        <f t="shared" si="57"/>
        <v>104</v>
      </c>
      <c r="F88" s="2715">
        <f t="shared" si="57"/>
        <v>101</v>
      </c>
      <c r="G88" s="3934">
        <v>2002</v>
      </c>
      <c r="H88" s="2656">
        <v>2</v>
      </c>
      <c r="I88" s="2713"/>
      <c r="J88" s="2713"/>
      <c r="K88" s="2713"/>
      <c r="L88" s="2713"/>
      <c r="X88" s="2705"/>
      <c r="Y88" s="2705"/>
      <c r="Z88" s="2705"/>
    </row>
    <row r="89" spans="1:26" s="2678" customFormat="1" ht="13.8" thickBot="1">
      <c r="A89" s="2674" t="s">
        <v>1911</v>
      </c>
      <c r="B89" s="2681">
        <f t="shared" si="56"/>
        <v>103</v>
      </c>
      <c r="C89" s="2681">
        <f t="shared" si="56"/>
        <v>104</v>
      </c>
      <c r="D89" s="2681">
        <f t="shared" si="20"/>
        <v>104</v>
      </c>
      <c r="E89" s="2681">
        <f t="shared" si="57"/>
        <v>103.5</v>
      </c>
      <c r="F89" s="2681">
        <f t="shared" si="57"/>
        <v>100.5</v>
      </c>
      <c r="G89" s="3935">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1912</v>
      </c>
      <c r="G92" s="2728"/>
      <c r="N92" s="2728"/>
      <c r="S92" s="2728"/>
    </row>
    <row r="93" spans="1:26" s="2727" customFormat="1">
      <c r="A93" s="2727" t="s">
        <v>1913</v>
      </c>
      <c r="G93" s="2728"/>
      <c r="N93" s="2728"/>
      <c r="S93" s="2728"/>
    </row>
    <row r="94" spans="1:26" s="2727" customFormat="1">
      <c r="A94" s="2727" t="s">
        <v>1914</v>
      </c>
      <c r="G94" s="2728"/>
      <c r="I94" s="2729"/>
      <c r="J94" s="2729"/>
      <c r="K94" s="2729"/>
      <c r="L94" s="2729"/>
      <c r="N94" s="2730"/>
      <c r="O94" s="2729"/>
      <c r="P94" s="2729"/>
      <c r="Q94" s="2729"/>
      <c r="S94" s="2730"/>
      <c r="T94" s="2729"/>
      <c r="U94" s="2729"/>
      <c r="V94" s="2729"/>
    </row>
    <row r="95" spans="1:26" s="2727" customFormat="1">
      <c r="A95" s="2727" t="s">
        <v>1915</v>
      </c>
      <c r="G95" s="2728"/>
      <c r="N95" s="2728"/>
      <c r="S95" s="2728"/>
    </row>
    <row r="102" spans="7:22" ht="13.8" thickBot="1"/>
    <row r="103" spans="7:22">
      <c r="G103" s="2639"/>
      <c r="S103" s="2731" t="s">
        <v>1916</v>
      </c>
      <c r="T103" s="2732" t="s">
        <v>1917</v>
      </c>
      <c r="U103" s="2732" t="s">
        <v>1918</v>
      </c>
      <c r="V103" s="2732" t="s">
        <v>1919</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H8" sqref="H6:H8"/>
    </sheetView>
  </sheetViews>
  <sheetFormatPr defaultRowHeight="14.4"/>
  <cols>
    <col min="1" max="1" width="12.33203125" customWidth="1"/>
    <col min="11" max="17" width="0" hidden="1" customWidth="1"/>
    <col min="24" max="30" width="0" hidden="1" customWidth="1"/>
  </cols>
  <sheetData>
    <row r="1" spans="1:30">
      <c r="A1" s="3400">
        <f>基准地价!G23</f>
        <v>45506</v>
      </c>
      <c r="B1" s="3348" t="s">
        <v>2788</v>
      </c>
      <c r="C1" s="3349"/>
      <c r="D1" s="3349"/>
      <c r="E1" s="3349"/>
      <c r="F1" s="3349"/>
      <c r="G1" s="3349"/>
      <c r="H1" s="3349"/>
      <c r="I1" s="3349"/>
      <c r="J1" s="3350"/>
      <c r="K1" s="3349" t="s">
        <v>2789</v>
      </c>
      <c r="L1" s="3349"/>
      <c r="M1" s="3349"/>
      <c r="N1" s="3349"/>
      <c r="O1" s="3349"/>
      <c r="P1" s="3349"/>
      <c r="Q1" s="3350"/>
      <c r="R1" s="3941" t="s">
        <v>2798</v>
      </c>
      <c r="S1" s="3942"/>
      <c r="T1" s="3942"/>
      <c r="U1" s="3942"/>
      <c r="V1" s="3942"/>
      <c r="W1" s="3942"/>
      <c r="X1" s="3350"/>
      <c r="Y1" s="3941" t="s">
        <v>2809</v>
      </c>
      <c r="Z1" s="3942"/>
      <c r="AA1" s="3942"/>
      <c r="AB1" s="3942"/>
      <c r="AC1" s="3942"/>
      <c r="AD1" s="3942"/>
    </row>
    <row r="2" spans="1:30" ht="15" thickBot="1">
      <c r="A2" s="3341"/>
      <c r="B2" s="3351"/>
      <c r="C2" s="3352"/>
      <c r="D2" s="3353" t="s">
        <v>2791</v>
      </c>
      <c r="E2" s="3354" t="s">
        <v>2792</v>
      </c>
      <c r="F2" s="3354" t="s">
        <v>2793</v>
      </c>
      <c r="G2" s="3354" t="s">
        <v>2794</v>
      </c>
      <c r="H2" s="3354" t="s">
        <v>2795</v>
      </c>
      <c r="I2" s="3354" t="s">
        <v>2737</v>
      </c>
      <c r="J2" s="3355"/>
      <c r="K2" s="3353" t="s">
        <v>2791</v>
      </c>
      <c r="L2" s="3354" t="s">
        <v>2792</v>
      </c>
      <c r="M2" s="3354" t="s">
        <v>2793</v>
      </c>
      <c r="N2" s="3354" t="s">
        <v>2794</v>
      </c>
      <c r="O2" s="3354" t="s">
        <v>2795</v>
      </c>
      <c r="P2" s="3354" t="s">
        <v>2737</v>
      </c>
      <c r="Q2" s="3355"/>
      <c r="R2" s="3353" t="s">
        <v>2799</v>
      </c>
      <c r="S2" s="3354" t="s">
        <v>2800</v>
      </c>
      <c r="T2" s="3354" t="s">
        <v>2801</v>
      </c>
      <c r="U2" s="3354" t="s">
        <v>2802</v>
      </c>
      <c r="V2" s="3354" t="s">
        <v>2803</v>
      </c>
      <c r="W2" s="3354" t="s">
        <v>2804</v>
      </c>
      <c r="X2" s="3355"/>
      <c r="Y2" s="3353" t="s">
        <v>2791</v>
      </c>
      <c r="Z2" s="3354" t="s">
        <v>1469</v>
      </c>
      <c r="AA2" s="3354" t="s">
        <v>2810</v>
      </c>
      <c r="AB2" s="3354" t="s">
        <v>1468</v>
      </c>
      <c r="AC2" s="3354" t="s">
        <v>2795</v>
      </c>
      <c r="AD2" s="3354" t="s">
        <v>2454</v>
      </c>
    </row>
    <row r="3" spans="1:30">
      <c r="A3" s="3342" t="s">
        <v>2779</v>
      </c>
      <c r="B3" s="3356"/>
      <c r="C3" s="3357"/>
      <c r="D3" s="3357">
        <f>ROUND(AVERAGEIF(D4:D19,"&lt;&gt;0"),2)</f>
        <v>0.59</v>
      </c>
      <c r="E3" s="3357">
        <f>ROUND(AVERAGEIF(E4:E19,"&lt;&gt;0"),2)</f>
        <v>0.36</v>
      </c>
      <c r="F3" s="3357">
        <f>ROUND(AVERAGEIF(F4:F19,"&lt;&gt;0"),2)</f>
        <v>0.06</v>
      </c>
      <c r="G3" s="3357">
        <f>ROUND(AVERAGEIF(G4:G19,"&lt;&gt;0"),2)</f>
        <v>0.6</v>
      </c>
      <c r="H3" s="3357">
        <f>ROUND(AVERAGEIF(H4:H19,"&lt;&gt;0"),2)</f>
        <v>0.6</v>
      </c>
      <c r="I3" s="3357">
        <f>F3</f>
        <v>0.06</v>
      </c>
      <c r="J3" s="3358"/>
      <c r="K3" s="3359">
        <f>ROUND(AVERAGEIF(K4:K19,"&lt;&gt;0"),4)</f>
        <v>5.8999999999999999E-3</v>
      </c>
      <c r="L3" s="3360">
        <f>ROUND(AVERAGEIF(L4:L19,"&lt;&gt;0"),4)</f>
        <v>3.5999999999999999E-3</v>
      </c>
      <c r="M3" s="3360">
        <f>ROUND(AVERAGEIF(M4:M19,"&lt;&gt;0"),4)</f>
        <v>5.9999999999999995E-4</v>
      </c>
      <c r="N3" s="3360">
        <f>ROUND(AVERAGEIF(N4:N19,"&lt;&gt;0"),4)</f>
        <v>6.0000000000000001E-3</v>
      </c>
      <c r="O3" s="3360">
        <f>ROUND(AVERAGEIF(O4:O19,"&lt;&gt;0"),4)</f>
        <v>6.0000000000000001E-3</v>
      </c>
      <c r="P3" s="3360">
        <f>M3</f>
        <v>5.9999999999999995E-4</v>
      </c>
      <c r="Q3" s="3358"/>
      <c r="R3" s="3375">
        <f>ROUND(SUMPRODUCT(PRODUCT(1+K4:K19)),4)</f>
        <v>1.0852999999999999</v>
      </c>
      <c r="S3" s="3376">
        <f>ROUND(SUMPRODUCT(PRODUCT(1+L4:L19)),4)</f>
        <v>1.0513999999999999</v>
      </c>
      <c r="T3" s="3376">
        <f>ROUND(SUMPRODUCT(PRODUCT(1+M4:M19)),4)</f>
        <v>1.0083</v>
      </c>
      <c r="U3" s="3376">
        <f>ROUND(SUMPRODUCT(PRODUCT(1+N4:N19)),4)</f>
        <v>1.0871999999999999</v>
      </c>
      <c r="V3" s="3376">
        <f>ROUND(SUMPRODUCT(PRODUCT(1+O4:O19)),4)</f>
        <v>1.0880000000000001</v>
      </c>
      <c r="W3" s="3375">
        <f>T3</f>
        <v>1.0083</v>
      </c>
      <c r="X3" s="3358"/>
      <c r="Y3" s="3383">
        <f>ROUND(AVERAGEIF(Y6:Y19,"&lt;&gt;0"),4)</f>
        <v>8.0999999999999996E-3</v>
      </c>
      <c r="Z3" s="3384">
        <f>ROUND(AVERAGEIF(Z6:Z19,"&lt;&gt;0"),4)</f>
        <v>3.7000000000000002E-3</v>
      </c>
      <c r="AA3" s="3385">
        <f>ROUND(AVERAGEIF(AA6:AA19,"&lt;&gt;0"),4)</f>
        <v>1.2999999999999999E-3</v>
      </c>
      <c r="AB3" s="3383">
        <f>ROUND(AVERAGEIF(AB6:AB19,"&lt;&gt;0"),4)</f>
        <v>8.8000000000000005E-3</v>
      </c>
      <c r="AC3" s="3386">
        <f>ROUND(AVERAGEIF(AC6:AC19,"&lt;&gt;0"),4)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3260</v>
      </c>
      <c r="B5" s="3403">
        <v>2024</v>
      </c>
      <c r="C5" s="3404">
        <v>3</v>
      </c>
      <c r="D5" s="3404">
        <v>0</v>
      </c>
      <c r="E5" s="3404">
        <v>0</v>
      </c>
      <c r="F5" s="3404">
        <v>0</v>
      </c>
      <c r="G5" s="3404">
        <v>0</v>
      </c>
      <c r="H5" s="3404">
        <v>0</v>
      </c>
      <c r="I5" s="3405">
        <f>F5</f>
        <v>0</v>
      </c>
      <c r="J5" s="3365"/>
      <c r="K5" s="3366">
        <f>D5/100</f>
        <v>0</v>
      </c>
      <c r="L5" s="3367">
        <f>E5/100</f>
        <v>0</v>
      </c>
      <c r="M5" s="3367">
        <f>F5/100</f>
        <v>0</v>
      </c>
      <c r="N5" s="3367">
        <f>G5/100</f>
        <v>0</v>
      </c>
      <c r="O5" s="3367">
        <f>H5/100</f>
        <v>0</v>
      </c>
      <c r="P5" s="3367">
        <f t="shared" ref="P5:P11" si="0">M5</f>
        <v>0</v>
      </c>
      <c r="Q5" s="3365"/>
      <c r="R5" s="3381">
        <f>ROUND(IF(项目基本情况!$B$8="出让",SUMPRODUCT(PRODUCT(1+K5:$K$19)),SUMPRODUCT(PRODUCT(1+K5:$K$18))),4)</f>
        <v>1.0748</v>
      </c>
      <c r="S5" s="3381">
        <f>ROUND(IF(项目基本情况!$B$8="出让",SUMPRODUCT(PRODUCT(1+L5:$L$19)),SUMPRODUCT(PRODUCT(1+L5:$L$18))),4)</f>
        <v>1.0498000000000001</v>
      </c>
      <c r="T5" s="3381">
        <f>ROUND(IF(项目基本情况!$B$8="出让",SUMPRODUCT(PRODUCT(1+M5:$M$19)),SUMPRODUCT(PRODUCT(1+M5:$M$18))),4)</f>
        <v>1.0107999999999999</v>
      </c>
      <c r="U5" s="3381">
        <f>ROUND(IF(项目基本情况!$B$8="出让",SUMPRODUCT(PRODUCT(1+N5:$N$19)),SUMPRODUCT(PRODUCT(1+N5:$N$18))),4)</f>
        <v>1.0752999999999999</v>
      </c>
      <c r="V5" s="3381">
        <f>ROUND(IF(项目基本情况!$B$8="出让",SUMPRODUCT(PRODUCT(1+O5:$O$19)),SUMPRODUCT(PRODUCT(1+O5:$O$18))),4)</f>
        <v>1.0841000000000001</v>
      </c>
      <c r="W5" s="3381">
        <f t="shared" ref="W5:W11" si="1">T5</f>
        <v>1.0107999999999999</v>
      </c>
      <c r="X5" s="3365"/>
      <c r="Y5" s="3390">
        <f t="shared" ref="Y5:AC6" si="2">IF(D5=0,0,ROUND(AVERAGE(D5:D18)/100,4))</f>
        <v>0</v>
      </c>
      <c r="Z5" s="3390">
        <f t="shared" si="2"/>
        <v>0</v>
      </c>
      <c r="AA5" s="3390">
        <f t="shared" si="2"/>
        <v>0</v>
      </c>
      <c r="AB5" s="3390">
        <f t="shared" si="2"/>
        <v>0</v>
      </c>
      <c r="AC5" s="3390">
        <f t="shared" si="2"/>
        <v>0</v>
      </c>
      <c r="AD5" s="3390">
        <f>AA5</f>
        <v>0</v>
      </c>
    </row>
    <row r="6" spans="1:30">
      <c r="A6" s="3345" t="s">
        <v>3256</v>
      </c>
      <c r="B6" s="3406">
        <v>2024</v>
      </c>
      <c r="C6" s="3407">
        <v>2</v>
      </c>
      <c r="D6" s="3407">
        <v>-0.59</v>
      </c>
      <c r="E6" s="3407">
        <v>-0.21</v>
      </c>
      <c r="F6" s="3407">
        <v>-1.38</v>
      </c>
      <c r="G6" s="3407">
        <v>-1.24</v>
      </c>
      <c r="H6" s="3408">
        <v>0.34</v>
      </c>
      <c r="I6" s="3409">
        <f t="shared" ref="I6:I19" si="3">F6</f>
        <v>-1.38</v>
      </c>
      <c r="J6" s="3368"/>
      <c r="K6" s="3369">
        <f t="shared" ref="K6:O19" si="4">D6/100</f>
        <v>-5.8999999999999999E-3</v>
      </c>
      <c r="L6" s="3370">
        <f t="shared" si="4"/>
        <v>-2.0999999999999999E-3</v>
      </c>
      <c r="M6" s="3370">
        <f t="shared" si="4"/>
        <v>-1.38E-2</v>
      </c>
      <c r="N6" s="3370">
        <f t="shared" si="4"/>
        <v>-1.24E-2</v>
      </c>
      <c r="O6" s="3370">
        <f t="shared" si="4"/>
        <v>3.4000000000000002E-3</v>
      </c>
      <c r="P6" s="3370">
        <f t="shared" si="0"/>
        <v>-1.38E-2</v>
      </c>
      <c r="Q6" s="3368"/>
      <c r="R6" s="3368">
        <f>ROUND(IF(项目基本情况!$B$8="出让",SUMPRODUCT(PRODUCT(1+K6:$K$19)),SUMPRODUCT(PRODUCT(1+K6:$K$18))),4)</f>
        <v>1.0748</v>
      </c>
      <c r="S6" s="3368">
        <f>ROUND(IF(项目基本情况!$B$8="出让",SUMPRODUCT(PRODUCT(1+L6:$L$19)),SUMPRODUCT(PRODUCT(1+L6:$L$18))),4)</f>
        <v>1.0498000000000001</v>
      </c>
      <c r="T6" s="3368">
        <f>ROUND(IF(项目基本情况!$B$8="出让",SUMPRODUCT(PRODUCT(1+M6:$M$19)),SUMPRODUCT(PRODUCT(1+M6:$M$18))),4)</f>
        <v>1.0107999999999999</v>
      </c>
      <c r="U6" s="3368">
        <f>ROUND(IF(项目基本情况!$B$8="出让",SUMPRODUCT(PRODUCT(1+N6:$N$19)),SUMPRODUCT(PRODUCT(1+N6:$N$18))),4)</f>
        <v>1.0752999999999999</v>
      </c>
      <c r="V6" s="3368">
        <f>ROUND(IF(项目基本情况!$B$8="出让",SUMPRODUCT(PRODUCT(1+O6:$O$19)),SUMPRODUCT(PRODUCT(1+O6:$O$18))),4)</f>
        <v>1.0841000000000001</v>
      </c>
      <c r="W6" s="3368">
        <f t="shared" si="1"/>
        <v>1.0107999999999999</v>
      </c>
      <c r="X6" s="3368"/>
      <c r="Y6" s="3370">
        <f t="shared" si="2"/>
        <v>5.8999999999999999E-3</v>
      </c>
      <c r="Z6" s="3370">
        <f t="shared" si="2"/>
        <v>3.5999999999999999E-3</v>
      </c>
      <c r="AA6" s="3370">
        <f t="shared" si="2"/>
        <v>5.9999999999999995E-4</v>
      </c>
      <c r="AB6" s="3370">
        <f t="shared" si="2"/>
        <v>6.0000000000000001E-3</v>
      </c>
      <c r="AC6" s="3370">
        <f t="shared" si="2"/>
        <v>6.0000000000000001E-3</v>
      </c>
      <c r="AD6" s="3370">
        <f t="shared" ref="AD6:AD18" si="5">AA6</f>
        <v>5.9999999999999995E-4</v>
      </c>
    </row>
    <row r="7" spans="1:30">
      <c r="A7" s="3344" t="s">
        <v>3263</v>
      </c>
      <c r="B7" s="3403">
        <v>2024</v>
      </c>
      <c r="C7" s="3404">
        <v>1</v>
      </c>
      <c r="D7" s="3404">
        <v>0.08</v>
      </c>
      <c r="E7" s="3404">
        <v>0.46</v>
      </c>
      <c r="F7" s="3404">
        <v>-0.16</v>
      </c>
      <c r="G7" s="3404">
        <v>0.26</v>
      </c>
      <c r="H7" s="3410">
        <v>0.59</v>
      </c>
      <c r="I7" s="3405">
        <f t="shared" si="3"/>
        <v>-0.16</v>
      </c>
      <c r="J7" s="3365"/>
      <c r="K7" s="3366">
        <f>D7/100</f>
        <v>8.0000000000000004E-4</v>
      </c>
      <c r="L7" s="3367">
        <f>E7/100</f>
        <v>4.5999999999999999E-3</v>
      </c>
      <c r="M7" s="3367">
        <f>F7/100</f>
        <v>-1.6000000000000001E-3</v>
      </c>
      <c r="N7" s="3367">
        <f>G7/100</f>
        <v>2.5999999999999999E-3</v>
      </c>
      <c r="O7" s="3367">
        <f>H7/100</f>
        <v>5.8999999999999999E-3</v>
      </c>
      <c r="P7" s="3367">
        <f t="shared" si="0"/>
        <v>-1.6000000000000001E-3</v>
      </c>
      <c r="Q7" s="3365"/>
      <c r="R7" s="3381">
        <f>ROUND(IF(项目基本情况!$B$8="出让",SUMPRODUCT(PRODUCT(1+K7:$K$19)),SUMPRODUCT(PRODUCT(1+K7:$K$18))),4)</f>
        <v>1.0811999999999999</v>
      </c>
      <c r="S7" s="3381">
        <f>ROUND(IF(项目基本情况!$B$8="出让",SUMPRODUCT(PRODUCT(1+L7:$L$19)),SUMPRODUCT(PRODUCT(1+L7:$L$18))),4)</f>
        <v>1.052</v>
      </c>
      <c r="T7" s="3381">
        <f>ROUND(IF(项目基本情况!$B$8="出让",SUMPRODUCT(PRODUCT(1+M7:$M$19)),SUMPRODUCT(PRODUCT(1+M7:$M$18))),4)</f>
        <v>1.0249999999999999</v>
      </c>
      <c r="U7" s="3381">
        <f>ROUND(IF(项目基本情况!$B$8="出让",SUMPRODUCT(PRODUCT(1+N7:$N$19)),SUMPRODUCT(PRODUCT(1+N7:$N$18))),4)</f>
        <v>1.0888</v>
      </c>
      <c r="V7" s="3381">
        <f>ROUND(IF(项目基本情况!$B$8="出让",SUMPRODUCT(PRODUCT(1+O7:$O$19)),SUMPRODUCT(PRODUCT(1+O7:$O$18))),4)</f>
        <v>1.0804</v>
      </c>
      <c r="W7" s="3381">
        <f t="shared" si="1"/>
        <v>1.0249999999999999</v>
      </c>
      <c r="X7" s="3365"/>
      <c r="Y7" s="3390">
        <f t="shared" ref="Y7:AC11" si="6">IF(D7=0,0,ROUND(AVERAGE(D7:D18)/100,4))</f>
        <v>6.4999999999999997E-3</v>
      </c>
      <c r="Z7" s="3390">
        <f t="shared" si="6"/>
        <v>4.1999999999999997E-3</v>
      </c>
      <c r="AA7" s="3390">
        <f t="shared" si="6"/>
        <v>2.0999999999999999E-3</v>
      </c>
      <c r="AB7" s="3390">
        <f t="shared" si="6"/>
        <v>7.1000000000000004E-3</v>
      </c>
      <c r="AC7" s="3390">
        <f t="shared" si="6"/>
        <v>6.4999999999999997E-3</v>
      </c>
      <c r="AD7" s="3390">
        <f>AA7</f>
        <v>2.0999999999999999E-3</v>
      </c>
    </row>
    <row r="8" spans="1:30">
      <c r="A8" s="3344" t="s">
        <v>3258</v>
      </c>
      <c r="B8" s="3403">
        <v>2023</v>
      </c>
      <c r="C8" s="3404">
        <v>4</v>
      </c>
      <c r="D8" s="3404">
        <v>0.19</v>
      </c>
      <c r="E8" s="3404">
        <v>0.24</v>
      </c>
      <c r="F8" s="3404">
        <v>-0.16</v>
      </c>
      <c r="G8" s="3404">
        <v>0.17</v>
      </c>
      <c r="H8" s="3410">
        <v>0.61</v>
      </c>
      <c r="I8" s="3405">
        <f>F8</f>
        <v>-0.16</v>
      </c>
      <c r="J8" s="3365"/>
      <c r="K8" s="3366">
        <f t="shared" si="4"/>
        <v>1.9E-3</v>
      </c>
      <c r="L8" s="3367">
        <f t="shared" si="4"/>
        <v>2.3999999999999998E-3</v>
      </c>
      <c r="M8" s="3367">
        <f t="shared" si="4"/>
        <v>-1.6000000000000001E-3</v>
      </c>
      <c r="N8" s="3367">
        <f t="shared" si="4"/>
        <v>1.7000000000000001E-3</v>
      </c>
      <c r="O8" s="3367">
        <f t="shared" si="4"/>
        <v>6.0999999999999995E-3</v>
      </c>
      <c r="P8" s="3367">
        <f t="shared" si="0"/>
        <v>-1.6000000000000001E-3</v>
      </c>
      <c r="Q8" s="3365"/>
      <c r="R8" s="3381">
        <f>ROUND(IF(项目基本情况!$B$8="出让",SUMPRODUCT(PRODUCT(1+K8:$K$19)),SUMPRODUCT(PRODUCT(1+K8:$K$18))),4)</f>
        <v>1.0804</v>
      </c>
      <c r="S8" s="3381">
        <f>ROUND(IF(项目基本情况!$B$8="出让",SUMPRODUCT(PRODUCT(1+L8:$L$19)),SUMPRODUCT(PRODUCT(1+L8:$L$18))),4)</f>
        <v>1.0471999999999999</v>
      </c>
      <c r="T8" s="3381">
        <f>ROUND(IF(项目基本情况!$B$8="出让",SUMPRODUCT(PRODUCT(1+M8:$M$19)),SUMPRODUCT(PRODUCT(1+M8:$M$18))),4)</f>
        <v>1.0266</v>
      </c>
      <c r="U8" s="3381">
        <f>ROUND(IF(项目基本情况!$B$8="出让",SUMPRODUCT(PRODUCT(1+N8:$N$19)),SUMPRODUCT(PRODUCT(1+N8:$N$18))),4)</f>
        <v>1.0859000000000001</v>
      </c>
      <c r="V8" s="3381">
        <f>ROUND(IF(项目基本情况!$B$8="出让",SUMPRODUCT(PRODUCT(1+O8:$O$19)),SUMPRODUCT(PRODUCT(1+O8:$O$18))),4)</f>
        <v>1.0741000000000001</v>
      </c>
      <c r="W8" s="3381">
        <f t="shared" si="1"/>
        <v>1.0266</v>
      </c>
      <c r="X8" s="3365"/>
      <c r="Y8" s="3390">
        <f t="shared" si="6"/>
        <v>7.3000000000000001E-3</v>
      </c>
      <c r="Z8" s="3390">
        <f t="shared" si="6"/>
        <v>4.0000000000000001E-3</v>
      </c>
      <c r="AA8" s="3390">
        <f t="shared" si="6"/>
        <v>2E-3</v>
      </c>
      <c r="AB8" s="3390">
        <f t="shared" si="6"/>
        <v>7.7999999999999996E-3</v>
      </c>
      <c r="AC8" s="3390">
        <f t="shared" si="6"/>
        <v>6.3E-3</v>
      </c>
      <c r="AD8" s="3390">
        <f t="shared" si="5"/>
        <v>2E-3</v>
      </c>
    </row>
    <row r="9" spans="1:30">
      <c r="A9" s="3344" t="s">
        <v>3257</v>
      </c>
      <c r="B9" s="3403">
        <v>2023</v>
      </c>
      <c r="C9" s="3404">
        <v>3</v>
      </c>
      <c r="D9" s="3404">
        <v>0.25</v>
      </c>
      <c r="E9" s="3404">
        <v>0.5</v>
      </c>
      <c r="F9" s="3404">
        <v>0.31</v>
      </c>
      <c r="G9" s="3404">
        <v>0.21</v>
      </c>
      <c r="H9" s="3410">
        <v>0.43</v>
      </c>
      <c r="I9" s="3405">
        <f t="shared" si="3"/>
        <v>0.31</v>
      </c>
      <c r="J9" s="3365"/>
      <c r="K9" s="3366">
        <f t="shared" ref="K9:O11" si="7">D9/100</f>
        <v>2.5000000000000001E-3</v>
      </c>
      <c r="L9" s="3367">
        <f t="shared" si="7"/>
        <v>5.0000000000000001E-3</v>
      </c>
      <c r="M9" s="3367">
        <f t="shared" si="7"/>
        <v>3.0999999999999999E-3</v>
      </c>
      <c r="N9" s="3367">
        <f t="shared" si="7"/>
        <v>2.0999999999999999E-3</v>
      </c>
      <c r="O9" s="3367">
        <f t="shared" si="7"/>
        <v>4.3E-3</v>
      </c>
      <c r="P9" s="3367">
        <f t="shared" si="0"/>
        <v>3.0999999999999999E-3</v>
      </c>
      <c r="Q9" s="3365"/>
      <c r="R9" s="3381">
        <f>ROUND(IF(项目基本情况!$B$8="出让",SUMPRODUCT(PRODUCT(1+K9:$K$19)),SUMPRODUCT(PRODUCT(1+K9:$K$18))),4)</f>
        <v>1.0783</v>
      </c>
      <c r="S9" s="3381">
        <f>ROUND(IF(项目基本情况!$B$8="出让",SUMPRODUCT(PRODUCT(1+L9:$L$19)),SUMPRODUCT(PRODUCT(1+L9:$L$18))),4)</f>
        <v>1.0447</v>
      </c>
      <c r="T9" s="3381">
        <f>ROUND(IF(项目基本情况!$B$8="出让",SUMPRODUCT(PRODUCT(1+M9:$M$19)),SUMPRODUCT(PRODUCT(1+M9:$M$18))),4)</f>
        <v>1.0282</v>
      </c>
      <c r="U9" s="3381">
        <f>ROUND(IF(项目基本情况!$B$8="出让",SUMPRODUCT(PRODUCT(1+N9:$N$19)),SUMPRODUCT(PRODUCT(1+N9:$N$18))),4)</f>
        <v>1.0841000000000001</v>
      </c>
      <c r="V9" s="3381">
        <f>ROUND(IF(项目基本情况!$B$8="出让",SUMPRODUCT(PRODUCT(1+O9:$O$19)),SUMPRODUCT(PRODUCT(1+O9:$O$18))),4)</f>
        <v>1.0674999999999999</v>
      </c>
      <c r="W9" s="3381">
        <f t="shared" si="1"/>
        <v>1.0282</v>
      </c>
      <c r="X9" s="3365"/>
      <c r="Y9" s="3390">
        <f t="shared" si="6"/>
        <v>7.7999999999999996E-3</v>
      </c>
      <c r="Z9" s="3390">
        <f t="shared" si="6"/>
        <v>4.1000000000000003E-3</v>
      </c>
      <c r="AA9" s="3390">
        <f t="shared" si="6"/>
        <v>2.3E-3</v>
      </c>
      <c r="AB9" s="3390">
        <f t="shared" si="6"/>
        <v>8.3999999999999995E-3</v>
      </c>
      <c r="AC9" s="3390">
        <f t="shared" si="6"/>
        <v>6.3E-3</v>
      </c>
      <c r="AD9" s="3390">
        <f>AA9</f>
        <v>2.3E-3</v>
      </c>
    </row>
    <row r="10" spans="1:30">
      <c r="A10" s="3344" t="s">
        <v>3254</v>
      </c>
      <c r="B10" s="3403">
        <v>2023</v>
      </c>
      <c r="C10" s="3404">
        <v>2</v>
      </c>
      <c r="D10" s="3404">
        <v>0.91</v>
      </c>
      <c r="E10" s="3404">
        <v>0.66</v>
      </c>
      <c r="F10" s="3404">
        <v>0.47</v>
      </c>
      <c r="G10" s="3404">
        <v>0.96</v>
      </c>
      <c r="H10" s="3410">
        <v>0.71</v>
      </c>
      <c r="I10" s="3405">
        <f t="shared" si="3"/>
        <v>0.47</v>
      </c>
      <c r="J10" s="3365"/>
      <c r="K10" s="3366">
        <f t="shared" si="7"/>
        <v>9.1000000000000004E-3</v>
      </c>
      <c r="L10" s="3367">
        <f t="shared" si="7"/>
        <v>6.6E-3</v>
      </c>
      <c r="M10" s="3367">
        <f t="shared" si="7"/>
        <v>4.6999999999999993E-3</v>
      </c>
      <c r="N10" s="3367">
        <f t="shared" si="7"/>
        <v>9.5999999999999992E-3</v>
      </c>
      <c r="O10" s="3367">
        <f t="shared" si="7"/>
        <v>7.0999999999999995E-3</v>
      </c>
      <c r="P10" s="3367">
        <f t="shared" si="0"/>
        <v>4.6999999999999993E-3</v>
      </c>
      <c r="Q10" s="3365"/>
      <c r="R10" s="3381">
        <f>ROUND(IF(项目基本情况!$B$8="出让",SUMPRODUCT(PRODUCT(1+K10:$K$19)),SUMPRODUCT(PRODUCT(1+K10:$K$18))),4)</f>
        <v>1.0755999999999999</v>
      </c>
      <c r="S10" s="3381">
        <f>ROUND(IF(项目基本情况!$B$8="出让",SUMPRODUCT(PRODUCT(1+L10:$L$19)),SUMPRODUCT(PRODUCT(1+L10:$L$18))),4)</f>
        <v>1.0395000000000001</v>
      </c>
      <c r="T10" s="3381">
        <f>ROUND(IF(项目基本情况!$B$8="出让",SUMPRODUCT(PRODUCT(1+M10:$M$19)),SUMPRODUCT(PRODUCT(1+M10:$M$18))),4)</f>
        <v>1.0250999999999999</v>
      </c>
      <c r="U10" s="3381">
        <f>ROUND(IF(项目基本情况!$B$8="出让",SUMPRODUCT(PRODUCT(1+N10:$N$19)),SUMPRODUCT(PRODUCT(1+N10:$N$18))),4)</f>
        <v>1.0818000000000001</v>
      </c>
      <c r="V10" s="3381">
        <f>ROUND(IF(项目基本情况!$B$8="出让",SUMPRODUCT(PRODUCT(1+O10:$O$19)),SUMPRODUCT(PRODUCT(1+O10:$O$18))),4)</f>
        <v>1.0629999999999999</v>
      </c>
      <c r="W10" s="3381">
        <f t="shared" si="1"/>
        <v>1.0250999999999999</v>
      </c>
      <c r="X10" s="3365"/>
      <c r="Y10" s="3390">
        <f t="shared" si="6"/>
        <v>8.3000000000000001E-3</v>
      </c>
      <c r="Z10" s="3390">
        <f t="shared" si="6"/>
        <v>4.0000000000000001E-3</v>
      </c>
      <c r="AA10" s="3390">
        <f t="shared" si="6"/>
        <v>2.2000000000000001E-3</v>
      </c>
      <c r="AB10" s="3390">
        <f t="shared" si="6"/>
        <v>8.9999999999999993E-3</v>
      </c>
      <c r="AC10" s="3390">
        <f t="shared" si="6"/>
        <v>6.4999999999999997E-3</v>
      </c>
      <c r="AD10" s="3390">
        <f>AA10</f>
        <v>2.2000000000000001E-3</v>
      </c>
    </row>
    <row r="11" spans="1:30">
      <c r="A11" s="3344" t="s">
        <v>3252</v>
      </c>
      <c r="B11" s="3403">
        <v>2023</v>
      </c>
      <c r="C11" s="3404">
        <v>1</v>
      </c>
      <c r="D11" s="3404">
        <v>0.89</v>
      </c>
      <c r="E11" s="3404">
        <v>0.74</v>
      </c>
      <c r="F11" s="3404">
        <v>0.56999999999999995</v>
      </c>
      <c r="G11" s="3404">
        <v>0.92</v>
      </c>
      <c r="H11" s="3410">
        <v>0.5</v>
      </c>
      <c r="I11" s="3405">
        <f t="shared" si="3"/>
        <v>0.56999999999999995</v>
      </c>
      <c r="J11" s="3365"/>
      <c r="K11" s="3366">
        <f t="shared" si="7"/>
        <v>8.8999999999999999E-3</v>
      </c>
      <c r="L11" s="3367">
        <f t="shared" si="7"/>
        <v>7.4000000000000003E-3</v>
      </c>
      <c r="M11" s="3367">
        <f t="shared" si="7"/>
        <v>5.6999999999999993E-3</v>
      </c>
      <c r="N11" s="3367">
        <f t="shared" si="7"/>
        <v>9.1999999999999998E-3</v>
      </c>
      <c r="O11" s="3367">
        <f t="shared" si="7"/>
        <v>5.0000000000000001E-3</v>
      </c>
      <c r="P11" s="3367">
        <f t="shared" si="0"/>
        <v>5.6999999999999993E-3</v>
      </c>
      <c r="Q11" s="3365"/>
      <c r="R11" s="3381">
        <f>ROUND(IF(项目基本情况!$B$8="出让",SUMPRODUCT(PRODUCT(1+K11:$K$19)),SUMPRODUCT(PRODUCT(1+K11:$K$18))),4)</f>
        <v>1.0659000000000001</v>
      </c>
      <c r="S11" s="3381">
        <f>ROUND(IF(项目基本情况!$B$8="出让",SUMPRODUCT(PRODUCT(1+L11:$L$19)),SUMPRODUCT(PRODUCT(1+L11:$L$18))),4)</f>
        <v>1.0326</v>
      </c>
      <c r="T11" s="3381">
        <f>ROUND(IF(项目基本情况!$B$8="出让",SUMPRODUCT(PRODUCT(1+M11:$M$19)),SUMPRODUCT(PRODUCT(1+M11:$M$18))),4)</f>
        <v>1.0203</v>
      </c>
      <c r="U11" s="3381">
        <f>ROUND(IF(项目基本情况!$B$8="出让",SUMPRODUCT(PRODUCT(1+N11:$N$19)),SUMPRODUCT(PRODUCT(1+N11:$N$18))),4)</f>
        <v>1.0714999999999999</v>
      </c>
      <c r="V11" s="3381">
        <f>ROUND(IF(项目基本情况!$B$8="出让",SUMPRODUCT(PRODUCT(1+O11:$O$19)),SUMPRODUCT(PRODUCT(1+O11:$O$18))),4)</f>
        <v>1.0555000000000001</v>
      </c>
      <c r="W11" s="3381">
        <f t="shared" si="1"/>
        <v>1.0203</v>
      </c>
      <c r="X11" s="3365"/>
      <c r="Y11" s="3390">
        <f t="shared" si="6"/>
        <v>8.2000000000000007E-3</v>
      </c>
      <c r="Z11" s="3390">
        <f t="shared" si="6"/>
        <v>3.8E-3</v>
      </c>
      <c r="AA11" s="3390">
        <f t="shared" si="6"/>
        <v>2E-3</v>
      </c>
      <c r="AB11" s="3390">
        <f t="shared" si="6"/>
        <v>8.8999999999999999E-3</v>
      </c>
      <c r="AC11" s="3390">
        <f t="shared" si="6"/>
        <v>6.4000000000000003E-3</v>
      </c>
      <c r="AD11" s="3390">
        <f>AA11</f>
        <v>2E-3</v>
      </c>
    </row>
    <row r="12" spans="1:30">
      <c r="A12" s="3344" t="s">
        <v>3250</v>
      </c>
      <c r="B12" s="3403">
        <v>2022</v>
      </c>
      <c r="C12" s="3404">
        <v>4</v>
      </c>
      <c r="D12" s="3404">
        <v>0.62</v>
      </c>
      <c r="E12" s="3404">
        <v>0.2</v>
      </c>
      <c r="F12" s="3404">
        <v>0.11</v>
      </c>
      <c r="G12" s="3404">
        <v>0.69</v>
      </c>
      <c r="H12" s="3410">
        <v>0.53</v>
      </c>
      <c r="I12" s="3405">
        <f t="shared" si="3"/>
        <v>0.11</v>
      </c>
      <c r="J12" s="3365"/>
      <c r="K12" s="3366">
        <f t="shared" si="4"/>
        <v>6.1999999999999998E-3</v>
      </c>
      <c r="L12" s="3367">
        <f t="shared" si="4"/>
        <v>2E-3</v>
      </c>
      <c r="M12" s="3367">
        <f t="shared" si="4"/>
        <v>1.1000000000000001E-3</v>
      </c>
      <c r="N12" s="3367">
        <f t="shared" si="4"/>
        <v>6.8999999999999999E-3</v>
      </c>
      <c r="O12" s="3367">
        <f t="shared" si="4"/>
        <v>5.3E-3</v>
      </c>
      <c r="P12" s="3367">
        <f t="shared" ref="P12:P19" si="8">M12</f>
        <v>1.1000000000000001E-3</v>
      </c>
      <c r="Q12" s="3365"/>
      <c r="R12" s="3381">
        <f>ROUND(IF(项目基本情况!B8="出让",SUMPRODUCT(PRODUCT(1+K12:K19)),SUMPRODUCT(PRODUCT(1+K12:K18))),4)</f>
        <v>1.0565</v>
      </c>
      <c r="S12" s="3381">
        <f>ROUND(IF(项目基本情况!B8="出让",SUMPRODUCT(PRODUCT(1+L12:L19)),SUMPRODUCT(PRODUCT(1+L12:L18))),4)</f>
        <v>1.0250999999999999</v>
      </c>
      <c r="T12" s="3381">
        <f>ROUND(IF(项目基本情况!B8="出让",SUMPRODUCT(PRODUCT(1+M12:M19)),SUMPRODUCT(PRODUCT(1+M12:M18))),4)</f>
        <v>1.0145</v>
      </c>
      <c r="U12" s="3381">
        <f>ROUND(IF(项目基本情况!B8="出让",SUMPRODUCT(PRODUCT(1+N12:N19)),SUMPRODUCT(PRODUCT(1+N12:N18))),4)</f>
        <v>1.0618000000000001</v>
      </c>
      <c r="V12" s="3381">
        <f>ROUND(IF(项目基本情况!B8="出让",SUMPRODUCT(PRODUCT(1+O12:O19)),SUMPRODUCT(PRODUCT(1+O12:O18))),4)</f>
        <v>1.0502</v>
      </c>
      <c r="W12" s="3381">
        <f t="shared" ref="W12:W19" si="9">T12</f>
        <v>1.0145</v>
      </c>
      <c r="X12" s="3365"/>
      <c r="Y12" s="3390">
        <f>IF(D12=0,0,ROUND(AVERAGE(D12:D20)/100,4))</f>
        <v>8.0999999999999996E-3</v>
      </c>
      <c r="Z12" s="3390">
        <f>IF(E12=0,0,ROUND(AVERAGE(E12:E19)/100,4))</f>
        <v>3.3E-3</v>
      </c>
      <c r="AA12" s="3390">
        <f>IF(F12=0,0,ROUND(AVERAGE(F12:F19)/100,4))</f>
        <v>1.5E-3</v>
      </c>
      <c r="AB12" s="3390">
        <f>IF(G12=0,0,ROUND(AVERAGE(G12:G19)/100,4))</f>
        <v>8.8999999999999999E-3</v>
      </c>
      <c r="AC12" s="3390">
        <f>IF(H12=0,0,ROUND(AVERAGE(H12:H19)/100,4))</f>
        <v>6.6E-3</v>
      </c>
      <c r="AD12" s="3390">
        <f t="shared" si="5"/>
        <v>1.5E-3</v>
      </c>
    </row>
    <row r="13" spans="1:30">
      <c r="A13" s="3344" t="s">
        <v>3245</v>
      </c>
      <c r="B13" s="3403">
        <v>2022</v>
      </c>
      <c r="C13" s="3404">
        <v>3</v>
      </c>
      <c r="D13" s="3404">
        <v>0.66</v>
      </c>
      <c r="E13" s="3404">
        <v>0.32</v>
      </c>
      <c r="F13" s="3404">
        <v>0.23</v>
      </c>
      <c r="G13" s="3404">
        <v>0.72</v>
      </c>
      <c r="H13" s="3410">
        <v>0.63</v>
      </c>
      <c r="I13" s="3405">
        <f t="shared" si="3"/>
        <v>0.23</v>
      </c>
      <c r="J13" s="3365"/>
      <c r="K13" s="3366">
        <f t="shared" si="4"/>
        <v>6.6E-3</v>
      </c>
      <c r="L13" s="3367">
        <f t="shared" si="4"/>
        <v>3.2000000000000002E-3</v>
      </c>
      <c r="M13" s="3367">
        <f t="shared" si="4"/>
        <v>2.3E-3</v>
      </c>
      <c r="N13" s="3367">
        <f t="shared" si="4"/>
        <v>7.1999999999999998E-3</v>
      </c>
      <c r="O13" s="3367">
        <f t="shared" si="4"/>
        <v>6.3E-3</v>
      </c>
      <c r="P13" s="3367">
        <f t="shared" si="8"/>
        <v>2.3E-3</v>
      </c>
      <c r="Q13" s="3365"/>
      <c r="R13" s="3381">
        <f>ROUND(IF(项目基本情况!B8="出让",SUMPRODUCT(PRODUCT(1+K13:K19)),SUMPRODUCT(PRODUCT(1+K13:K18))),4)</f>
        <v>1.05</v>
      </c>
      <c r="S13" s="3381">
        <f>ROUND(IF(项目基本情况!B8="出让",SUMPRODUCT(PRODUCT(1+L13:L19)),SUMPRODUCT(PRODUCT(1+L13:L18))),4)</f>
        <v>1.0229999999999999</v>
      </c>
      <c r="T13" s="3381">
        <f>ROUND(IF(项目基本情况!B8="出让",SUMPRODUCT(PRODUCT(1+M13:M19)),SUMPRODUCT(PRODUCT(1+M13:M18))),4)</f>
        <v>1.0134000000000001</v>
      </c>
      <c r="U13" s="3381">
        <f>ROUND(IF(项目基本情况!B8="出让",SUMPRODUCT(PRODUCT(1+N13:N19)),SUMPRODUCT(PRODUCT(1+N13:N18))),4)</f>
        <v>1.0545</v>
      </c>
      <c r="V13" s="3381">
        <f>ROUND(IF(项目基本情况!B8="出让",SUMPRODUCT(PRODUCT(1+O13:O19)),SUMPRODUCT(PRODUCT(1+O13:O18))),4)</f>
        <v>1.0447</v>
      </c>
      <c r="W13" s="3381">
        <f t="shared" si="9"/>
        <v>1.0134000000000001</v>
      </c>
      <c r="X13" s="3365"/>
      <c r="Y13" s="3390">
        <f>IF(D13=0,0,ROUND(AVERAGE(D13:D19)/100,4))</f>
        <v>8.3999999999999995E-3</v>
      </c>
      <c r="Z13" s="3390">
        <f>IF(E13=0,0,ROUND(AVERAGE(E13:E19)/100,4))</f>
        <v>3.5000000000000001E-3</v>
      </c>
      <c r="AA13" s="3390">
        <f>IF(F13=0,0,ROUND(AVERAGE(F13:F19)/100,4))</f>
        <v>1.5E-3</v>
      </c>
      <c r="AB13" s="3390">
        <f>IF(G13=0,0,ROUND(AVERAGE(G13:G19)/100,4))</f>
        <v>9.1999999999999998E-3</v>
      </c>
      <c r="AC13" s="3390">
        <f>IF(H13=0,0,ROUND(AVERAGE(H13:H19)/100,4))</f>
        <v>6.7999999999999996E-3</v>
      </c>
      <c r="AD13" s="3390">
        <f t="shared" si="5"/>
        <v>1.5E-3</v>
      </c>
    </row>
    <row r="14" spans="1:30">
      <c r="A14" s="3344" t="s">
        <v>3246</v>
      </c>
      <c r="B14" s="3403">
        <v>2022</v>
      </c>
      <c r="C14" s="3404">
        <v>2</v>
      </c>
      <c r="D14" s="3404">
        <v>0.93</v>
      </c>
      <c r="E14" s="3404">
        <v>0.15</v>
      </c>
      <c r="F14" s="3404">
        <v>0.01</v>
      </c>
      <c r="G14" s="3404">
        <v>1.05</v>
      </c>
      <c r="H14" s="3410">
        <v>1.08</v>
      </c>
      <c r="I14" s="3405">
        <f t="shared" si="3"/>
        <v>0.01</v>
      </c>
      <c r="J14" s="3365"/>
      <c r="K14" s="3366">
        <f t="shared" si="4"/>
        <v>9.300000000000001E-3</v>
      </c>
      <c r="L14" s="3367">
        <f t="shared" si="4"/>
        <v>1.5E-3</v>
      </c>
      <c r="M14" s="3367">
        <f t="shared" si="4"/>
        <v>1E-4</v>
      </c>
      <c r="N14" s="3367">
        <f t="shared" si="4"/>
        <v>1.0500000000000001E-2</v>
      </c>
      <c r="O14" s="3367">
        <f t="shared" si="4"/>
        <v>1.0800000000000001E-2</v>
      </c>
      <c r="P14" s="3367">
        <f t="shared" si="8"/>
        <v>1E-4</v>
      </c>
      <c r="Q14" s="3365"/>
      <c r="R14" s="3381">
        <f>ROUND(IF(项目基本情况!B8="出让",SUMPRODUCT(PRODUCT(1+K14:K19)),SUMPRODUCT(PRODUCT(1+K14:K18))),4)</f>
        <v>1.0430999999999999</v>
      </c>
      <c r="S14" s="3381">
        <f>ROUND(IF(项目基本情况!B8="出让",SUMPRODUCT(PRODUCT(1+L14:L19)),SUMPRODUCT(PRODUCT(1+L14:L18))),4)</f>
        <v>1.0197000000000001</v>
      </c>
      <c r="T14" s="3381">
        <f>ROUND(IF(项目基本情况!B8="出让",SUMPRODUCT(PRODUCT(1+M14:M19)),SUMPRODUCT(PRODUCT(1+M14:M18))),4)</f>
        <v>1.0109999999999999</v>
      </c>
      <c r="U14" s="3381">
        <f>ROUND(IF(项目基本情况!B8="出让",SUMPRODUCT(PRODUCT(1+N14:N19)),SUMPRODUCT(PRODUCT(1+N14:N18))),4)</f>
        <v>1.0468999999999999</v>
      </c>
      <c r="V14" s="3381">
        <f>ROUND(IF(项目基本情况!B8="出让",SUMPRODUCT(PRODUCT(1+O14:O19)),SUMPRODUCT(PRODUCT(1+O14:O18))),4)</f>
        <v>1.0382</v>
      </c>
      <c r="W14" s="3381">
        <f t="shared" si="9"/>
        <v>1.0109999999999999</v>
      </c>
      <c r="X14" s="3365"/>
      <c r="Y14" s="3390">
        <f>IF(D14=0,0,ROUND(AVERAGE(D14:D19)/100,4))</f>
        <v>8.6999999999999994E-3</v>
      </c>
      <c r="Z14" s="3390">
        <f>IF(E14=0,0,ROUND(AVERAGE(E14:E19)/100,4))</f>
        <v>3.5000000000000001E-3</v>
      </c>
      <c r="AA14" s="3390">
        <f>IF(F14=0,0,ROUND(AVERAGE(F14:F19)/100,4))</f>
        <v>1.4E-3</v>
      </c>
      <c r="AB14" s="3390">
        <f>IF(G14=0,0,ROUND(AVERAGE(G14:G19)/100,4))</f>
        <v>9.4999999999999998E-3</v>
      </c>
      <c r="AC14" s="3390">
        <f>IF(H14=0,0,ROUND(AVERAGE(H14:H19)/100,4))</f>
        <v>6.8999999999999999E-3</v>
      </c>
      <c r="AD14" s="3390">
        <f t="shared" si="5"/>
        <v>1.4E-3</v>
      </c>
    </row>
    <row r="15" spans="1:30">
      <c r="A15" s="3344" t="s">
        <v>2780</v>
      </c>
      <c r="B15" s="3403">
        <v>2022</v>
      </c>
      <c r="C15" s="3404">
        <v>1</v>
      </c>
      <c r="D15" s="3404">
        <v>0.89</v>
      </c>
      <c r="E15" s="3404">
        <v>0.44</v>
      </c>
      <c r="F15" s="3404">
        <v>0.37</v>
      </c>
      <c r="G15" s="3404">
        <v>0.96</v>
      </c>
      <c r="H15" s="3410">
        <v>0.64</v>
      </c>
      <c r="I15" s="3405">
        <f t="shared" si="3"/>
        <v>0.37</v>
      </c>
      <c r="J15" s="3365"/>
      <c r="K15" s="3366">
        <f t="shared" si="4"/>
        <v>8.8999999999999999E-3</v>
      </c>
      <c r="L15" s="3367">
        <f t="shared" si="4"/>
        <v>4.4000000000000003E-3</v>
      </c>
      <c r="M15" s="3367">
        <f t="shared" si="4"/>
        <v>3.7000000000000002E-3</v>
      </c>
      <c r="N15" s="3367">
        <f t="shared" si="4"/>
        <v>9.5999999999999992E-3</v>
      </c>
      <c r="O15" s="3367">
        <f t="shared" si="4"/>
        <v>6.4000000000000003E-3</v>
      </c>
      <c r="P15" s="3367">
        <f t="shared" si="8"/>
        <v>3.7000000000000002E-3</v>
      </c>
      <c r="Q15" s="3365"/>
      <c r="R15" s="3381">
        <f>ROUND(IF(项目基本情况!B8="出让",SUMPRODUCT(PRODUCT(1+K15:K19)),SUMPRODUCT(PRODUCT(1+K15:K18))),4)</f>
        <v>1.0335000000000001</v>
      </c>
      <c r="S15" s="3381">
        <f>ROUND(IF(项目基本情况!B8="出让",SUMPRODUCT(PRODUCT(1+L15:L19)),SUMPRODUCT(PRODUCT(1+L15:L18))),4)</f>
        <v>1.0182</v>
      </c>
      <c r="T15" s="3381">
        <f>ROUND(IF(项目基本情况!B8="出让",SUMPRODUCT(PRODUCT(1+M15:M19)),SUMPRODUCT(PRODUCT(1+M15:M18))),4)</f>
        <v>1.0108999999999999</v>
      </c>
      <c r="U15" s="3381">
        <f>ROUND(IF(项目基本情况!B8="出让",SUMPRODUCT(PRODUCT(1+N15:N19)),SUMPRODUCT(PRODUCT(1+N15:N18))),4)</f>
        <v>1.0361</v>
      </c>
      <c r="V15" s="3381">
        <f>ROUND(IF(项目基本情况!B8="出让",SUMPRODUCT(PRODUCT(1+O15:O19)),SUMPRODUCT(PRODUCT(1+O15:O18))),4)</f>
        <v>1.0270999999999999</v>
      </c>
      <c r="W15" s="3381">
        <f t="shared" si="9"/>
        <v>1.0108999999999999</v>
      </c>
      <c r="X15" s="3365"/>
      <c r="Y15" s="3390">
        <f>IF(D15=0,0,ROUND(AVERAGE(D15:D19)/100,4))</f>
        <v>8.6E-3</v>
      </c>
      <c r="Z15" s="3390">
        <f>IF(E15=0,0,ROUND(AVERAGE(E15:E19)/100,4))</f>
        <v>3.8999999999999998E-3</v>
      </c>
      <c r="AA15" s="3390">
        <f>IF(F15=0,0,ROUND(AVERAGE(F15:F19)/100,4))</f>
        <v>1.6999999999999999E-3</v>
      </c>
      <c r="AB15" s="3390">
        <f>IF(G15=0,0,ROUND(AVERAGE(G15:G19)/100,4))</f>
        <v>9.2999999999999992E-3</v>
      </c>
      <c r="AC15" s="3390">
        <f>IF(H15=0,0,ROUND(AVERAGE(H15:H19)/100,4))</f>
        <v>6.1000000000000004E-3</v>
      </c>
      <c r="AD15" s="3390">
        <f t="shared" si="5"/>
        <v>1.6999999999999999E-3</v>
      </c>
    </row>
    <row r="16" spans="1:30">
      <c r="A16" s="3344" t="s">
        <v>2781</v>
      </c>
      <c r="B16" s="3403">
        <v>2021</v>
      </c>
      <c r="C16" s="3404">
        <v>4</v>
      </c>
      <c r="D16" s="3404">
        <v>1.03</v>
      </c>
      <c r="E16" s="3404">
        <v>0.24</v>
      </c>
      <c r="F16" s="3404">
        <v>7.0000000000000007E-2</v>
      </c>
      <c r="G16" s="3404">
        <v>1.17</v>
      </c>
      <c r="H16" s="3410">
        <v>0.55000000000000004</v>
      </c>
      <c r="I16" s="3405">
        <f t="shared" si="3"/>
        <v>7.0000000000000007E-2</v>
      </c>
      <c r="J16" s="3365"/>
      <c r="K16" s="3366">
        <f t="shared" si="4"/>
        <v>1.03E-2</v>
      </c>
      <c r="L16" s="3367">
        <f t="shared" si="4"/>
        <v>2.3999999999999998E-3</v>
      </c>
      <c r="M16" s="3367">
        <f t="shared" si="4"/>
        <v>7.000000000000001E-4</v>
      </c>
      <c r="N16" s="3367">
        <f t="shared" si="4"/>
        <v>1.1699999999999999E-2</v>
      </c>
      <c r="O16" s="3367">
        <f t="shared" si="4"/>
        <v>5.5000000000000005E-3</v>
      </c>
      <c r="P16" s="3367">
        <f t="shared" si="8"/>
        <v>7.000000000000001E-4</v>
      </c>
      <c r="Q16" s="3365"/>
      <c r="R16" s="3381">
        <f>ROUND(IF(项目基本情况!B8="出让",SUMPRODUCT(PRODUCT(1+K16:K19)),SUMPRODUCT(PRODUCT(1+K16:K18))),4)</f>
        <v>1.0244</v>
      </c>
      <c r="S16" s="3381">
        <f>ROUND(IF(项目基本情况!B8="出让",SUMPRODUCT(PRODUCT(1+L16:L19)),SUMPRODUCT(PRODUCT(1+L16:L18))),4)</f>
        <v>1.0138</v>
      </c>
      <c r="T16" s="3381">
        <f>ROUND(IF(项目基本情况!B8="出让",SUMPRODUCT(PRODUCT(1+M16:M19)),SUMPRODUCT(PRODUCT(1+M16:M18))),4)</f>
        <v>1.0072000000000001</v>
      </c>
      <c r="U16" s="3381">
        <f>ROUND(IF(项目基本情况!B8="出让",SUMPRODUCT(PRODUCT(1+N16:N19)),SUMPRODUCT(PRODUCT(1+N16:N18))),4)</f>
        <v>1.0262</v>
      </c>
      <c r="V16" s="3381">
        <f>ROUND(IF(项目基本情况!B8="出让",SUMPRODUCT(PRODUCT(1+O16:O19)),SUMPRODUCT(PRODUCT(1+O16:O18))),4)</f>
        <v>1.0205</v>
      </c>
      <c r="W16" s="3381">
        <f t="shared" si="9"/>
        <v>1.0072000000000001</v>
      </c>
      <c r="X16" s="3365"/>
      <c r="Y16" s="3390">
        <f>IF(D16=0,0,ROUND(AVERAGE(D16:D19)/100,4))</f>
        <v>8.5000000000000006E-3</v>
      </c>
      <c r="Z16" s="3390">
        <f>IF(E16=0,0,ROUND(AVERAGE(E16:E19)/100,4))</f>
        <v>3.8E-3</v>
      </c>
      <c r="AA16" s="3390">
        <f>IF(F16=0,0,ROUND(AVERAGE(F16:F19)/100,4))</f>
        <v>1.1999999999999999E-3</v>
      </c>
      <c r="AB16" s="3390">
        <f>IF(G16=0,0,ROUND(AVERAGE(G16:G19)/100,4))</f>
        <v>9.2999999999999992E-3</v>
      </c>
      <c r="AC16" s="3390">
        <f>IF(H16=0,0,ROUND(AVERAGE(H16:H19)/100,4))</f>
        <v>6.0000000000000001E-3</v>
      </c>
      <c r="AD16" s="3390">
        <f t="shared" si="5"/>
        <v>1.1999999999999999E-3</v>
      </c>
    </row>
    <row r="17" spans="1:30">
      <c r="A17" s="3344" t="s">
        <v>2782</v>
      </c>
      <c r="B17" s="3403">
        <v>2021</v>
      </c>
      <c r="C17" s="3404">
        <v>3</v>
      </c>
      <c r="D17" s="3404">
        <v>0.47</v>
      </c>
      <c r="E17" s="3404">
        <v>0.41</v>
      </c>
      <c r="F17" s="3404">
        <v>0.24</v>
      </c>
      <c r="G17" s="3404">
        <v>0.48</v>
      </c>
      <c r="H17" s="3410">
        <v>0.48</v>
      </c>
      <c r="I17" s="3405">
        <f t="shared" si="3"/>
        <v>0.24</v>
      </c>
      <c r="J17" s="3365"/>
      <c r="K17" s="3366">
        <f t="shared" si="4"/>
        <v>4.6999999999999993E-3</v>
      </c>
      <c r="L17" s="3367">
        <f t="shared" si="4"/>
        <v>4.0999999999999995E-3</v>
      </c>
      <c r="M17" s="3367">
        <f t="shared" si="4"/>
        <v>2.3999999999999998E-3</v>
      </c>
      <c r="N17" s="3367">
        <f t="shared" si="4"/>
        <v>4.7999999999999996E-3</v>
      </c>
      <c r="O17" s="3367">
        <f t="shared" si="4"/>
        <v>4.7999999999999996E-3</v>
      </c>
      <c r="P17" s="3367">
        <f t="shared" si="8"/>
        <v>2.3999999999999998E-3</v>
      </c>
      <c r="Q17" s="3365"/>
      <c r="R17" s="3381">
        <f>ROUND(IF(项目基本情况!B8="出让",SUMPRODUCT(PRODUCT(1+K17:K19)),SUMPRODUCT(PRODUCT(1+K17:K18))),4)</f>
        <v>1.0139</v>
      </c>
      <c r="S17" s="3381">
        <f>ROUND(IF(项目基本情况!B8="出让",SUMPRODUCT(PRODUCT(1+L17:L19)),SUMPRODUCT(PRODUCT(1+L17:L18))),4)</f>
        <v>1.0113000000000001</v>
      </c>
      <c r="T17" s="3381">
        <f>ROUND(IF(项目基本情况!B8="出让",SUMPRODUCT(PRODUCT(1+M17:M19)),SUMPRODUCT(PRODUCT(1+M17:M18))),4)</f>
        <v>1.0065</v>
      </c>
      <c r="U17" s="3381">
        <f>ROUND(IF(项目基本情况!B8="出让",SUMPRODUCT(PRODUCT(1+N17:N19)),SUMPRODUCT(PRODUCT(1+N17:N18))),4)</f>
        <v>1.0143</v>
      </c>
      <c r="V17" s="3381">
        <f>ROUND(IF(项目基本情况!B8="出让",SUMPRODUCT(PRODUCT(1+O17:O19)),SUMPRODUCT(PRODUCT(1+O17:O18))),4)</f>
        <v>1.0148999999999999</v>
      </c>
      <c r="W17" s="3381">
        <f t="shared" si="9"/>
        <v>1.0065</v>
      </c>
      <c r="X17" s="3365"/>
      <c r="Y17" s="3390">
        <f>IF(D17=0,0,ROUND(AVERAGE(D17:D19)/100,4))</f>
        <v>7.9000000000000008E-3</v>
      </c>
      <c r="Z17" s="3390">
        <f>IF(E17=0,0,ROUND(AVERAGE(E17:E19)/100,4))</f>
        <v>4.3E-3</v>
      </c>
      <c r="AA17" s="3390">
        <f>IF(F17=0,0,ROUND(AVERAGE(F17:F19)/100,4))</f>
        <v>1.2999999999999999E-3</v>
      </c>
      <c r="AB17" s="3390">
        <f>IF(G17=0,0,ROUND(AVERAGE(G17:G19)/100,4))</f>
        <v>8.5000000000000006E-3</v>
      </c>
      <c r="AC17" s="3390">
        <f>IF(H17=0,0,ROUND(AVERAGE(H17:H19)/100,4))</f>
        <v>6.1999999999999998E-3</v>
      </c>
      <c r="AD17" s="3390">
        <f t="shared" si="5"/>
        <v>1.2999999999999999E-3</v>
      </c>
    </row>
    <row r="18" spans="1:30">
      <c r="A18" s="3344" t="s">
        <v>2783</v>
      </c>
      <c r="B18" s="3403">
        <v>2021</v>
      </c>
      <c r="C18" s="3404">
        <v>2</v>
      </c>
      <c r="D18" s="3404">
        <v>0.92</v>
      </c>
      <c r="E18" s="3404">
        <v>0.72</v>
      </c>
      <c r="F18" s="3404">
        <v>0.41</v>
      </c>
      <c r="G18" s="3404">
        <v>0.95</v>
      </c>
      <c r="H18" s="3410">
        <v>1.01</v>
      </c>
      <c r="I18" s="3405">
        <f t="shared" si="3"/>
        <v>0.41</v>
      </c>
      <c r="J18" s="3365"/>
      <c r="K18" s="3366">
        <f t="shared" si="4"/>
        <v>9.1999999999999998E-3</v>
      </c>
      <c r="L18" s="3367">
        <f t="shared" si="4"/>
        <v>7.1999999999999998E-3</v>
      </c>
      <c r="M18" s="3367">
        <f t="shared" si="4"/>
        <v>4.0999999999999995E-3</v>
      </c>
      <c r="N18" s="3367">
        <f t="shared" si="4"/>
        <v>9.4999999999999998E-3</v>
      </c>
      <c r="O18" s="3367">
        <f t="shared" si="4"/>
        <v>1.01E-2</v>
      </c>
      <c r="P18" s="3367">
        <f t="shared" si="8"/>
        <v>4.0999999999999995E-3</v>
      </c>
      <c r="Q18" s="3365"/>
      <c r="R18" s="3381">
        <f>ROUND(IF(项目基本情况!B8="出让",SUMPRODUCT(PRODUCT(1+K18:K19)),SUMPRODUCT(PRODUCT(1+K18:K18))),4)</f>
        <v>1.0092000000000001</v>
      </c>
      <c r="S18" s="3381">
        <f>ROUND(IF(项目基本情况!B8="出让",SUMPRODUCT(PRODUCT(1+L18:L19)),SUMPRODUCT(PRODUCT(1+L18:L18))),4)</f>
        <v>1.0072000000000001</v>
      </c>
      <c r="T18" s="3381">
        <f>ROUND(IF(项目基本情况!B8="出让",SUMPRODUCT(PRODUCT(1+M18:M19)),SUMPRODUCT(PRODUCT(1+M18:M18))),4)</f>
        <v>1.0041</v>
      </c>
      <c r="U18" s="3381">
        <f>ROUND(IF(项目基本情况!B8="出让",SUMPRODUCT(PRODUCT(1+N18:N19)),SUMPRODUCT(PRODUCT(1+N18:N18))),4)</f>
        <v>1.0095000000000001</v>
      </c>
      <c r="V18" s="3381">
        <f>ROUND(IF(项目基本情况!B8="出让",SUMPRODUCT(PRODUCT(1+O18:O19)),SUMPRODUCT(PRODUCT(1+O18:O18))),4)</f>
        <v>1.0101</v>
      </c>
      <c r="W18" s="3381">
        <f t="shared" si="9"/>
        <v>1.0041</v>
      </c>
      <c r="X18" s="3365"/>
      <c r="Y18" s="3390">
        <f>IF(D18=0,0,ROUND(AVERAGE(D18:D19)/100,4))</f>
        <v>9.4999999999999998E-3</v>
      </c>
      <c r="Z18" s="3390">
        <f>IF(E18=0,0,ROUND(AVERAGE(E18:E19)/100,4))</f>
        <v>4.4000000000000003E-3</v>
      </c>
      <c r="AA18" s="3390">
        <f>IF(F18=0,0,ROUND(AVERAGE(F18:F19)/100,4))</f>
        <v>8.0000000000000004E-4</v>
      </c>
      <c r="AB18" s="3390">
        <f>IF(G18=0,0,ROUND(AVERAGE(G18:G19)/100,4))</f>
        <v>1.03E-2</v>
      </c>
      <c r="AC18" s="3390">
        <f>IF(H18=0,0,ROUND(AVERAGE(H18:H19)/100,4))</f>
        <v>6.8999999999999999E-3</v>
      </c>
      <c r="AD18" s="3390">
        <f t="shared" si="5"/>
        <v>8.0000000000000004E-4</v>
      </c>
    </row>
    <row r="19" spans="1:30" ht="15" thickBot="1">
      <c r="A19" s="3346" t="s">
        <v>2784</v>
      </c>
      <c r="B19" s="3411">
        <v>2021</v>
      </c>
      <c r="C19" s="3412">
        <v>1</v>
      </c>
      <c r="D19" s="3412">
        <v>0.97</v>
      </c>
      <c r="E19" s="3412">
        <v>0.16</v>
      </c>
      <c r="F19" s="3412">
        <v>-0.25</v>
      </c>
      <c r="G19" s="3412">
        <v>1.1100000000000001</v>
      </c>
      <c r="H19" s="3413">
        <v>0.36</v>
      </c>
      <c r="I19" s="3414">
        <f t="shared" si="3"/>
        <v>-0.25</v>
      </c>
      <c r="J19" s="3371"/>
      <c r="K19" s="3372">
        <f t="shared" si="4"/>
        <v>9.7000000000000003E-3</v>
      </c>
      <c r="L19" s="3373">
        <f t="shared" si="4"/>
        <v>1.6000000000000001E-3</v>
      </c>
      <c r="M19" s="3373">
        <f>F19/100</f>
        <v>-2.5000000000000001E-3</v>
      </c>
      <c r="N19" s="3373">
        <f t="shared" si="4"/>
        <v>1.11E-2</v>
      </c>
      <c r="O19" s="3373">
        <f t="shared" si="4"/>
        <v>3.5999999999999999E-3</v>
      </c>
      <c r="P19" s="3373">
        <f t="shared" si="8"/>
        <v>-2.5000000000000001E-3</v>
      </c>
      <c r="Q19" s="3371"/>
      <c r="R19" s="3382">
        <v>1</v>
      </c>
      <c r="S19" s="3382">
        <v>1</v>
      </c>
      <c r="T19" s="3382">
        <v>1</v>
      </c>
      <c r="U19" s="3382">
        <v>1</v>
      </c>
      <c r="V19" s="3382">
        <v>1</v>
      </c>
      <c r="W19" s="3382">
        <f t="shared" si="9"/>
        <v>1</v>
      </c>
      <c r="X19" s="3371"/>
      <c r="Y19" s="3373">
        <f>IF(D19=0,0,ROUND(AVERAGE(D19:D19)/100,4))</f>
        <v>9.7000000000000003E-3</v>
      </c>
      <c r="Z19" s="3373">
        <f>IF(E19=0,0,ROUND(AVERAGE(E19:E19)/100,4))</f>
        <v>1.6000000000000001E-3</v>
      </c>
      <c r="AA19" s="3373">
        <f>IF(F19=0,0,ROUND(AVERAGE(F19:F19)/100,4))</f>
        <v>-2.5000000000000001E-3</v>
      </c>
      <c r="AB19" s="3373">
        <f>IF(G19=0,0,ROUND(AVERAGE(G19:G19)/100,4))</f>
        <v>1.11E-2</v>
      </c>
      <c r="AC19" s="3373">
        <f>IF(H19=0,0,ROUND(AVERAGE(H19:H19)/100,4))</f>
        <v>3.5999999999999999E-3</v>
      </c>
      <c r="AD19" s="3373">
        <f>AA19</f>
        <v>-2.5000000000000001E-3</v>
      </c>
    </row>
    <row r="20" spans="1:30" ht="15" thickTop="1">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662" t="s">
        <v>3248</v>
      </c>
      <c r="B21" s="3281"/>
      <c r="C21" s="3281"/>
      <c r="D21" s="3281"/>
      <c r="E21" s="3281"/>
      <c r="F21" s="3281"/>
      <c r="G21" s="3281"/>
      <c r="H21" s="3281"/>
      <c r="I21" s="3281"/>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374" t="s">
        <v>2796</v>
      </c>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281"/>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347"/>
      <c r="B24" s="3348" t="s">
        <v>2797</v>
      </c>
      <c r="C24" s="3349"/>
      <c r="D24" s="3349"/>
      <c r="E24" s="3349"/>
      <c r="F24" s="3349"/>
      <c r="G24" s="3349"/>
      <c r="H24" s="3349"/>
      <c r="I24" s="3349"/>
      <c r="J24" s="3350"/>
      <c r="K24" s="3349" t="s">
        <v>2789</v>
      </c>
      <c r="L24" s="3349"/>
      <c r="M24" s="3349"/>
      <c r="N24" s="3349"/>
      <c r="O24" s="3349"/>
      <c r="P24" s="3349"/>
      <c r="Q24" s="3350"/>
      <c r="R24" s="3941" t="s">
        <v>2805</v>
      </c>
      <c r="S24" s="3942"/>
      <c r="T24" s="3942"/>
      <c r="U24" s="3942"/>
      <c r="V24" s="3942"/>
      <c r="W24" s="3942"/>
      <c r="X24" s="3350"/>
      <c r="Y24" s="3941" t="s">
        <v>1924</v>
      </c>
      <c r="Z24" s="3942"/>
      <c r="AA24" s="3942"/>
      <c r="AB24" s="3942"/>
      <c r="AC24" s="3942"/>
      <c r="AD24" s="3942"/>
    </row>
    <row r="25" spans="1:30" ht="15" thickBot="1">
      <c r="A25" s="3341"/>
      <c r="B25" s="3351"/>
      <c r="C25" s="3352"/>
      <c r="D25" s="3353" t="s">
        <v>2791</v>
      </c>
      <c r="E25" s="3354" t="s">
        <v>2792</v>
      </c>
      <c r="F25" s="3354" t="s">
        <v>2793</v>
      </c>
      <c r="G25" s="3354" t="s">
        <v>1468</v>
      </c>
      <c r="H25" s="3354"/>
      <c r="I25" s="3354" t="s">
        <v>2737</v>
      </c>
      <c r="J25" s="3355"/>
      <c r="K25" s="3353" t="s">
        <v>2791</v>
      </c>
      <c r="L25" s="3354" t="s">
        <v>2792</v>
      </c>
      <c r="M25" s="3354" t="s">
        <v>2793</v>
      </c>
      <c r="N25" s="3354" t="s">
        <v>2794</v>
      </c>
      <c r="O25" s="3354"/>
      <c r="P25" s="3354" t="s">
        <v>2737</v>
      </c>
      <c r="Q25" s="3355"/>
      <c r="R25" s="3353" t="s">
        <v>2806</v>
      </c>
      <c r="S25" s="3354" t="s">
        <v>2807</v>
      </c>
      <c r="T25" s="3354" t="s">
        <v>2793</v>
      </c>
      <c r="U25" s="3354" t="s">
        <v>1468</v>
      </c>
      <c r="V25" s="3354"/>
      <c r="W25" s="3354" t="s">
        <v>2808</v>
      </c>
      <c r="X25" s="3355"/>
      <c r="Y25" s="3353" t="s">
        <v>2790</v>
      </c>
      <c r="Z25" s="3354" t="s">
        <v>2792</v>
      </c>
      <c r="AA25" s="3354" t="s">
        <v>2793</v>
      </c>
      <c r="AB25" s="3354" t="s">
        <v>1468</v>
      </c>
      <c r="AC25" s="3354"/>
      <c r="AD25" s="3354" t="s">
        <v>2811</v>
      </c>
    </row>
    <row r="26" spans="1:30">
      <c r="A26" s="3342" t="s">
        <v>2785</v>
      </c>
      <c r="B26" s="3356"/>
      <c r="C26" s="3357"/>
      <c r="D26" s="3357"/>
      <c r="E26" s="3357">
        <f>ROUND(AVERAGEIF(E27:E42,"&lt;&gt;0"),2)</f>
        <v>0.33</v>
      </c>
      <c r="F26" s="3357">
        <f>ROUND(AVERAGEIF(F27:F42,"&lt;&gt;0"),2)</f>
        <v>0.24</v>
      </c>
      <c r="G26" s="3357">
        <f>ROUND(AVERAGEIF(G27:G42,"&lt;&gt;0"),2)</f>
        <v>0.62</v>
      </c>
      <c r="H26" s="3357"/>
      <c r="I26" s="3357">
        <f>F26</f>
        <v>0.24</v>
      </c>
      <c r="J26" s="3358"/>
      <c r="K26" s="3359"/>
      <c r="L26" s="3360">
        <f>ROUND(AVERAGEIF(L27:L42,"&lt;&gt;0"),4)</f>
        <v>3.3E-3</v>
      </c>
      <c r="M26" s="3360">
        <f>ROUND(AVERAGEIF(M27:M42,"&lt;&gt;0"),4)</f>
        <v>2.3999999999999998E-3</v>
      </c>
      <c r="N26" s="3360">
        <f>ROUND(AVERAGEIF(N27:N42,"&lt;&gt;0"),4)</f>
        <v>6.1999999999999998E-3</v>
      </c>
      <c r="O26" s="3360"/>
      <c r="P26" s="3360">
        <f>M26</f>
        <v>2.3999999999999998E-3</v>
      </c>
      <c r="Q26" s="3358"/>
      <c r="R26" s="3375"/>
      <c r="S26" s="3376">
        <f>ROUND(SUMPRODUCT(PRODUCT(1+L27:L42)),4)</f>
        <v>1.0468999999999999</v>
      </c>
      <c r="T26" s="3376">
        <f>ROUND(SUMPRODUCT(PRODUCT(1+M27:M42)),4)</f>
        <v>1.0347</v>
      </c>
      <c r="U26" s="3376">
        <f>ROUND(SUMPRODUCT(PRODUCT(1+N27:N42)),4)</f>
        <v>1.0895999999999999</v>
      </c>
      <c r="V26" s="3376"/>
      <c r="W26" s="3375">
        <f>T26</f>
        <v>1.0347</v>
      </c>
      <c r="X26" s="3358"/>
      <c r="Y26" s="3383"/>
      <c r="Z26" s="3384">
        <f>ROUND(AVERAGEIF(Z27:Z42,"&lt;&gt;0"),4)</f>
        <v>4.1999999999999997E-3</v>
      </c>
      <c r="AA26" s="3385">
        <f>ROUND(AVERAGEIF(AA27:AA42,"&lt;&gt;0"),4)</f>
        <v>3.3E-3</v>
      </c>
      <c r="AB26" s="3383">
        <f>ROUND(AVERAGEIF(AB27:AB42,"&lt;&gt;0"),4)</f>
        <v>8.0000000000000002E-3</v>
      </c>
      <c r="AC26" s="3386"/>
      <c r="AD26" s="3383">
        <f>AA26</f>
        <v>3.3E-3</v>
      </c>
    </row>
    <row r="27" spans="1:30">
      <c r="A27" s="3343"/>
      <c r="B27" s="3361"/>
      <c r="C27" s="3362"/>
      <c r="D27" s="3362"/>
      <c r="E27" s="3362"/>
      <c r="F27" s="3362"/>
      <c r="G27" s="3362"/>
      <c r="H27" s="3362"/>
      <c r="I27" s="3362"/>
      <c r="J27" s="3350"/>
      <c r="K27" s="3363"/>
      <c r="L27" s="3364"/>
      <c r="M27" s="3364"/>
      <c r="N27" s="3364"/>
      <c r="O27" s="3364"/>
      <c r="P27" s="3364"/>
      <c r="Q27" s="3350"/>
      <c r="R27" s="3377"/>
      <c r="S27" s="3378"/>
      <c r="T27" s="3379"/>
      <c r="U27" s="3377"/>
      <c r="V27" s="3380"/>
      <c r="W27" s="3377"/>
      <c r="X27" s="3350"/>
      <c r="Y27" s="3367"/>
      <c r="Z27" s="3387"/>
      <c r="AA27" s="3388"/>
      <c r="AB27" s="3367"/>
      <c r="AC27" s="3389"/>
      <c r="AD27" s="3367"/>
    </row>
    <row r="28" spans="1:30">
      <c r="A28" s="3663" t="s">
        <v>3261</v>
      </c>
      <c r="B28" s="3403">
        <v>2024</v>
      </c>
      <c r="C28" s="3404">
        <v>3</v>
      </c>
      <c r="D28" s="3404"/>
      <c r="E28" s="3404">
        <v>0</v>
      </c>
      <c r="F28" s="3404">
        <v>0</v>
      </c>
      <c r="G28" s="3404">
        <v>0</v>
      </c>
      <c r="H28" s="3404"/>
      <c r="I28" s="3405">
        <f>F28</f>
        <v>0</v>
      </c>
      <c r="J28" s="3365"/>
      <c r="K28" s="3366"/>
      <c r="L28" s="3367">
        <f>E28/100</f>
        <v>0</v>
      </c>
      <c r="M28" s="3367">
        <f>F28/100</f>
        <v>0</v>
      </c>
      <c r="N28" s="3367">
        <f>G28/100</f>
        <v>0</v>
      </c>
      <c r="O28" s="3367"/>
      <c r="P28" s="3367">
        <f t="shared" ref="P28:P34" si="10">M28</f>
        <v>0</v>
      </c>
      <c r="Q28" s="3365"/>
      <c r="R28" s="3381"/>
      <c r="S28" s="3381">
        <f>ROUND(IF(项目基本情况!$B$8="出让",SUMPRODUCT(PRODUCT(1+L28:L$42)),SUMPRODUCT(PRODUCT(1+L28:L$41))),4)</f>
        <v>1.0432999999999999</v>
      </c>
      <c r="T28" s="3381">
        <f>ROUND(IF(项目基本情况!$B$8="出让",SUMPRODUCT(PRODUCT(1+M28:M$42)),SUMPRODUCT(PRODUCT(1+M28:M$41))),4)</f>
        <v>1.0298</v>
      </c>
      <c r="U28" s="3381">
        <f>ROUND(IF(项目基本情况!$B$8="出让",SUMPRODUCT(PRODUCT(1+N28:N$42)),SUMPRODUCT(PRODUCT(1+N28:N$41))),4)</f>
        <v>1.079</v>
      </c>
      <c r="V28" s="3381"/>
      <c r="W28" s="3381">
        <f t="shared" ref="W28:W34" si="11">T28</f>
        <v>1.0298</v>
      </c>
      <c r="X28" s="3365"/>
      <c r="Y28" s="3390"/>
      <c r="Z28" s="3391">
        <f t="shared" ref="Z28:AB29" si="12">IF(E28=0,0,ROUND(AVERAGE(E28:E41)/100,4))</f>
        <v>0</v>
      </c>
      <c r="AA28" s="3391">
        <f t="shared" si="12"/>
        <v>0</v>
      </c>
      <c r="AB28" s="3391">
        <f t="shared" si="12"/>
        <v>0</v>
      </c>
      <c r="AC28" s="3392"/>
      <c r="AD28" s="3390">
        <f>IF(I28=0,0,ROUND(AVERAGE(I28:I41)/100,4))</f>
        <v>0</v>
      </c>
    </row>
    <row r="29" spans="1:30">
      <c r="A29" s="3345" t="s">
        <v>3264</v>
      </c>
      <c r="B29" s="3406">
        <v>2024</v>
      </c>
      <c r="C29" s="3407">
        <v>2</v>
      </c>
      <c r="D29" s="3407"/>
      <c r="E29" s="3407">
        <v>-0.31</v>
      </c>
      <c r="F29" s="3407">
        <v>-0.39</v>
      </c>
      <c r="G29" s="3407">
        <v>1.23</v>
      </c>
      <c r="H29" s="3408"/>
      <c r="I29" s="3409">
        <f t="shared" ref="I29:I42" si="13">F29</f>
        <v>-0.39</v>
      </c>
      <c r="J29" s="3368"/>
      <c r="K29" s="3369"/>
      <c r="L29" s="3370">
        <f t="shared" ref="L29:N42" si="14">E29/100</f>
        <v>-3.0999999999999999E-3</v>
      </c>
      <c r="M29" s="3370">
        <f t="shared" si="14"/>
        <v>-3.9000000000000003E-3</v>
      </c>
      <c r="N29" s="3370">
        <f t="shared" si="14"/>
        <v>1.23E-2</v>
      </c>
      <c r="O29" s="3370"/>
      <c r="P29" s="3370">
        <f t="shared" si="10"/>
        <v>-3.9000000000000003E-3</v>
      </c>
      <c r="Q29" s="3368"/>
      <c r="R29" s="3368"/>
      <c r="S29" s="3368">
        <f>ROUND(IF(项目基本情况!$B$8="出让",SUMPRODUCT(PRODUCT(1+L29:L$42)),SUMPRODUCT(PRODUCT(1+L29:L$41))),4)</f>
        <v>1.0432999999999999</v>
      </c>
      <c r="T29" s="3368">
        <f>ROUND(IF(项目基本情况!$B$8="出让",SUMPRODUCT(PRODUCT(1+M29:M$42)),SUMPRODUCT(PRODUCT(1+M29:M$41))),4)</f>
        <v>1.0298</v>
      </c>
      <c r="U29" s="3368">
        <f>ROUND(IF(项目基本情况!$B$8="出让",SUMPRODUCT(PRODUCT(1+N29:N$42)),SUMPRODUCT(PRODUCT(1+N29:N$41))),4)</f>
        <v>1.079</v>
      </c>
      <c r="V29" s="3368"/>
      <c r="W29" s="3368">
        <f t="shared" si="11"/>
        <v>1.0298</v>
      </c>
      <c r="X29" s="3368"/>
      <c r="Y29" s="3370"/>
      <c r="Z29" s="3394">
        <f t="shared" si="12"/>
        <v>3.3E-3</v>
      </c>
      <c r="AA29" s="3395">
        <f t="shared" si="12"/>
        <v>2.3999999999999998E-3</v>
      </c>
      <c r="AB29" s="3370">
        <f t="shared" si="12"/>
        <v>6.1999999999999998E-3</v>
      </c>
      <c r="AC29" s="3396"/>
      <c r="AD29" s="3370">
        <f>IF(I29=0,0,ROUND(AVERAGE(I29:I42)/100,4))</f>
        <v>2.3999999999999998E-3</v>
      </c>
    </row>
    <row r="30" spans="1:30">
      <c r="A30" s="3344" t="s">
        <v>3265</v>
      </c>
      <c r="B30" s="3403">
        <v>2024</v>
      </c>
      <c r="C30" s="3404">
        <v>1</v>
      </c>
      <c r="D30" s="3404"/>
      <c r="E30" s="3404">
        <v>0.25</v>
      </c>
      <c r="F30" s="3404">
        <v>0.4</v>
      </c>
      <c r="G30" s="3404">
        <v>-0.63</v>
      </c>
      <c r="H30" s="3410"/>
      <c r="I30" s="3405">
        <f t="shared" si="13"/>
        <v>0.4</v>
      </c>
      <c r="J30" s="3365"/>
      <c r="K30" s="3366"/>
      <c r="L30" s="3367">
        <f>E30/100</f>
        <v>2.5000000000000001E-3</v>
      </c>
      <c r="M30" s="3367">
        <f>F30/100</f>
        <v>4.0000000000000001E-3</v>
      </c>
      <c r="N30" s="3367">
        <f>G30/100</f>
        <v>-6.3E-3</v>
      </c>
      <c r="O30" s="3367"/>
      <c r="P30" s="3367">
        <f t="shared" si="10"/>
        <v>4.0000000000000001E-3</v>
      </c>
      <c r="Q30" s="3365"/>
      <c r="R30" s="3381"/>
      <c r="S30" s="3381">
        <f>ROUND(IF(项目基本情况!$B$8="出让",SUMPRODUCT(PRODUCT(1+L30:L$42)),SUMPRODUCT(PRODUCT(1+L30:L$41))),4)</f>
        <v>1.0465</v>
      </c>
      <c r="T30" s="3381">
        <f>ROUND(IF(项目基本情况!$B$8="出让",SUMPRODUCT(PRODUCT(1+M30:M$42)),SUMPRODUCT(PRODUCT(1+M30:M$41))),4)</f>
        <v>1.0338000000000001</v>
      </c>
      <c r="U30" s="3381">
        <f>ROUND(IF(项目基本情况!$B$8="出让",SUMPRODUCT(PRODUCT(1+N30:N$42)),SUMPRODUCT(PRODUCT(1+N30:N$41))),4)</f>
        <v>1.0659000000000001</v>
      </c>
      <c r="V30" s="3381"/>
      <c r="W30" s="3381">
        <f t="shared" si="11"/>
        <v>1.0338000000000001</v>
      </c>
      <c r="X30" s="3365"/>
      <c r="Y30" s="3390"/>
      <c r="Z30" s="3391">
        <f t="shared" ref="Z30:AB34" si="15">IF(E30=0,0,ROUND(AVERAGE(E30:E41)/100,4))</f>
        <v>3.8E-3</v>
      </c>
      <c r="AA30" s="3393">
        <f t="shared" si="15"/>
        <v>2.8E-3</v>
      </c>
      <c r="AB30" s="3390">
        <f t="shared" si="15"/>
        <v>5.3E-3</v>
      </c>
      <c r="AC30" s="3392"/>
      <c r="AD30" s="3390">
        <f>IF(I30=0,0,ROUND(AVERAGE(I30:I41)/100,4))</f>
        <v>2.8E-3</v>
      </c>
    </row>
    <row r="31" spans="1:30">
      <c r="A31" s="3344" t="s">
        <v>3259</v>
      </c>
      <c r="B31" s="3403">
        <v>2023</v>
      </c>
      <c r="C31" s="3404">
        <v>4</v>
      </c>
      <c r="D31" s="3404"/>
      <c r="E31" s="3404">
        <v>7.0000000000000007E-2</v>
      </c>
      <c r="F31" s="3404">
        <v>0.09</v>
      </c>
      <c r="G31" s="3404">
        <v>0.03</v>
      </c>
      <c r="H31" s="3410"/>
      <c r="I31" s="3405">
        <f>F31</f>
        <v>0.09</v>
      </c>
      <c r="J31" s="3365"/>
      <c r="K31" s="3366"/>
      <c r="L31" s="3367">
        <f t="shared" si="14"/>
        <v>7.000000000000001E-4</v>
      </c>
      <c r="M31" s="3367">
        <f t="shared" si="14"/>
        <v>8.9999999999999998E-4</v>
      </c>
      <c r="N31" s="3367">
        <f t="shared" si="14"/>
        <v>2.9999999999999997E-4</v>
      </c>
      <c r="O31" s="3367"/>
      <c r="P31" s="3367">
        <f t="shared" si="10"/>
        <v>8.9999999999999998E-4</v>
      </c>
      <c r="Q31" s="3365"/>
      <c r="R31" s="3381"/>
      <c r="S31" s="3381">
        <f>ROUND(IF(项目基本情况!$B$8="出让",SUMPRODUCT(PRODUCT(1+L31:L$42)),SUMPRODUCT(PRODUCT(1+L31:L$41))),4)</f>
        <v>1.0439000000000001</v>
      </c>
      <c r="T31" s="3381">
        <f>ROUND(IF(项目基本情况!$B$8="出让",SUMPRODUCT(PRODUCT(1+M31:M$42)),SUMPRODUCT(PRODUCT(1+M31:M$41))),4)</f>
        <v>1.0297000000000001</v>
      </c>
      <c r="U31" s="3381">
        <f>ROUND(IF(项目基本情况!$B$8="出让",SUMPRODUCT(PRODUCT(1+N31:N$42)),SUMPRODUCT(PRODUCT(1+N31:N$41))),4)</f>
        <v>1.0727</v>
      </c>
      <c r="V31" s="3381"/>
      <c r="W31" s="3381">
        <f t="shared" si="11"/>
        <v>1.0297000000000001</v>
      </c>
      <c r="X31" s="3365"/>
      <c r="Y31" s="3390"/>
      <c r="Z31" s="3391">
        <f t="shared" si="15"/>
        <v>3.8999999999999998E-3</v>
      </c>
      <c r="AA31" s="3393">
        <f t="shared" si="15"/>
        <v>2.8E-3</v>
      </c>
      <c r="AB31" s="3390">
        <f t="shared" si="15"/>
        <v>6.7000000000000002E-3</v>
      </c>
      <c r="AC31" s="3392"/>
      <c r="AD31" s="3390">
        <f>IF(I31=0,0,ROUND(AVERAGE(I31:I42)/100,4))</f>
        <v>2.8E-3</v>
      </c>
    </row>
    <row r="32" spans="1:30">
      <c r="A32" s="3344" t="s">
        <v>3257</v>
      </c>
      <c r="B32" s="3403">
        <v>2023</v>
      </c>
      <c r="C32" s="3404">
        <v>3</v>
      </c>
      <c r="D32" s="3404"/>
      <c r="E32" s="3404">
        <v>0.35</v>
      </c>
      <c r="F32" s="3404">
        <v>0.17</v>
      </c>
      <c r="G32" s="3404">
        <v>0.52</v>
      </c>
      <c r="H32" s="3410"/>
      <c r="I32" s="3405">
        <f t="shared" si="13"/>
        <v>0.17</v>
      </c>
      <c r="J32" s="3365"/>
      <c r="K32" s="3366"/>
      <c r="L32" s="3367">
        <f t="shared" ref="L32:N34" si="16">E32/100</f>
        <v>3.4999999999999996E-3</v>
      </c>
      <c r="M32" s="3367">
        <f t="shared" si="16"/>
        <v>1.7000000000000001E-3</v>
      </c>
      <c r="N32" s="3367">
        <f t="shared" si="16"/>
        <v>5.1999999999999998E-3</v>
      </c>
      <c r="O32" s="3367"/>
      <c r="P32" s="3367">
        <f t="shared" si="10"/>
        <v>1.7000000000000001E-3</v>
      </c>
      <c r="Q32" s="3365"/>
      <c r="R32" s="3381"/>
      <c r="S32" s="3381">
        <f>ROUND(IF(项目基本情况!$B$8="出让",SUMPRODUCT(PRODUCT(1+L32:L$42)),SUMPRODUCT(PRODUCT(1+L32:L$41))),4)</f>
        <v>1.0431999999999999</v>
      </c>
      <c r="T32" s="3381">
        <f>ROUND(IF(项目基本情况!$B$8="出让",SUMPRODUCT(PRODUCT(1+M32:M$42)),SUMPRODUCT(PRODUCT(1+M32:M$41))),4)</f>
        <v>1.0286999999999999</v>
      </c>
      <c r="U32" s="3381">
        <f>ROUND(IF(项目基本情况!$B$8="出让",SUMPRODUCT(PRODUCT(1+N32:N$42)),SUMPRODUCT(PRODUCT(1+N32:N$41))),4)</f>
        <v>1.0723</v>
      </c>
      <c r="V32" s="3381"/>
      <c r="W32" s="3381">
        <f t="shared" si="11"/>
        <v>1.0286999999999999</v>
      </c>
      <c r="X32" s="3365"/>
      <c r="Y32" s="3390"/>
      <c r="Z32" s="3391">
        <f t="shared" si="15"/>
        <v>4.1999999999999997E-3</v>
      </c>
      <c r="AA32" s="3393">
        <f t="shared" si="15"/>
        <v>3.0000000000000001E-3</v>
      </c>
      <c r="AB32" s="3390">
        <f t="shared" si="15"/>
        <v>7.3000000000000001E-3</v>
      </c>
      <c r="AC32" s="3392"/>
      <c r="AD32" s="3390">
        <f>IF(I32=0,0,ROUND(AVERAGE(I32:I43)/100,4))</f>
        <v>3.0000000000000001E-3</v>
      </c>
    </row>
    <row r="33" spans="1:30">
      <c r="A33" s="3344" t="s">
        <v>3255</v>
      </c>
      <c r="B33" s="3403">
        <v>2023</v>
      </c>
      <c r="C33" s="3404">
        <v>2</v>
      </c>
      <c r="D33" s="3404"/>
      <c r="E33" s="3404">
        <v>0.5</v>
      </c>
      <c r="F33" s="3404">
        <v>0.45</v>
      </c>
      <c r="G33" s="3404">
        <v>0.89</v>
      </c>
      <c r="H33" s="3410"/>
      <c r="I33" s="3405">
        <f t="shared" si="13"/>
        <v>0.45</v>
      </c>
      <c r="J33" s="3365"/>
      <c r="K33" s="3366"/>
      <c r="L33" s="3367">
        <f t="shared" si="16"/>
        <v>5.0000000000000001E-3</v>
      </c>
      <c r="M33" s="3367">
        <f t="shared" si="16"/>
        <v>4.5000000000000005E-3</v>
      </c>
      <c r="N33" s="3367">
        <f t="shared" si="16"/>
        <v>8.8999999999999999E-3</v>
      </c>
      <c r="O33" s="3367"/>
      <c r="P33" s="3367">
        <f t="shared" si="10"/>
        <v>4.5000000000000005E-3</v>
      </c>
      <c r="Q33" s="3365"/>
      <c r="R33" s="3381"/>
      <c r="S33" s="3381">
        <f>ROUND(IF(项目基本情况!$B$8="出让",SUMPRODUCT(PRODUCT(1+L33:L$42)),SUMPRODUCT(PRODUCT(1+L33:L$41))),4)</f>
        <v>1.0396000000000001</v>
      </c>
      <c r="T33" s="3381">
        <f>ROUND(IF(项目基本情况!$B$8="出让",SUMPRODUCT(PRODUCT(1+M33:M$42)),SUMPRODUCT(PRODUCT(1+M33:M$41))),4)</f>
        <v>1.0269999999999999</v>
      </c>
      <c r="U33" s="3381">
        <f>ROUND(IF(项目基本情况!$B$8="出让",SUMPRODUCT(PRODUCT(1+N33:N$42)),SUMPRODUCT(PRODUCT(1+N33:N$41))),4)</f>
        <v>1.0668</v>
      </c>
      <c r="V33" s="3381"/>
      <c r="W33" s="3381">
        <f t="shared" si="11"/>
        <v>1.0269999999999999</v>
      </c>
      <c r="X33" s="3365"/>
      <c r="Y33" s="3390"/>
      <c r="Z33" s="3391">
        <f t="shared" si="15"/>
        <v>4.1999999999999997E-3</v>
      </c>
      <c r="AA33" s="3393">
        <f t="shared" si="15"/>
        <v>3.2000000000000002E-3</v>
      </c>
      <c r="AB33" s="3390">
        <f t="shared" si="15"/>
        <v>7.4999999999999997E-3</v>
      </c>
      <c r="AC33" s="3392"/>
      <c r="AD33" s="3390">
        <f>IF(I33=0,0,ROUND(AVERAGE(I33:I44)/100,4))</f>
        <v>3.2000000000000002E-3</v>
      </c>
    </row>
    <row r="34" spans="1:30">
      <c r="A34" s="3344" t="s">
        <v>3253</v>
      </c>
      <c r="B34" s="3403">
        <v>2023</v>
      </c>
      <c r="C34" s="3404">
        <v>1</v>
      </c>
      <c r="D34" s="3404"/>
      <c r="E34" s="3404">
        <v>0.55000000000000004</v>
      </c>
      <c r="F34" s="3404">
        <v>0.59</v>
      </c>
      <c r="G34" s="3404">
        <v>0.64</v>
      </c>
      <c r="H34" s="3410"/>
      <c r="I34" s="3405">
        <f t="shared" si="13"/>
        <v>0.59</v>
      </c>
      <c r="J34" s="3365"/>
      <c r="K34" s="3366"/>
      <c r="L34" s="3367">
        <f t="shared" si="16"/>
        <v>5.5000000000000005E-3</v>
      </c>
      <c r="M34" s="3367">
        <f t="shared" si="16"/>
        <v>5.8999999999999999E-3</v>
      </c>
      <c r="N34" s="3367">
        <f t="shared" si="16"/>
        <v>6.4000000000000003E-3</v>
      </c>
      <c r="O34" s="3367"/>
      <c r="P34" s="3367">
        <f t="shared" si="10"/>
        <v>5.8999999999999999E-3</v>
      </c>
      <c r="Q34" s="3365"/>
      <c r="R34" s="3381"/>
      <c r="S34" s="3381">
        <f>ROUND(IF(项目基本情况!$B$8="出让",SUMPRODUCT(PRODUCT(1+L34:L$42)),SUMPRODUCT(PRODUCT(1+L34:L$41))),4)</f>
        <v>1.0344</v>
      </c>
      <c r="T34" s="3381">
        <f>ROUND(IF(项目基本情况!$B$8="出让",SUMPRODUCT(PRODUCT(1+M34:M$42)),SUMPRODUCT(PRODUCT(1+M34:M$41))),4)</f>
        <v>1.0224</v>
      </c>
      <c r="U34" s="3381">
        <f>ROUND(IF(项目基本情况!$B$8="出让",SUMPRODUCT(PRODUCT(1+N34:N$42)),SUMPRODUCT(PRODUCT(1+N34:N$41))),4)</f>
        <v>1.0573999999999999</v>
      </c>
      <c r="V34" s="3381"/>
      <c r="W34" s="3381">
        <f t="shared" si="11"/>
        <v>1.0224</v>
      </c>
      <c r="X34" s="3365"/>
      <c r="Y34" s="3390"/>
      <c r="Z34" s="3391">
        <f t="shared" si="15"/>
        <v>4.1999999999999997E-3</v>
      </c>
      <c r="AA34" s="3393">
        <f t="shared" si="15"/>
        <v>3.0000000000000001E-3</v>
      </c>
      <c r="AB34" s="3390">
        <f t="shared" si="15"/>
        <v>7.3000000000000001E-3</v>
      </c>
      <c r="AC34" s="3392"/>
      <c r="AD34" s="3390">
        <f>IF(I34=0,0,ROUND(AVERAGE(I34:I45)/100,4))</f>
        <v>3.0000000000000001E-3</v>
      </c>
    </row>
    <row r="35" spans="1:30">
      <c r="A35" s="3344" t="s">
        <v>3251</v>
      </c>
      <c r="B35" s="3403">
        <v>2022</v>
      </c>
      <c r="C35" s="3404">
        <v>4</v>
      </c>
      <c r="D35" s="3404"/>
      <c r="E35" s="3404">
        <v>0.45</v>
      </c>
      <c r="F35" s="3404">
        <v>0.2</v>
      </c>
      <c r="G35" s="3404">
        <v>0.38</v>
      </c>
      <c r="H35" s="3410"/>
      <c r="I35" s="3405">
        <f t="shared" si="13"/>
        <v>0.2</v>
      </c>
      <c r="J35" s="3365"/>
      <c r="K35" s="3366"/>
      <c r="L35" s="3367">
        <f t="shared" si="14"/>
        <v>4.5000000000000005E-3</v>
      </c>
      <c r="M35" s="3367">
        <f t="shared" si="14"/>
        <v>2E-3</v>
      </c>
      <c r="N35" s="3367">
        <f t="shared" si="14"/>
        <v>3.8E-3</v>
      </c>
      <c r="O35" s="3367"/>
      <c r="P35" s="3367">
        <f t="shared" ref="P35:P42" si="17">M35</f>
        <v>2E-3</v>
      </c>
      <c r="Q35" s="3365"/>
      <c r="R35" s="3381"/>
      <c r="S35" s="3381">
        <f>ROUND(IF(项目基本情况!$B$8="出让",SUMPRODUCT(PRODUCT(1+L35:L$42)),SUMPRODUCT(PRODUCT(1+L35:L$41))),4)</f>
        <v>1.0286999999999999</v>
      </c>
      <c r="T35" s="3381">
        <f>ROUND(IF(项目基本情况!$B$8="出让",SUMPRODUCT(PRODUCT(1+M35:M$42)),SUMPRODUCT(PRODUCT(1+M35:M$41))),4)</f>
        <v>1.0164</v>
      </c>
      <c r="U35" s="3381">
        <f>ROUND(IF(项目基本情况!$B$8="出让",SUMPRODUCT(PRODUCT(1+N35:N$42)),SUMPRODUCT(PRODUCT(1+N35:N$41))),4)</f>
        <v>1.0506</v>
      </c>
      <c r="V35" s="3381"/>
      <c r="W35" s="3381">
        <f t="shared" ref="W35:W42" si="18">T35</f>
        <v>1.0164</v>
      </c>
      <c r="X35" s="3365"/>
      <c r="Y35" s="3390"/>
      <c r="Z35" s="3391">
        <f t="shared" ref="Z35:AD42" si="19">IF(E35=0,0,ROUND(AVERAGE(E35:E43)/100,4))</f>
        <v>4.0000000000000001E-3</v>
      </c>
      <c r="AA35" s="3393">
        <f t="shared" si="19"/>
        <v>2.5999999999999999E-3</v>
      </c>
      <c r="AB35" s="3390">
        <f t="shared" si="19"/>
        <v>7.4000000000000003E-3</v>
      </c>
      <c r="AC35" s="3392"/>
      <c r="AD35" s="3390">
        <f t="shared" si="19"/>
        <v>2.5999999999999999E-3</v>
      </c>
    </row>
    <row r="36" spans="1:30">
      <c r="A36" s="3344" t="s">
        <v>3247</v>
      </c>
      <c r="B36" s="3403">
        <v>2022</v>
      </c>
      <c r="C36" s="3404">
        <v>3</v>
      </c>
      <c r="D36" s="3404"/>
      <c r="E36" s="3404">
        <v>0.3</v>
      </c>
      <c r="F36" s="3404">
        <v>0.28999999999999998</v>
      </c>
      <c r="G36" s="3404">
        <v>0.83</v>
      </c>
      <c r="H36" s="3410"/>
      <c r="I36" s="3405">
        <f t="shared" si="13"/>
        <v>0.28999999999999998</v>
      </c>
      <c r="J36" s="3365"/>
      <c r="K36" s="3366"/>
      <c r="L36" s="3367">
        <f t="shared" si="14"/>
        <v>3.0000000000000001E-3</v>
      </c>
      <c r="M36" s="3367">
        <f t="shared" si="14"/>
        <v>2.8999999999999998E-3</v>
      </c>
      <c r="N36" s="3367">
        <f t="shared" si="14"/>
        <v>8.3000000000000001E-3</v>
      </c>
      <c r="O36" s="3367"/>
      <c r="P36" s="3367">
        <f t="shared" si="17"/>
        <v>2.8999999999999998E-3</v>
      </c>
      <c r="Q36" s="3365"/>
      <c r="R36" s="3381"/>
      <c r="S36" s="3381">
        <f>ROUND(IF(项目基本情况!$B$8="出让",SUMPRODUCT(PRODUCT(1+L36:L$42)),SUMPRODUCT(PRODUCT(1+L36:L$41))),4)</f>
        <v>1.0241</v>
      </c>
      <c r="T36" s="3381">
        <f>ROUND(IF(项目基本情况!$B$8="出让",SUMPRODUCT(PRODUCT(1+M36:M$42)),SUMPRODUCT(PRODUCT(1+M36:M$41))),4)</f>
        <v>1.0144</v>
      </c>
      <c r="U36" s="3381">
        <f>ROUND(IF(项目基本情况!$B$8="出让",SUMPRODUCT(PRODUCT(1+N36:N$42)),SUMPRODUCT(PRODUCT(1+N36:N$41))),4)</f>
        <v>1.0467</v>
      </c>
      <c r="V36" s="3381"/>
      <c r="W36" s="3381">
        <f t="shared" si="18"/>
        <v>1.0144</v>
      </c>
      <c r="X36" s="3365"/>
      <c r="Y36" s="3390"/>
      <c r="Z36" s="3391">
        <f t="shared" si="19"/>
        <v>3.8999999999999998E-3</v>
      </c>
      <c r="AA36" s="3393">
        <f t="shared" si="19"/>
        <v>2.7000000000000001E-3</v>
      </c>
      <c r="AB36" s="3390">
        <f t="shared" si="19"/>
        <v>7.9000000000000008E-3</v>
      </c>
      <c r="AC36" s="3392"/>
      <c r="AD36" s="3390">
        <f t="shared" si="19"/>
        <v>2.7000000000000001E-3</v>
      </c>
    </row>
    <row r="37" spans="1:30">
      <c r="A37" s="3344" t="s">
        <v>3246</v>
      </c>
      <c r="B37" s="3403">
        <v>2022</v>
      </c>
      <c r="C37" s="3404">
        <v>2</v>
      </c>
      <c r="D37" s="3404"/>
      <c r="E37" s="3404">
        <v>-0.11</v>
      </c>
      <c r="F37" s="3404">
        <v>-0.13</v>
      </c>
      <c r="G37" s="3404">
        <v>0.53</v>
      </c>
      <c r="H37" s="3410"/>
      <c r="I37" s="3405">
        <f t="shared" si="13"/>
        <v>-0.13</v>
      </c>
      <c r="J37" s="3365"/>
      <c r="K37" s="3366"/>
      <c r="L37" s="3367">
        <f t="shared" si="14"/>
        <v>-1.1000000000000001E-3</v>
      </c>
      <c r="M37" s="3367">
        <f t="shared" si="14"/>
        <v>-1.2999999999999999E-3</v>
      </c>
      <c r="N37" s="3367">
        <f t="shared" si="14"/>
        <v>5.3E-3</v>
      </c>
      <c r="O37" s="3367"/>
      <c r="P37" s="3367">
        <f t="shared" si="17"/>
        <v>-1.2999999999999999E-3</v>
      </c>
      <c r="Q37" s="3365"/>
      <c r="R37" s="3381"/>
      <c r="S37" s="3381">
        <f>ROUND(IF(项目基本情况!$B$8="出让",SUMPRODUCT(PRODUCT(1+L37:L$42)),SUMPRODUCT(PRODUCT(1+L37:L$41))),4)</f>
        <v>1.0210999999999999</v>
      </c>
      <c r="T37" s="3381">
        <f>ROUND(IF(项目基本情况!$B$8="出让",SUMPRODUCT(PRODUCT(1+M37:M$42)),SUMPRODUCT(PRODUCT(1+M37:M$41))),4)</f>
        <v>1.0114000000000001</v>
      </c>
      <c r="U37" s="3381">
        <f>ROUND(IF(项目基本情况!$B$8="出让",SUMPRODUCT(PRODUCT(1+N37:N$42)),SUMPRODUCT(PRODUCT(1+N37:N$41))),4)</f>
        <v>1.0381</v>
      </c>
      <c r="V37" s="3381"/>
      <c r="W37" s="3381">
        <f t="shared" si="18"/>
        <v>1.0114000000000001</v>
      </c>
      <c r="X37" s="3365"/>
      <c r="Y37" s="3390"/>
      <c r="Z37" s="3391">
        <f t="shared" si="19"/>
        <v>4.1000000000000003E-3</v>
      </c>
      <c r="AA37" s="3393">
        <f t="shared" si="19"/>
        <v>2.7000000000000001E-3</v>
      </c>
      <c r="AB37" s="3390">
        <f t="shared" si="19"/>
        <v>7.9000000000000008E-3</v>
      </c>
      <c r="AC37" s="3392"/>
      <c r="AD37" s="3390">
        <f t="shared" si="19"/>
        <v>2.7000000000000001E-3</v>
      </c>
    </row>
    <row r="38" spans="1:30">
      <c r="A38" s="3344" t="s">
        <v>2780</v>
      </c>
      <c r="B38" s="3403">
        <v>2022</v>
      </c>
      <c r="C38" s="3404">
        <v>1</v>
      </c>
      <c r="D38" s="3404"/>
      <c r="E38" s="3404">
        <v>0.6</v>
      </c>
      <c r="F38" s="3404">
        <v>0.45</v>
      </c>
      <c r="G38" s="3404">
        <v>0.53</v>
      </c>
      <c r="H38" s="3410"/>
      <c r="I38" s="3405">
        <f t="shared" si="13"/>
        <v>0.45</v>
      </c>
      <c r="J38" s="3365"/>
      <c r="K38" s="3366"/>
      <c r="L38" s="3367">
        <f t="shared" si="14"/>
        <v>6.0000000000000001E-3</v>
      </c>
      <c r="M38" s="3367">
        <f t="shared" si="14"/>
        <v>4.5000000000000005E-3</v>
      </c>
      <c r="N38" s="3367">
        <f t="shared" si="14"/>
        <v>5.3E-3</v>
      </c>
      <c r="O38" s="3367"/>
      <c r="P38" s="3367">
        <f t="shared" si="17"/>
        <v>4.5000000000000005E-3</v>
      </c>
      <c r="Q38" s="3365"/>
      <c r="R38" s="3381"/>
      <c r="S38" s="3381">
        <f>ROUND(IF(项目基本情况!$B$8="出让",SUMPRODUCT(PRODUCT(1+L38:L$42)),SUMPRODUCT(PRODUCT(1+L38:L$41))),4)</f>
        <v>1.0222</v>
      </c>
      <c r="T38" s="3381">
        <f>ROUND(IF(项目基本情况!$B$8="出让",SUMPRODUCT(PRODUCT(1+M38:M$42)),SUMPRODUCT(PRODUCT(1+M38:M$41))),4)</f>
        <v>1.0127999999999999</v>
      </c>
      <c r="U38" s="3381">
        <f>ROUND(IF(项目基本情况!$B$8="出让",SUMPRODUCT(PRODUCT(1+N38:N$42)),SUMPRODUCT(PRODUCT(1+N38:N$41))),4)</f>
        <v>1.0326</v>
      </c>
      <c r="V38" s="3381"/>
      <c r="W38" s="3381">
        <f t="shared" si="18"/>
        <v>1.0127999999999999</v>
      </c>
      <c r="X38" s="3365"/>
      <c r="Y38" s="3390"/>
      <c r="Z38" s="3391">
        <f t="shared" si="19"/>
        <v>5.1000000000000004E-3</v>
      </c>
      <c r="AA38" s="3393">
        <f t="shared" si="19"/>
        <v>3.5000000000000001E-3</v>
      </c>
      <c r="AB38" s="3390">
        <f t="shared" si="19"/>
        <v>8.3999999999999995E-3</v>
      </c>
      <c r="AC38" s="3392"/>
      <c r="AD38" s="3390">
        <f t="shared" si="19"/>
        <v>3.5000000000000001E-3</v>
      </c>
    </row>
    <row r="39" spans="1:30">
      <c r="A39" s="3344" t="s">
        <v>2781</v>
      </c>
      <c r="B39" s="3403">
        <v>2021</v>
      </c>
      <c r="C39" s="3404">
        <v>4</v>
      </c>
      <c r="D39" s="3404"/>
      <c r="E39" s="3404">
        <v>0.57999999999999996</v>
      </c>
      <c r="F39" s="3404">
        <v>0.08</v>
      </c>
      <c r="G39" s="3404">
        <v>0.68</v>
      </c>
      <c r="H39" s="3410"/>
      <c r="I39" s="3405">
        <f t="shared" si="13"/>
        <v>0.08</v>
      </c>
      <c r="J39" s="3365"/>
      <c r="K39" s="3366"/>
      <c r="L39" s="3367">
        <f t="shared" si="14"/>
        <v>5.7999999999999996E-3</v>
      </c>
      <c r="M39" s="3367">
        <f t="shared" si="14"/>
        <v>8.0000000000000004E-4</v>
      </c>
      <c r="N39" s="3367">
        <f t="shared" si="14"/>
        <v>6.8000000000000005E-3</v>
      </c>
      <c r="O39" s="3367"/>
      <c r="P39" s="3367">
        <f t="shared" si="17"/>
        <v>8.0000000000000004E-4</v>
      </c>
      <c r="Q39" s="3365"/>
      <c r="R39" s="3381"/>
      <c r="S39" s="3381">
        <f>ROUND(IF(项目基本情况!$B$8="出让",SUMPRODUCT(PRODUCT(1+L39:L$42)),SUMPRODUCT(PRODUCT(1+L39:L$41))),4)</f>
        <v>1.0161</v>
      </c>
      <c r="T39" s="3381">
        <f>ROUND(IF(项目基本情况!$B$8="出让",SUMPRODUCT(PRODUCT(1+M39:M$42)),SUMPRODUCT(PRODUCT(1+M39:M$41))),4)</f>
        <v>1.0082</v>
      </c>
      <c r="U39" s="3381">
        <f>ROUND(IF(项目基本情况!$B$8="出让",SUMPRODUCT(PRODUCT(1+N39:N$42)),SUMPRODUCT(PRODUCT(1+N39:N$41))),4)</f>
        <v>1.0270999999999999</v>
      </c>
      <c r="V39" s="3381"/>
      <c r="W39" s="3381">
        <f t="shared" si="18"/>
        <v>1.0082</v>
      </c>
      <c r="X39" s="3365"/>
      <c r="Y39" s="3390"/>
      <c r="Z39" s="3391">
        <f t="shared" si="19"/>
        <v>4.8999999999999998E-3</v>
      </c>
      <c r="AA39" s="3393">
        <f t="shared" si="19"/>
        <v>3.3E-3</v>
      </c>
      <c r="AB39" s="3390">
        <f t="shared" si="19"/>
        <v>9.1999999999999998E-3</v>
      </c>
      <c r="AC39" s="3392"/>
      <c r="AD39" s="3390">
        <f t="shared" si="19"/>
        <v>3.3E-3</v>
      </c>
    </row>
    <row r="40" spans="1:30">
      <c r="A40" s="3344" t="s">
        <v>2782</v>
      </c>
      <c r="B40" s="3403">
        <v>2021</v>
      </c>
      <c r="C40" s="3404">
        <v>3</v>
      </c>
      <c r="D40" s="3404"/>
      <c r="E40" s="3404">
        <v>0.47</v>
      </c>
      <c r="F40" s="3404">
        <v>0.28000000000000003</v>
      </c>
      <c r="G40" s="3404">
        <v>0.91</v>
      </c>
      <c r="H40" s="3410"/>
      <c r="I40" s="3405">
        <f t="shared" si="13"/>
        <v>0.28000000000000003</v>
      </c>
      <c r="J40" s="3365"/>
      <c r="K40" s="3366"/>
      <c r="L40" s="3367">
        <f t="shared" si="14"/>
        <v>4.6999999999999993E-3</v>
      </c>
      <c r="M40" s="3367">
        <f t="shared" si="14"/>
        <v>2.8000000000000004E-3</v>
      </c>
      <c r="N40" s="3367">
        <f t="shared" si="14"/>
        <v>9.1000000000000004E-3</v>
      </c>
      <c r="O40" s="3367"/>
      <c r="P40" s="3367">
        <f t="shared" si="17"/>
        <v>2.8000000000000004E-3</v>
      </c>
      <c r="Q40" s="3365"/>
      <c r="R40" s="3381"/>
      <c r="S40" s="3381">
        <f>ROUND(IF(项目基本情况!$B$8="出让",SUMPRODUCT(PRODUCT(1+L40:L$42)),SUMPRODUCT(PRODUCT(1+L40:L$41))),4)</f>
        <v>1.0102</v>
      </c>
      <c r="T40" s="3381">
        <f>ROUND(IF(项目基本情况!$B$8="出让",SUMPRODUCT(PRODUCT(1+M40:M$42)),SUMPRODUCT(PRODUCT(1+M40:M$41))),4)</f>
        <v>1.0074000000000001</v>
      </c>
      <c r="U40" s="3381">
        <f>ROUND(IF(项目基本情况!$B$8="出让",SUMPRODUCT(PRODUCT(1+N40:N$42)),SUMPRODUCT(PRODUCT(1+N40:N$41))),4)</f>
        <v>1.0202</v>
      </c>
      <c r="V40" s="3381"/>
      <c r="W40" s="3381">
        <f t="shared" si="18"/>
        <v>1.0074000000000001</v>
      </c>
      <c r="X40" s="3365"/>
      <c r="Y40" s="3390"/>
      <c r="Z40" s="3391">
        <f t="shared" si="19"/>
        <v>4.5999999999999999E-3</v>
      </c>
      <c r="AA40" s="3393">
        <f t="shared" si="19"/>
        <v>4.1000000000000003E-3</v>
      </c>
      <c r="AB40" s="3390">
        <f t="shared" si="19"/>
        <v>0.01</v>
      </c>
      <c r="AC40" s="3392"/>
      <c r="AD40" s="3390">
        <f t="shared" si="19"/>
        <v>4.1000000000000003E-3</v>
      </c>
    </row>
    <row r="41" spans="1:30">
      <c r="A41" s="3344" t="s">
        <v>2786</v>
      </c>
      <c r="B41" s="3403">
        <v>2021</v>
      </c>
      <c r="C41" s="3404">
        <v>2</v>
      </c>
      <c r="D41" s="3404"/>
      <c r="E41" s="3404">
        <v>0.55000000000000004</v>
      </c>
      <c r="F41" s="3404">
        <v>0.46</v>
      </c>
      <c r="G41" s="3404">
        <v>1.1000000000000001</v>
      </c>
      <c r="H41" s="3410"/>
      <c r="I41" s="3405">
        <f t="shared" si="13"/>
        <v>0.46</v>
      </c>
      <c r="J41" s="3365"/>
      <c r="K41" s="3366"/>
      <c r="L41" s="3367">
        <f t="shared" si="14"/>
        <v>5.5000000000000005E-3</v>
      </c>
      <c r="M41" s="3367">
        <f t="shared" si="14"/>
        <v>4.5999999999999999E-3</v>
      </c>
      <c r="N41" s="3367">
        <f t="shared" si="14"/>
        <v>1.1000000000000001E-2</v>
      </c>
      <c r="O41" s="3367"/>
      <c r="P41" s="3367">
        <f t="shared" si="17"/>
        <v>4.5999999999999999E-3</v>
      </c>
      <c r="Q41" s="3365"/>
      <c r="R41" s="3381"/>
      <c r="S41" s="3381">
        <f>ROUND(IF(项目基本情况!$B$8="出让",SUMPRODUCT(PRODUCT(1+L41:L$42)),SUMPRODUCT(PRODUCT(1+L41:L$41))),4)</f>
        <v>1.0055000000000001</v>
      </c>
      <c r="T41" s="3381">
        <f>ROUND(IF(项目基本情况!$B$8="出让",SUMPRODUCT(PRODUCT(1+M41:M$42)),SUMPRODUCT(PRODUCT(1+M41:M$41))),4)</f>
        <v>1.0045999999999999</v>
      </c>
      <c r="U41" s="3381">
        <f>ROUND(IF(项目基本情况!$B$8="出让",SUMPRODUCT(PRODUCT(1+N41:N$42)),SUMPRODUCT(PRODUCT(1+N41:N$41))),4)</f>
        <v>1.0109999999999999</v>
      </c>
      <c r="V41" s="3381"/>
      <c r="W41" s="3381">
        <f t="shared" si="18"/>
        <v>1.0045999999999999</v>
      </c>
      <c r="X41" s="3365"/>
      <c r="Y41" s="3390"/>
      <c r="Z41" s="3391">
        <f t="shared" si="19"/>
        <v>4.4999999999999997E-3</v>
      </c>
      <c r="AA41" s="3393">
        <f t="shared" si="19"/>
        <v>4.7000000000000002E-3</v>
      </c>
      <c r="AB41" s="3390">
        <f t="shared" si="19"/>
        <v>1.04E-2</v>
      </c>
      <c r="AC41" s="3392"/>
      <c r="AD41" s="3390">
        <f t="shared" si="19"/>
        <v>4.7000000000000002E-3</v>
      </c>
    </row>
    <row r="42" spans="1:30" ht="15" thickBot="1">
      <c r="A42" s="3346" t="s">
        <v>2787</v>
      </c>
      <c r="B42" s="3411">
        <v>2021</v>
      </c>
      <c r="C42" s="3412">
        <v>1</v>
      </c>
      <c r="D42" s="3412"/>
      <c r="E42" s="3412">
        <v>0.35</v>
      </c>
      <c r="F42" s="3412">
        <v>0.48</v>
      </c>
      <c r="G42" s="3412">
        <v>0.98</v>
      </c>
      <c r="H42" s="3413"/>
      <c r="I42" s="3414">
        <f t="shared" si="13"/>
        <v>0.48</v>
      </c>
      <c r="J42" s="3371"/>
      <c r="K42" s="3372"/>
      <c r="L42" s="3373">
        <f t="shared" si="14"/>
        <v>3.4999999999999996E-3</v>
      </c>
      <c r="M42" s="3373">
        <f>F42/100</f>
        <v>4.7999999999999996E-3</v>
      </c>
      <c r="N42" s="3373">
        <f t="shared" si="14"/>
        <v>9.7999999999999997E-3</v>
      </c>
      <c r="O42" s="3373"/>
      <c r="P42" s="3373">
        <f t="shared" si="17"/>
        <v>4.7999999999999996E-3</v>
      </c>
      <c r="Q42" s="3371"/>
      <c r="R42" s="3382"/>
      <c r="S42" s="3382">
        <v>1</v>
      </c>
      <c r="T42" s="3382">
        <v>1</v>
      </c>
      <c r="U42" s="3382">
        <v>1</v>
      </c>
      <c r="V42" s="3382"/>
      <c r="W42" s="3382">
        <f t="shared" si="18"/>
        <v>1</v>
      </c>
      <c r="X42" s="3371"/>
      <c r="Y42" s="3373"/>
      <c r="Z42" s="3397">
        <f t="shared" si="19"/>
        <v>3.5000000000000001E-3</v>
      </c>
      <c r="AA42" s="3398">
        <f t="shared" si="19"/>
        <v>4.7999999999999996E-3</v>
      </c>
      <c r="AB42" s="3373">
        <f t="shared" si="19"/>
        <v>9.7999999999999997E-3</v>
      </c>
      <c r="AC42" s="3399"/>
      <c r="AD42" s="3373">
        <f t="shared" si="19"/>
        <v>4.7999999999999996E-3</v>
      </c>
    </row>
    <row r="43" spans="1:30" ht="15" thickTop="1"/>
    <row r="44" spans="1:30">
      <c r="A44" s="3662" t="s">
        <v>3249</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1427</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1428</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106677.19平方米。根据《建设工程规划许可证》[]、《出让合同》[]，估价对象规划建筑面积为35000平方米。</v>
      </c>
    </row>
    <row r="7" spans="1:4" ht="52.2">
      <c r="A7" s="1583" t="s">
        <v>2028</v>
      </c>
    </row>
    <row r="8" spans="1:4" ht="17.399999999999999">
      <c r="A8" s="1582" t="s">
        <v>1429</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1543</v>
      </c>
    </row>
    <row r="11" spans="1:4" ht="17.399999999999999">
      <c r="A11" s="1568" t="str">
        <f>TEXT(项目基本情况!D3,"yyyy年m月d日;;")&amp;IF(项目基本情况!B3=项目基本情况!D3,"（评估专业人员勘察现场之日）","")</f>
        <v>2024年8月2日</v>
      </c>
    </row>
    <row r="12" spans="1:4" ht="17.399999999999999">
      <c r="A12" s="1585" t="s">
        <v>1542</v>
      </c>
    </row>
    <row r="13" spans="1:4" ht="17.399999999999999">
      <c r="A13" s="1579" t="s">
        <v>2203</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1589</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1590</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根据《国有土地使用证》[]，估价对象（分摊）出让国有建设用地使用权面积为106677.19平方米。根据《建设工程规划许可证》[]、《出让合同》[]，估价对象规划建筑面积为35000平方米。</v>
      </c>
    </row>
    <row r="21" spans="1:1" ht="17.399999999999999">
      <c r="A21" s="1579" t="s">
        <v>1591</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1592</v>
      </c>
    </row>
    <row r="25" spans="1:1" ht="87">
      <c r="A25" s="1579" t="str">
        <f>定义!C53</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1544</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2210</v>
      </c>
      <c r="B1" s="2988"/>
      <c r="C1" s="2988"/>
      <c r="D1" s="2988"/>
      <c r="E1" s="2988"/>
      <c r="F1" s="2988"/>
      <c r="G1" s="2989"/>
      <c r="H1" s="2989"/>
      <c r="I1" s="2989"/>
      <c r="J1" s="2989"/>
      <c r="K1" s="2989"/>
      <c r="L1" s="2989"/>
      <c r="M1" s="2989"/>
      <c r="N1" s="2989"/>
    </row>
    <row r="2" spans="1:14" ht="15.6">
      <c r="A2" s="2994" t="s">
        <v>2205</v>
      </c>
      <c r="B2" s="2999">
        <f ca="1">SUMIF(B7:B14,"&lt;&gt;#ref!",B7:B14)</f>
        <v>0</v>
      </c>
      <c r="C2" s="2994" t="s">
        <v>2206</v>
      </c>
      <c r="D2" s="2991"/>
      <c r="E2" s="2991"/>
      <c r="F2" s="2991"/>
      <c r="G2" s="2989"/>
      <c r="H2" s="2989"/>
      <c r="I2" s="2989"/>
      <c r="J2" s="2989"/>
      <c r="K2" s="2989"/>
      <c r="L2" s="2989"/>
      <c r="M2" s="2989"/>
      <c r="N2" s="2989"/>
    </row>
    <row r="3" spans="1:14" ht="15.6">
      <c r="A3" s="2994" t="s">
        <v>2234</v>
      </c>
      <c r="B3" s="2999" t="e">
        <f ca="1">ROUND(B2*10000/E3,0)</f>
        <v>#DIV/0!</v>
      </c>
      <c r="C3" s="2994" t="s">
        <v>1595</v>
      </c>
      <c r="D3" s="2994" t="s">
        <v>2207</v>
      </c>
      <c r="E3" s="2992">
        <f ca="1">SUMIF(E7:E14,"&lt;&gt;#ref!",E7:E14)</f>
        <v>0</v>
      </c>
      <c r="F3" s="2991"/>
      <c r="G3" s="2989"/>
      <c r="H3" s="2989"/>
      <c r="I3" s="2989"/>
      <c r="J3" s="2989"/>
      <c r="K3" s="2989"/>
      <c r="L3" s="2989"/>
      <c r="M3" s="2989"/>
      <c r="N3" s="2989"/>
    </row>
    <row r="4" spans="1:14" ht="15.6">
      <c r="A4" s="2994" t="s">
        <v>2213</v>
      </c>
      <c r="B4" s="2999" t="e">
        <f ca="1">ROUND(B2*10000/E4,0)</f>
        <v>#DIV/0!</v>
      </c>
      <c r="C4" s="2994" t="s">
        <v>1595</v>
      </c>
      <c r="D4" s="2994" t="s">
        <v>2214</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2211</v>
      </c>
      <c r="B6" s="2994" t="s">
        <v>2208</v>
      </c>
      <c r="C6" s="2545"/>
      <c r="D6" s="2991"/>
      <c r="E6" s="2994" t="s">
        <v>2209</v>
      </c>
      <c r="F6" s="2994" t="s">
        <v>2212</v>
      </c>
      <c r="G6" s="2989"/>
      <c r="H6" s="2989"/>
      <c r="I6" s="2989"/>
      <c r="J6" s="2989"/>
      <c r="K6" s="2989"/>
      <c r="L6" s="2989"/>
      <c r="M6" s="2989"/>
      <c r="N6" s="2989"/>
    </row>
    <row r="7" spans="1:14" ht="15.6">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 sqref="F3"/>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575</v>
      </c>
      <c r="B1" s="706"/>
      <c r="C1" s="739"/>
      <c r="D1" s="1774"/>
      <c r="E1" s="2079" t="s">
        <v>1727</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576</v>
      </c>
      <c r="B2" s="741">
        <f ca="1">IF(ISERROR(C45+J31),0,C45+J31)</f>
        <v>0</v>
      </c>
      <c r="C2" s="1211"/>
      <c r="D2" s="1779"/>
      <c r="E2" s="1780"/>
      <c r="F2" s="1780"/>
      <c r="G2" s="1403"/>
      <c r="H2" s="1223"/>
      <c r="I2" s="1781"/>
      <c r="J2" s="1781"/>
      <c r="K2" s="1782"/>
      <c r="L2" s="1781"/>
      <c r="M2" s="1781"/>
    </row>
    <row r="3" spans="1:25" ht="18" customHeight="1">
      <c r="A3" s="1450" t="s">
        <v>1218</v>
      </c>
      <c r="B3" s="1246">
        <f ca="1">ROUND(B2*10000/'数据-汇总表'!E3,0)</f>
        <v>0</v>
      </c>
      <c r="C3" s="1211"/>
      <c r="D3" s="1779"/>
      <c r="E3" s="1780"/>
      <c r="F3" s="1780"/>
      <c r="G3" s="1403"/>
      <c r="H3" s="742" t="s">
        <v>641</v>
      </c>
      <c r="I3" s="1781"/>
      <c r="J3" s="1781"/>
      <c r="K3" s="1782"/>
      <c r="L3" s="1781"/>
      <c r="M3" s="1781"/>
    </row>
    <row r="4" spans="1:25" ht="18" customHeight="1">
      <c r="A4" s="1451" t="s">
        <v>642</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643</v>
      </c>
      <c r="D5" s="1779"/>
      <c r="E5" s="1780"/>
      <c r="F5" s="1780"/>
      <c r="G5" s="1403"/>
      <c r="H5" s="742"/>
      <c r="I5" s="1781"/>
      <c r="J5" s="1781"/>
      <c r="K5" s="1782"/>
      <c r="L5" s="1781"/>
      <c r="M5" s="1781"/>
    </row>
    <row r="6" spans="1:25" ht="18" customHeight="1">
      <c r="A6" s="1615" t="s">
        <v>644</v>
      </c>
      <c r="B6" s="1607" t="s">
        <v>645</v>
      </c>
      <c r="C6" s="1607" t="s">
        <v>579</v>
      </c>
      <c r="D6" s="1607" t="s">
        <v>580</v>
      </c>
      <c r="E6" s="745" t="s">
        <v>581</v>
      </c>
      <c r="F6" s="746"/>
      <c r="G6" s="1405"/>
      <c r="H6" s="1615" t="s">
        <v>577</v>
      </c>
      <c r="I6" s="1607" t="s">
        <v>578</v>
      </c>
      <c r="J6" s="1607" t="s">
        <v>579</v>
      </c>
      <c r="K6" s="1607" t="s">
        <v>580</v>
      </c>
      <c r="L6" s="745" t="s">
        <v>581</v>
      </c>
      <c r="M6" s="746"/>
    </row>
    <row r="7" spans="1:25" ht="18" customHeight="1">
      <c r="A7" s="747">
        <v>1</v>
      </c>
      <c r="B7" s="748" t="s">
        <v>1801</v>
      </c>
      <c r="C7" s="51">
        <f ca="1">C8+C12+C14</f>
        <v>0</v>
      </c>
      <c r="D7" s="2143" t="s">
        <v>1804</v>
      </c>
      <c r="E7" s="2137"/>
      <c r="F7" s="2138"/>
      <c r="G7" s="1405"/>
      <c r="H7" s="747">
        <v>1</v>
      </c>
      <c r="I7" s="748" t="s">
        <v>1801</v>
      </c>
      <c r="J7" s="51">
        <f ca="1">J8+J12+J14</f>
        <v>0</v>
      </c>
      <c r="K7" s="2143" t="s">
        <v>1804</v>
      </c>
      <c r="L7" s="2137"/>
      <c r="M7" s="2138"/>
    </row>
    <row r="8" spans="1:25" ht="18" customHeight="1">
      <c r="A8" s="1617" t="s">
        <v>1352</v>
      </c>
      <c r="B8" s="3944" t="s">
        <v>1806</v>
      </c>
      <c r="C8" s="1612">
        <f ca="1">ROUND(F8*F10*F9*(1-F11)/10000,0)</f>
        <v>0</v>
      </c>
      <c r="D8" s="1609" t="s">
        <v>1816</v>
      </c>
      <c r="E8" s="59" t="s">
        <v>584</v>
      </c>
      <c r="F8" s="751">
        <f ca="1">INDIRECT("'数据-取费表'!u"&amp;$G$1)</f>
        <v>0</v>
      </c>
      <c r="G8" s="1405"/>
      <c r="H8" s="2151" t="s">
        <v>1352</v>
      </c>
      <c r="I8" s="3944" t="s">
        <v>1806</v>
      </c>
      <c r="J8" s="749">
        <f ca="1">ROUND(M8*M10*M9*(1-M11)/10000,0)</f>
        <v>0</v>
      </c>
      <c r="K8" s="332" t="s">
        <v>1816</v>
      </c>
      <c r="L8" s="750" t="s">
        <v>1266</v>
      </c>
      <c r="M8" s="751">
        <f ca="1">INDIRECT("'数据-取费表'!z"&amp;$G$1)</f>
        <v>0</v>
      </c>
    </row>
    <row r="9" spans="1:25" ht="18" customHeight="1">
      <c r="A9" s="2147"/>
      <c r="B9" s="3945"/>
      <c r="C9" s="1613"/>
      <c r="D9" s="1610"/>
      <c r="E9" s="59" t="s">
        <v>585</v>
      </c>
      <c r="F9" s="751">
        <f ca="1">IF(INDIRECT("'数据-取费表'!ah"&amp;$G$1)="",INDIRECT("'数据-取费表'!k"&amp;$G$1),INDIRECT("'数据-取费表'!ah"&amp;$G$1))</f>
        <v>0</v>
      </c>
      <c r="G9" s="1405"/>
      <c r="H9" s="2136"/>
      <c r="I9" s="3945"/>
      <c r="J9" s="754"/>
      <c r="K9" s="755"/>
      <c r="L9" s="750" t="s">
        <v>1267</v>
      </c>
      <c r="M9" s="751">
        <f ca="1">F9</f>
        <v>0</v>
      </c>
    </row>
    <row r="10" spans="1:25" ht="18" customHeight="1">
      <c r="A10" s="2140"/>
      <c r="B10" s="3946"/>
      <c r="C10" s="1613"/>
      <c r="D10" s="1610"/>
      <c r="E10" s="59" t="s">
        <v>586</v>
      </c>
      <c r="F10" s="751">
        <f ca="1">INDIRECT("'数据-取费表'!ai"&amp;$G$1)</f>
        <v>0</v>
      </c>
      <c r="G10" s="1405"/>
      <c r="H10" s="2136"/>
      <c r="I10" s="3946"/>
      <c r="J10" s="754"/>
      <c r="K10" s="755"/>
      <c r="L10" s="750" t="s">
        <v>1268</v>
      </c>
      <c r="M10" s="751">
        <f ca="1">INDIRECT("'数据-取费表'!ai"&amp;$G$1)</f>
        <v>0</v>
      </c>
    </row>
    <row r="11" spans="1:25" ht="18" customHeight="1">
      <c r="A11" s="752"/>
      <c r="B11" s="3947"/>
      <c r="C11" s="1613"/>
      <c r="D11" s="1610"/>
      <c r="E11" s="59" t="s">
        <v>587</v>
      </c>
      <c r="F11" s="760">
        <f ca="1">INDIRECT("'数据-取费表'!w"&amp;$G$1)</f>
        <v>0</v>
      </c>
      <c r="G11" s="1405"/>
      <c r="H11" s="2152"/>
      <c r="I11" s="3946"/>
      <c r="J11" s="754"/>
      <c r="K11" s="755"/>
      <c r="L11" s="761" t="s">
        <v>1269</v>
      </c>
      <c r="M11" s="762">
        <f ca="1">INDIRECT("'数据-取费表'!ab"&amp;$G$1)</f>
        <v>0</v>
      </c>
    </row>
    <row r="12" spans="1:25" ht="18" customHeight="1">
      <c r="A12" s="1617" t="s">
        <v>1353</v>
      </c>
      <c r="B12" s="2141" t="s">
        <v>1802</v>
      </c>
      <c r="C12" s="765">
        <f ca="1">ROUND(IF(F12="押一",C8/12*F13,IF(F12="押二",C8/12*2*F13,IF(F12="押三",C8/12*3*F13,C13*F13))),0)</f>
        <v>0</v>
      </c>
      <c r="D12" s="2148" t="s">
        <v>2231</v>
      </c>
      <c r="E12" s="2145" t="s">
        <v>1807</v>
      </c>
      <c r="F12" s="2229"/>
      <c r="G12" s="1405"/>
      <c r="H12" s="2179" t="s">
        <v>1353</v>
      </c>
      <c r="I12" s="2184" t="s">
        <v>1802</v>
      </c>
      <c r="J12" s="749">
        <f ca="1">ROUND(IF(M12="押一",J8/12*M13,IF(M12="押二",J8/12*2*M13,IF(M12="押三",J8/12*3*M13,J13*M13))),0)</f>
        <v>0</v>
      </c>
      <c r="K12" s="2148" t="s">
        <v>2231</v>
      </c>
      <c r="L12" s="2145" t="s">
        <v>1807</v>
      </c>
      <c r="M12" s="2229"/>
    </row>
    <row r="13" spans="1:25" ht="18" customHeight="1">
      <c r="A13" s="756"/>
      <c r="B13" s="2142" t="s">
        <v>1855</v>
      </c>
      <c r="C13" s="2146"/>
      <c r="D13" s="755"/>
      <c r="E13" s="2145" t="s">
        <v>1800</v>
      </c>
      <c r="F13" s="762">
        <f ca="1">'数据-取费表'!B39</f>
        <v>1.4999999999999999E-2</v>
      </c>
      <c r="G13" s="1405"/>
      <c r="H13" s="2180"/>
      <c r="I13" s="2142" t="s">
        <v>1855</v>
      </c>
      <c r="J13" s="2146"/>
      <c r="K13" s="2181"/>
      <c r="L13" s="2145" t="s">
        <v>1800</v>
      </c>
      <c r="M13" s="2139">
        <f ca="1">'数据-取费表'!B39</f>
        <v>1.4999999999999999E-2</v>
      </c>
    </row>
    <row r="14" spans="1:25" ht="18" customHeight="1" thickBot="1">
      <c r="A14" s="2155" t="s">
        <v>1810</v>
      </c>
      <c r="B14" s="2156" t="s">
        <v>1803</v>
      </c>
      <c r="C14" s="2157"/>
      <c r="D14" s="2158"/>
      <c r="E14" s="2159"/>
      <c r="F14" s="2160"/>
      <c r="G14" s="1405"/>
      <c r="H14" s="2169" t="s">
        <v>1810</v>
      </c>
      <c r="I14" s="2182" t="s">
        <v>1803</v>
      </c>
      <c r="J14" s="2183"/>
      <c r="K14" s="2158"/>
      <c r="L14" s="2159"/>
      <c r="M14" s="2172"/>
    </row>
    <row r="15" spans="1:25" ht="18" customHeight="1" thickTop="1">
      <c r="A15" s="1616" t="s">
        <v>1398</v>
      </c>
      <c r="B15" s="1614" t="s">
        <v>588</v>
      </c>
      <c r="C15" s="758">
        <f ca="1">ROUND(C31*F15,0)</f>
        <v>0</v>
      </c>
      <c r="D15" s="1621" t="s">
        <v>589</v>
      </c>
      <c r="E15" s="761" t="s">
        <v>590</v>
      </c>
      <c r="F15" s="766">
        <f ca="1">INDIRECT("'数据-取费表'!y"&amp;$G$1)</f>
        <v>0</v>
      </c>
      <c r="G15" s="1405"/>
      <c r="H15" s="1616" t="s">
        <v>1354</v>
      </c>
      <c r="I15" s="1614" t="s">
        <v>591</v>
      </c>
      <c r="J15" s="1606">
        <f ca="1">ROUND(J16*J17,0)</f>
        <v>0</v>
      </c>
      <c r="K15" s="1608" t="s">
        <v>589</v>
      </c>
      <c r="L15" s="767"/>
      <c r="M15" s="768"/>
    </row>
    <row r="16" spans="1:25" ht="18" customHeight="1">
      <c r="A16" s="769" t="s">
        <v>1399</v>
      </c>
      <c r="B16" s="750" t="s">
        <v>592</v>
      </c>
      <c r="C16" s="770">
        <f ca="1">INDIRECT("'数据-取费表'!m"&amp;$G$1)+INDIRECT("'数据-取费表'!t"&amp;$G$1)</f>
        <v>0</v>
      </c>
      <c r="D16" s="1734" t="s">
        <v>593</v>
      </c>
      <c r="E16" s="1735"/>
      <c r="F16" s="771"/>
      <c r="G16" s="1405"/>
      <c r="H16" s="769" t="s">
        <v>1586</v>
      </c>
      <c r="I16" s="1950" t="s">
        <v>2101</v>
      </c>
      <c r="J16" s="51">
        <f ca="1">C31</f>
        <v>0</v>
      </c>
      <c r="K16" s="24"/>
      <c r="L16" s="767"/>
      <c r="M16" s="768"/>
    </row>
    <row r="17" spans="1:25" s="1788" customFormat="1" ht="18" customHeight="1">
      <c r="A17" s="769" t="s">
        <v>1377</v>
      </c>
      <c r="B17" s="750" t="s">
        <v>594</v>
      </c>
      <c r="C17" s="51">
        <f ca="1">ROUND(C16*F17,0)</f>
        <v>0</v>
      </c>
      <c r="D17" s="772" t="s">
        <v>595</v>
      </c>
      <c r="E17" s="772" t="s">
        <v>596</v>
      </c>
      <c r="F17" s="773">
        <f>'数据-取费表'!B33</f>
        <v>0.03</v>
      </c>
      <c r="G17" s="1406"/>
      <c r="H17" s="769" t="s">
        <v>1587</v>
      </c>
      <c r="I17" s="750" t="s">
        <v>590</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1378</v>
      </c>
      <c r="B18" s="750" t="s">
        <v>597</v>
      </c>
      <c r="C18" s="51">
        <f ca="1">ROUND(INDIRECT("'数据-取费表'!m"&amp;$G$1)*F18,0)</f>
        <v>0</v>
      </c>
      <c r="D18" s="750" t="s">
        <v>595</v>
      </c>
      <c r="E18" s="750" t="s">
        <v>596</v>
      </c>
      <c r="F18" s="775">
        <f ca="1">IF(INDIRECT("'数据-取费表'!c"&amp;$G$1)="住宅",'数据-取费表'!B34,0)</f>
        <v>0</v>
      </c>
      <c r="G18" s="1405"/>
      <c r="H18" s="763" t="s">
        <v>1355</v>
      </c>
      <c r="I18" s="764" t="s">
        <v>598</v>
      </c>
      <c r="J18" s="765">
        <f ca="1">ROUND(J19+J24+J25+J26,0)</f>
        <v>0</v>
      </c>
      <c r="K18" s="24" t="s">
        <v>599</v>
      </c>
      <c r="L18" s="1737"/>
      <c r="M18" s="54"/>
    </row>
    <row r="19" spans="1:25" s="1788" customFormat="1" ht="18" customHeight="1">
      <c r="A19" s="769" t="s">
        <v>1379</v>
      </c>
      <c r="B19" s="750" t="s">
        <v>600</v>
      </c>
      <c r="C19" s="51">
        <f ca="1">ROUND(F19*(INDIRECT("'数据-取费表'!k"&amp;$G$1)+INDIRECT("'数据-取费表'!S"&amp;$G$1))/10000,0)</f>
        <v>0</v>
      </c>
      <c r="D19" s="750" t="s">
        <v>601</v>
      </c>
      <c r="E19" s="750" t="s">
        <v>602</v>
      </c>
      <c r="F19" s="54">
        <f>'数据-取费表'!B35</f>
        <v>200</v>
      </c>
      <c r="G19" s="1406"/>
      <c r="H19" s="769" t="s">
        <v>1586</v>
      </c>
      <c r="I19" s="750" t="s">
        <v>603</v>
      </c>
      <c r="J19" s="2762">
        <f ca="1">ROUND(IF(AND(项目基本情况!B11="自然人",项目基本情况!B10="北京市"),J8*M19/(1+'数据-取费表'!C42),J20+J21+J22),0)</f>
        <v>0</v>
      </c>
      <c r="K19" s="1734" t="s">
        <v>604</v>
      </c>
      <c r="L19" s="1732" t="s">
        <v>605</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1380</v>
      </c>
      <c r="B20" s="750" t="s">
        <v>606</v>
      </c>
      <c r="C20" s="51">
        <f ca="1">ROUND(C16*F20,0)</f>
        <v>0</v>
      </c>
      <c r="D20" s="750" t="s">
        <v>595</v>
      </c>
      <c r="E20" s="750" t="s">
        <v>596</v>
      </c>
      <c r="F20" s="775">
        <f>'数据-取费表'!B36</f>
        <v>1.4999999999999999E-2</v>
      </c>
      <c r="G20" s="1406"/>
      <c r="H20" s="769" t="s">
        <v>1359</v>
      </c>
      <c r="I20" s="750" t="s">
        <v>607</v>
      </c>
      <c r="J20" s="51">
        <f ca="1">ROUND(J8*M20/(1+'数据-取费表'!C42),1)</f>
        <v>0</v>
      </c>
      <c r="K20" s="1732" t="s">
        <v>608</v>
      </c>
      <c r="L20" s="750" t="s">
        <v>596</v>
      </c>
      <c r="M20" s="775">
        <f>'数据-取费表'!B41</f>
        <v>5.6000000000000001E-2</v>
      </c>
      <c r="N20" s="1787"/>
      <c r="O20" s="1787"/>
      <c r="P20" s="1787"/>
      <c r="Q20" s="1787"/>
      <c r="R20" s="1787"/>
      <c r="S20" s="1787"/>
      <c r="T20" s="1787"/>
      <c r="U20" s="1787"/>
      <c r="V20" s="1787"/>
      <c r="W20" s="1787"/>
      <c r="X20" s="1787"/>
      <c r="Y20" s="1787"/>
    </row>
    <row r="21" spans="1:25" ht="18" customHeight="1">
      <c r="A21" s="769" t="s">
        <v>1400</v>
      </c>
      <c r="B21" s="750" t="s">
        <v>609</v>
      </c>
      <c r="C21" s="51">
        <f ca="1">SUM(C16:C20)</f>
        <v>0</v>
      </c>
      <c r="D21" s="252" t="s">
        <v>610</v>
      </c>
      <c r="E21" s="1737"/>
      <c r="F21" s="54"/>
      <c r="G21" s="1405"/>
      <c r="H21" s="1617" t="s">
        <v>1377</v>
      </c>
      <c r="I21" s="750" t="s">
        <v>611</v>
      </c>
      <c r="J21" s="51">
        <f ca="1">IF(K21="按租金收入计税",ROUND(J8*M21/(1+'数据-取费表'!C42),1),ROUND(C31*F35*0.7,1))</f>
        <v>0</v>
      </c>
      <c r="K21" s="776" t="s">
        <v>3244</v>
      </c>
      <c r="L21" s="750" t="s">
        <v>596</v>
      </c>
      <c r="M21" s="775">
        <f>IF(K21="按租金收入计税",'数据-取费表'!B51,'数据-取费表'!B50)</f>
        <v>0.12</v>
      </c>
    </row>
    <row r="22" spans="1:25" s="1788" customFormat="1" ht="18" customHeight="1">
      <c r="A22" s="769" t="s">
        <v>1401</v>
      </c>
      <c r="B22" s="750" t="s">
        <v>612</v>
      </c>
      <c r="C22" s="51">
        <f ca="1">ROUND(C21*F22,0)</f>
        <v>0</v>
      </c>
      <c r="D22" s="777" t="s">
        <v>613</v>
      </c>
      <c r="E22" s="750" t="s">
        <v>596</v>
      </c>
      <c r="F22" s="775">
        <f>'数据-取费表'!B37</f>
        <v>0.02</v>
      </c>
      <c r="G22" s="1406"/>
      <c r="H22" s="1619" t="s">
        <v>1378</v>
      </c>
      <c r="I22" s="1609" t="s">
        <v>614</v>
      </c>
      <c r="J22" s="52">
        <f ca="1">ROUND(M22*M23/10000,0)</f>
        <v>0</v>
      </c>
      <c r="K22" s="779" t="s">
        <v>615</v>
      </c>
      <c r="L22" s="750" t="s">
        <v>616</v>
      </c>
      <c r="M22" s="608">
        <f>'数据-取费表'!B52</f>
        <v>0</v>
      </c>
      <c r="N22" s="1787"/>
      <c r="O22" s="1787"/>
      <c r="P22" s="1787"/>
      <c r="Q22" s="1787"/>
      <c r="R22" s="1787"/>
      <c r="S22" s="1787"/>
      <c r="T22" s="1787"/>
      <c r="U22" s="1787"/>
      <c r="V22" s="1787"/>
      <c r="W22" s="1787"/>
      <c r="X22" s="1787"/>
      <c r="Y22" s="1787"/>
    </row>
    <row r="23" spans="1:25" s="1788" customFormat="1" ht="18" customHeight="1">
      <c r="A23" s="769" t="s">
        <v>1402</v>
      </c>
      <c r="B23" s="750" t="s">
        <v>617</v>
      </c>
      <c r="C23" s="51" t="s">
        <v>0</v>
      </c>
      <c r="D23" s="777" t="s">
        <v>618</v>
      </c>
      <c r="E23" s="750" t="s">
        <v>619</v>
      </c>
      <c r="F23" s="775">
        <f>'数据-取费表'!B38</f>
        <v>0.02</v>
      </c>
      <c r="G23" s="1406"/>
      <c r="H23" s="1620"/>
      <c r="I23" s="1611"/>
      <c r="J23" s="67"/>
      <c r="K23" s="781"/>
      <c r="L23" s="750" t="s">
        <v>620</v>
      </c>
      <c r="M23" s="751">
        <f ca="1">INDIRECT("'数据-取费表'!r"&amp;$G$1)</f>
        <v>0</v>
      </c>
      <c r="N23" s="1787"/>
      <c r="O23" s="1787"/>
      <c r="P23" s="1787"/>
      <c r="Q23" s="1787"/>
      <c r="R23" s="1787"/>
      <c r="S23" s="1787"/>
      <c r="T23" s="1787"/>
      <c r="U23" s="1787"/>
      <c r="V23" s="1787"/>
      <c r="W23" s="1787"/>
      <c r="X23" s="1787"/>
      <c r="Y23" s="1787"/>
    </row>
    <row r="24" spans="1:25" ht="18" customHeight="1">
      <c r="A24" s="769" t="s">
        <v>1403</v>
      </c>
      <c r="B24" s="750" t="s">
        <v>621</v>
      </c>
      <c r="C24" s="51"/>
      <c r="D24" s="2188" t="str">
        <f>IF(F25&lt;=1,"单利计息。","复利计息。")&amp;"建造成本、管理费用、销售费用产生的利息。"</f>
        <v>单利计息。建造成本、管理费用、销售费用产生的利息。</v>
      </c>
      <c r="E24" s="1737"/>
      <c r="F24" s="54"/>
      <c r="G24" s="1405"/>
      <c r="H24" s="1618" t="s">
        <v>1587</v>
      </c>
      <c r="I24" s="750" t="s">
        <v>622</v>
      </c>
      <c r="J24" s="51">
        <f ca="1">ROUND(J16*M24,0)</f>
        <v>0</v>
      </c>
      <c r="K24" s="1732" t="s">
        <v>623</v>
      </c>
      <c r="L24" s="750" t="s">
        <v>596</v>
      </c>
      <c r="M24" s="782">
        <f ca="1">INDIRECT("'数据-取费表'!Ak"&amp;$G$1)</f>
        <v>0</v>
      </c>
    </row>
    <row r="25" spans="1:25" s="1788" customFormat="1" ht="18" customHeight="1">
      <c r="A25" s="769" t="s">
        <v>1399</v>
      </c>
      <c r="B25" s="750" t="s">
        <v>1783</v>
      </c>
      <c r="C25" s="51">
        <f ca="1">ROUND(IF('数据-取费表'!B22&lt;=1,(C21+C22)*F26*F25/2,(C21+C22)*(POWER((1+F26),F25/2)-1)),0)</f>
        <v>0</v>
      </c>
      <c r="D25" s="2187" t="str">
        <f>IF(F25&lt;=1,"(建造成本+管理费用)×利率×(建设周期÷2)","(建造成本+管理费用)×((1+利率)^(建设周期÷2)-1)")</f>
        <v>(建造成本+管理费用)×利率×(建设周期÷2)</v>
      </c>
      <c r="E25" s="750" t="s">
        <v>624</v>
      </c>
      <c r="F25" s="608">
        <f>'数据-取费表'!B20</f>
        <v>1</v>
      </c>
      <c r="G25" s="1406"/>
      <c r="H25" s="769" t="s">
        <v>1402</v>
      </c>
      <c r="I25" s="750" t="s">
        <v>625</v>
      </c>
      <c r="J25" s="51">
        <f ca="1">ROUND(J15*M25,0)</f>
        <v>0</v>
      </c>
      <c r="K25" s="1732" t="s">
        <v>626</v>
      </c>
      <c r="L25" s="750" t="s">
        <v>596</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1377</v>
      </c>
      <c r="B26" s="750" t="s">
        <v>627</v>
      </c>
      <c r="C26" s="51">
        <f ca="1">ROUND(IF('数据-取费表'!B22&lt;=1,F23*F26*F25/2,F23*(POWER((1+F26),F25/2)-1)),4)</f>
        <v>4.0000000000000002E-4</v>
      </c>
      <c r="D26" s="2187" t="str">
        <f>IF(F25&lt;=1,"销售费用×利率×(建设周期÷2)","销售费用×((1+利率)^(建设周期÷2)-1)")</f>
        <v>销售费用×利率×(建设周期÷2)</v>
      </c>
      <c r="E26" s="750" t="s">
        <v>628</v>
      </c>
      <c r="F26" s="784">
        <f ca="1">'数据-取费表'!B40</f>
        <v>4.2500000000000003E-2</v>
      </c>
      <c r="G26" s="1406"/>
      <c r="H26" s="769" t="s">
        <v>1403</v>
      </c>
      <c r="I26" s="750" t="s">
        <v>612</v>
      </c>
      <c r="J26" s="51">
        <f ca="1">ROUND(J7*M26,0)</f>
        <v>0</v>
      </c>
      <c r="K26" s="1732" t="s">
        <v>629</v>
      </c>
      <c r="L26" s="750" t="s">
        <v>596</v>
      </c>
      <c r="M26" s="760">
        <f ca="1">INDIRECT("'数据-取费表'!Am"&amp;$G$1)</f>
        <v>0</v>
      </c>
      <c r="N26" s="1787"/>
      <c r="O26" s="1787"/>
      <c r="P26" s="1787"/>
      <c r="Q26" s="1787"/>
      <c r="R26" s="1787"/>
      <c r="S26" s="1787"/>
      <c r="T26" s="1787"/>
      <c r="U26" s="1787"/>
      <c r="V26" s="1787"/>
      <c r="W26" s="1787"/>
      <c r="X26" s="1787"/>
      <c r="Y26" s="1787"/>
    </row>
    <row r="27" spans="1:25" ht="18" customHeight="1">
      <c r="A27" s="769" t="s">
        <v>1405</v>
      </c>
      <c r="B27" s="750" t="s">
        <v>630</v>
      </c>
      <c r="C27" s="51"/>
      <c r="D27" s="252" t="s">
        <v>631</v>
      </c>
      <c r="E27" s="1737"/>
      <c r="F27" s="54"/>
      <c r="G27" s="1405"/>
      <c r="H27" s="763" t="s">
        <v>1356</v>
      </c>
      <c r="I27" s="2485" t="s">
        <v>2098</v>
      </c>
      <c r="J27" s="765">
        <f ca="1">J7-J18</f>
        <v>0</v>
      </c>
      <c r="K27" s="1734" t="s">
        <v>646</v>
      </c>
      <c r="L27" s="1736"/>
      <c r="M27" s="785"/>
    </row>
    <row r="28" spans="1:25" ht="18" customHeight="1">
      <c r="A28" s="769" t="s">
        <v>1399</v>
      </c>
      <c r="B28" s="750" t="s">
        <v>1784</v>
      </c>
      <c r="C28" s="51">
        <f ca="1">ROUND((C21+C22)*F28,0)</f>
        <v>0</v>
      </c>
      <c r="D28" s="777" t="s">
        <v>647</v>
      </c>
      <c r="E28" s="761" t="s">
        <v>648</v>
      </c>
      <c r="F28" s="760">
        <f ca="1">INDIRECT("'数据-取费表'!q"&amp;$G$1)</f>
        <v>0</v>
      </c>
      <c r="G28" s="1405"/>
      <c r="H28" s="747" t="s">
        <v>1365</v>
      </c>
      <c r="I28" s="748" t="s">
        <v>649</v>
      </c>
      <c r="J28" s="749">
        <f ca="1">IF(J7&lt;&gt;0,ROUND(J27*(1-((1+M30)/(1+M28))^M29)/(M28-M30),0),0)</f>
        <v>0</v>
      </c>
      <c r="K28" s="779" t="s">
        <v>650</v>
      </c>
      <c r="L28" s="750" t="s">
        <v>651</v>
      </c>
      <c r="M28" s="760">
        <f ca="1">INDIRECT("'数据-取费表'!I"&amp;$G$1)</f>
        <v>0</v>
      </c>
    </row>
    <row r="29" spans="1:25" ht="18" customHeight="1">
      <c r="A29" s="769" t="s">
        <v>1377</v>
      </c>
      <c r="B29" s="750" t="s">
        <v>632</v>
      </c>
      <c r="C29" s="51">
        <f ca="1">ROUND(F23*F28,4)</f>
        <v>0</v>
      </c>
      <c r="D29" s="777" t="s">
        <v>652</v>
      </c>
      <c r="E29" s="772"/>
      <c r="F29" s="773"/>
      <c r="G29" s="1405"/>
      <c r="H29" s="752"/>
      <c r="I29" s="753"/>
      <c r="J29" s="754"/>
      <c r="K29" s="786" t="s">
        <v>653</v>
      </c>
      <c r="L29" s="750" t="s">
        <v>654</v>
      </c>
      <c r="M29" s="787">
        <f ca="1">INDIRECT("'数据-取费表'!ag"&amp;$G$1)</f>
        <v>0</v>
      </c>
    </row>
    <row r="30" spans="1:25" s="1788" customFormat="1" ht="18" customHeight="1">
      <c r="A30" s="769" t="s">
        <v>1406</v>
      </c>
      <c r="B30" s="750" t="s">
        <v>633</v>
      </c>
      <c r="C30" s="51">
        <f>ROUND(F30/(1+'数据-取费表'!C42),4)</f>
        <v>5.33E-2</v>
      </c>
      <c r="D30" s="777" t="s">
        <v>655</v>
      </c>
      <c r="E30" s="750" t="s">
        <v>596</v>
      </c>
      <c r="F30" s="775">
        <f>'数据-取费表'!B41</f>
        <v>5.6000000000000001E-2</v>
      </c>
      <c r="G30" s="1406"/>
      <c r="H30" s="756"/>
      <c r="I30" s="757"/>
      <c r="J30" s="758"/>
      <c r="K30" s="781"/>
      <c r="L30" s="750" t="s">
        <v>656</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1407</v>
      </c>
      <c r="B31" s="2159" t="s">
        <v>2099</v>
      </c>
      <c r="C31" s="2162">
        <f ca="1">ROUND((C21+C22+C25+C28)/(1-F23-C26-C29-C30),0)</f>
        <v>0</v>
      </c>
      <c r="D31" s="2163"/>
      <c r="E31" s="2164"/>
      <c r="F31" s="2165"/>
      <c r="G31" s="1406"/>
      <c r="H31" s="788" t="s">
        <v>1396</v>
      </c>
      <c r="I31" s="2486" t="s">
        <v>2100</v>
      </c>
      <c r="J31" s="790">
        <f ca="1">ROUND(J28/(1+F45)^F46,0)</f>
        <v>0</v>
      </c>
      <c r="K31" s="791" t="s">
        <v>634</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635</v>
      </c>
      <c r="C32" s="758">
        <f ca="1">ROUND(C33+C38+C39+C40,0)</f>
        <v>0</v>
      </c>
      <c r="D32" s="1608" t="s">
        <v>599</v>
      </c>
      <c r="E32" s="2134"/>
      <c r="F32" s="2138"/>
      <c r="G32" s="1786"/>
      <c r="H32" s="1789"/>
      <c r="I32" s="1790"/>
      <c r="J32" s="1791"/>
      <c r="K32" s="1792"/>
      <c r="L32" s="1793"/>
      <c r="M32" s="1794"/>
    </row>
    <row r="33" spans="1:18" ht="18" customHeight="1">
      <c r="A33" s="769" t="s">
        <v>1400</v>
      </c>
      <c r="B33" s="750" t="s">
        <v>603</v>
      </c>
      <c r="C33" s="2762">
        <f ca="1">ROUND(IF(AND(项目基本情况!B11="自然人",项目基本情况!B10="北京市"),C8*F33/(1+'数据-取费表'!C42),C34+C35+C36),2)</f>
        <v>0</v>
      </c>
      <c r="D33" s="1734" t="s">
        <v>604</v>
      </c>
      <c r="E33" s="1732" t="s">
        <v>636</v>
      </c>
      <c r="F33" s="2761" t="str">
        <f>IF(项目基本情况!B11="企业","——",IF(M48="住宅",IF(F8*F9*F10/12/(1+'数据-取费表'!F30)&gt;100000,4%,2.5%),IF(F8*F9*F10/12/(1+'数据-取费表'!F30)&gt;100000,12%,7%)))</f>
        <v>——</v>
      </c>
      <c r="G33" s="1786"/>
      <c r="H33" s="3000" t="s">
        <v>2280</v>
      </c>
      <c r="I33" s="1790"/>
      <c r="J33" s="1791"/>
      <c r="K33" s="1792"/>
      <c r="L33" s="1793"/>
      <c r="M33" s="1794"/>
    </row>
    <row r="34" spans="1:18" ht="18" customHeight="1">
      <c r="A34" s="769" t="s">
        <v>1399</v>
      </c>
      <c r="B34" s="750" t="s">
        <v>607</v>
      </c>
      <c r="C34" s="51">
        <f ca="1">ROUND(C8*F34/(1+'数据-取费表'!C42),2)</f>
        <v>0</v>
      </c>
      <c r="D34" s="1732" t="s">
        <v>608</v>
      </c>
      <c r="E34" s="750" t="s">
        <v>596</v>
      </c>
      <c r="F34" s="775">
        <f>'数据-取费表'!B41</f>
        <v>5.6000000000000001E-2</v>
      </c>
      <c r="G34" s="1786"/>
      <c r="H34" s="1795"/>
      <c r="I34" s="1796"/>
      <c r="J34" s="1797"/>
      <c r="K34" s="1798"/>
      <c r="L34" s="1799"/>
      <c r="M34" s="1800"/>
    </row>
    <row r="35" spans="1:18" ht="18" customHeight="1">
      <c r="A35" s="769" t="s">
        <v>1377</v>
      </c>
      <c r="B35" s="750" t="s">
        <v>611</v>
      </c>
      <c r="C35" s="51">
        <f ca="1">IF(D35="按租金收入计税",ROUND(C8*F35/(1+'数据-取费表'!C42),2),IF(D35="按房产原值计税",ROUND(C31*F35*0.7,2),INDIRECT("'数据-取费表'!Aj"&amp;$G$1)))</f>
        <v>0</v>
      </c>
      <c r="D35" s="776" t="s">
        <v>3244</v>
      </c>
      <c r="E35" s="750" t="s">
        <v>596</v>
      </c>
      <c r="F35" s="775">
        <f>IF(D35="按租金收入计税",'数据-取费表'!B51,'数据-取费表'!B50)</f>
        <v>0.12</v>
      </c>
      <c r="G35" s="1786"/>
      <c r="H35" s="1801"/>
      <c r="I35" s="1801"/>
      <c r="J35" s="1801"/>
      <c r="K35" s="1802"/>
      <c r="L35" s="1801"/>
      <c r="M35" s="1801"/>
    </row>
    <row r="36" spans="1:18" ht="18" customHeight="1">
      <c r="A36" s="778" t="s">
        <v>1404</v>
      </c>
      <c r="B36" s="332" t="s">
        <v>614</v>
      </c>
      <c r="C36" s="52">
        <f ca="1">ROUND(F36*F37/10000,2)</f>
        <v>0</v>
      </c>
      <c r="D36" s="779" t="s">
        <v>615</v>
      </c>
      <c r="E36" s="750" t="s">
        <v>616</v>
      </c>
      <c r="F36" s="608">
        <f>'数据-取费表'!B52</f>
        <v>0</v>
      </c>
      <c r="G36" s="1786"/>
      <c r="H36" s="1789"/>
      <c r="I36" s="3943"/>
      <c r="J36" s="1803"/>
      <c r="K36" s="1804"/>
      <c r="L36" s="1803"/>
      <c r="M36" s="1803"/>
    </row>
    <row r="37" spans="1:18" ht="18" customHeight="1">
      <c r="A37" s="780"/>
      <c r="B37" s="759"/>
      <c r="C37" s="67"/>
      <c r="D37" s="781"/>
      <c r="E37" s="750" t="s">
        <v>620</v>
      </c>
      <c r="F37" s="751">
        <f ca="1">INDIRECT("'数据-取费表'!r"&amp;$G$1)</f>
        <v>0</v>
      </c>
      <c r="G37" s="1786"/>
      <c r="H37" s="1789"/>
      <c r="I37" s="3943"/>
      <c r="J37" s="1801"/>
      <c r="K37" s="1802"/>
      <c r="L37" s="1801"/>
      <c r="M37" s="1801"/>
    </row>
    <row r="38" spans="1:18" ht="18" customHeight="1">
      <c r="A38" s="769" t="s">
        <v>1401</v>
      </c>
      <c r="B38" s="750" t="s">
        <v>622</v>
      </c>
      <c r="C38" s="51">
        <f ca="1">ROUND(C31*F38,2)</f>
        <v>0</v>
      </c>
      <c r="D38" s="1732" t="s">
        <v>637</v>
      </c>
      <c r="E38" s="750" t="s">
        <v>596</v>
      </c>
      <c r="F38" s="782">
        <f ca="1">INDIRECT("'数据-取费表'!Ak"&amp;$G$1)</f>
        <v>0</v>
      </c>
      <c r="G38" s="1786"/>
      <c r="H38" s="1801"/>
      <c r="I38" s="2765"/>
      <c r="J38" s="1741"/>
      <c r="K38" s="1805"/>
      <c r="L38" s="1801"/>
      <c r="M38" s="1801"/>
    </row>
    <row r="39" spans="1:18" ht="18" customHeight="1">
      <c r="A39" s="769" t="s">
        <v>1402</v>
      </c>
      <c r="B39" s="750" t="s">
        <v>625</v>
      </c>
      <c r="C39" s="51">
        <f ca="1">ROUND(C15*F39,2)</f>
        <v>0</v>
      </c>
      <c r="D39" s="1732" t="s">
        <v>626</v>
      </c>
      <c r="E39" s="750" t="s">
        <v>596</v>
      </c>
      <c r="F39" s="783">
        <f ca="1">INDIRECT("'数据-取费表'!Al"&amp;$G$1)</f>
        <v>0</v>
      </c>
      <c r="G39" s="1786"/>
      <c r="H39" s="1801"/>
      <c r="I39" s="2765"/>
      <c r="J39" s="1741"/>
      <c r="K39" s="1805"/>
      <c r="L39" s="1801"/>
      <c r="M39" s="1801"/>
    </row>
    <row r="40" spans="1:18" ht="18" customHeight="1" thickBot="1">
      <c r="A40" s="2178" t="s">
        <v>1403</v>
      </c>
      <c r="B40" s="2164" t="s">
        <v>612</v>
      </c>
      <c r="C40" s="2162">
        <f ca="1">ROUND(C7*F40,2)</f>
        <v>0</v>
      </c>
      <c r="D40" s="2163" t="s">
        <v>629</v>
      </c>
      <c r="E40" s="2164" t="s">
        <v>596</v>
      </c>
      <c r="F40" s="2160">
        <f ca="1">INDIRECT("'数据-取费表'!Am"&amp;$G$1)</f>
        <v>0</v>
      </c>
      <c r="G40" s="1786"/>
      <c r="H40" s="1801"/>
      <c r="I40" s="2765"/>
      <c r="J40" s="1741"/>
      <c r="K40" s="1806"/>
      <c r="L40" s="1801"/>
      <c r="M40" s="1801"/>
    </row>
    <row r="41" spans="1:18" ht="18" customHeight="1" thickTop="1">
      <c r="A41" s="1616">
        <v>4</v>
      </c>
      <c r="B41" s="1614" t="s">
        <v>638</v>
      </c>
      <c r="C41" s="1213"/>
      <c r="D41" s="1214"/>
      <c r="E41" s="1214"/>
      <c r="F41" s="1215"/>
      <c r="G41" s="1786"/>
      <c r="H41" s="1786"/>
      <c r="I41" s="1786"/>
      <c r="J41" s="1786"/>
      <c r="K41" s="1806"/>
      <c r="L41" s="1786"/>
      <c r="M41" s="1786"/>
    </row>
    <row r="42" spans="1:18" ht="18" customHeight="1">
      <c r="A42" s="769" t="s">
        <v>1400</v>
      </c>
      <c r="B42" s="800" t="s">
        <v>639</v>
      </c>
      <c r="C42" s="794">
        <f ca="1">C7-C32</f>
        <v>0</v>
      </c>
      <c r="D42" s="1734" t="s">
        <v>640</v>
      </c>
      <c r="E42" s="1736"/>
      <c r="F42" s="785"/>
      <c r="G42" s="1786"/>
      <c r="H42" s="1786"/>
      <c r="I42" s="1786"/>
      <c r="J42" s="1786"/>
      <c r="K42" s="1806"/>
      <c r="L42" s="1786"/>
      <c r="M42" s="1786"/>
    </row>
    <row r="43" spans="1:18" ht="18" customHeight="1">
      <c r="A43" s="769" t="s">
        <v>1401</v>
      </c>
      <c r="B43" s="800" t="s">
        <v>657</v>
      </c>
      <c r="C43" s="801">
        <f ca="1">ROUND(C15*F43,0)</f>
        <v>0</v>
      </c>
      <c r="D43" s="1216" t="s">
        <v>658</v>
      </c>
      <c r="E43" s="2550" t="s">
        <v>2221</v>
      </c>
      <c r="F43" s="2551">
        <f ca="1">INDIRECT("'数据-取费表'!j"&amp;$G$1)</f>
        <v>0</v>
      </c>
      <c r="G43" s="1786"/>
      <c r="H43" s="1786"/>
      <c r="I43" s="1786"/>
      <c r="J43" s="1786"/>
      <c r="K43" s="1806"/>
      <c r="L43" s="1786"/>
      <c r="M43" s="1786"/>
    </row>
    <row r="44" spans="1:18" ht="18" customHeight="1">
      <c r="A44" s="769" t="s">
        <v>1402</v>
      </c>
      <c r="B44" s="800" t="s">
        <v>659</v>
      </c>
      <c r="C44" s="1217">
        <f ca="1">C42-C43</f>
        <v>0</v>
      </c>
      <c r="D44" s="449" t="s">
        <v>660</v>
      </c>
      <c r="E44" s="450"/>
      <c r="F44" s="451"/>
      <c r="G44" s="1786"/>
      <c r="H44" s="1786"/>
      <c r="I44" s="1786"/>
      <c r="J44" s="1786"/>
      <c r="K44" s="1806"/>
      <c r="L44" s="1786"/>
      <c r="M44" s="1786"/>
    </row>
    <row r="45" spans="1:18" ht="18" customHeight="1">
      <c r="A45" s="769" t="s">
        <v>1403</v>
      </c>
      <c r="B45" s="1216" t="s">
        <v>661</v>
      </c>
      <c r="C45" s="2509">
        <f ca="1">ROUND(-PV(F45,F46,C44,0),0)</f>
        <v>0</v>
      </c>
      <c r="D45" s="1218" t="s">
        <v>662</v>
      </c>
      <c r="E45" s="772" t="s">
        <v>663</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1696</v>
      </c>
      <c r="J47" s="2071"/>
      <c r="K47" s="2072"/>
      <c r="L47" s="2566" t="e">
        <f ca="1">IF(M48="住宅",0,IF(L49&gt;J52,L61,J61))</f>
        <v>#DIV/0!</v>
      </c>
      <c r="O47" s="2086" t="s">
        <v>1763</v>
      </c>
      <c r="P47" s="1405"/>
      <c r="Q47" s="1413"/>
      <c r="R47" s="1405"/>
    </row>
    <row r="48" spans="1:18" s="1783" customFormat="1" ht="18" customHeight="1" thickBot="1">
      <c r="A48" s="1807"/>
      <c r="C48" s="1810"/>
      <c r="D48" s="1811"/>
      <c r="E48" s="1811"/>
      <c r="F48" s="1812"/>
      <c r="G48" s="1813"/>
      <c r="I48" s="2557" t="s">
        <v>1697</v>
      </c>
      <c r="J48" s="2073"/>
      <c r="K48" s="2563" t="s">
        <v>1702</v>
      </c>
      <c r="L48" s="2567">
        <f ca="1">INDIRECT("'数据-取费表'!d"&amp;$G$1)</f>
        <v>50</v>
      </c>
      <c r="M48" s="2549" t="str">
        <f>IF(ISNUMBER(FIND("住宅",C1)),"住宅","非住宅")</f>
        <v>非住宅</v>
      </c>
      <c r="O48" s="2087" t="s">
        <v>1728</v>
      </c>
      <c r="P48" s="2088" t="s">
        <v>1729</v>
      </c>
      <c r="Q48" s="2089" t="s">
        <v>1730</v>
      </c>
      <c r="R48" s="2088" t="s">
        <v>1731</v>
      </c>
    </row>
    <row r="49" spans="1:18" s="1783" customFormat="1" ht="18" customHeight="1" thickBot="1">
      <c r="A49" s="1807"/>
      <c r="D49" s="1814"/>
      <c r="E49" s="1815"/>
      <c r="F49" s="1812"/>
      <c r="G49" s="1813"/>
      <c r="H49" s="1816"/>
      <c r="I49" s="2554" t="s">
        <v>1698</v>
      </c>
      <c r="J49" s="2074"/>
      <c r="K49" s="2564" t="s">
        <v>1704</v>
      </c>
      <c r="L49" s="1664">
        <f ca="1">INDIRECT("'数据-取费表'!f"&amp;$G$1)</f>
        <v>50</v>
      </c>
      <c r="O49" s="2090" t="s">
        <v>1732</v>
      </c>
      <c r="P49" s="2091" t="s">
        <v>1758</v>
      </c>
      <c r="Q49" s="2092">
        <f ca="1">C41+J31</f>
        <v>0</v>
      </c>
      <c r="R49" s="2091" t="s">
        <v>1733</v>
      </c>
    </row>
    <row r="50" spans="1:18" s="1783" customFormat="1" ht="18" customHeight="1" thickBot="1">
      <c r="A50" s="1807"/>
      <c r="D50" s="1817"/>
      <c r="E50" s="1817"/>
      <c r="F50" s="1811"/>
      <c r="G50" s="1818"/>
      <c r="H50" s="1816"/>
      <c r="I50" s="2554" t="s">
        <v>1699</v>
      </c>
      <c r="J50" s="2075"/>
      <c r="K50" s="2565" t="s">
        <v>1705</v>
      </c>
      <c r="L50" s="2076"/>
      <c r="O50" s="2090" t="s">
        <v>1734</v>
      </c>
      <c r="P50" s="2091" t="s">
        <v>1759</v>
      </c>
      <c r="Q50" s="2092" t="str">
        <f ca="1">J61</f>
        <v>0</v>
      </c>
      <c r="R50" s="2091" t="s">
        <v>1735</v>
      </c>
    </row>
    <row r="51" spans="1:18" s="1783" customFormat="1" ht="18" customHeight="1" thickBot="1">
      <c r="A51" s="1819"/>
      <c r="D51" s="1817"/>
      <c r="E51" s="1817"/>
      <c r="F51" s="1808"/>
      <c r="H51" s="1816"/>
      <c r="I51" s="2554" t="s">
        <v>1700</v>
      </c>
      <c r="J51" s="2561">
        <f>SUMPRODUCT((I64:I66=J48)*(J63:L63=J49)*(J64:L66))</f>
        <v>0</v>
      </c>
      <c r="K51" s="2565" t="s">
        <v>1706</v>
      </c>
      <c r="L51" s="2076"/>
      <c r="O51" s="2093" t="s">
        <v>1736</v>
      </c>
      <c r="P51" s="2091" t="s">
        <v>1760</v>
      </c>
      <c r="Q51" s="2092">
        <f ca="1">C31</f>
        <v>0</v>
      </c>
      <c r="R51" s="2091" t="s">
        <v>1733</v>
      </c>
    </row>
    <row r="52" spans="1:18" s="1783" customFormat="1" ht="18" customHeight="1" thickBot="1">
      <c r="A52" s="1819"/>
      <c r="F52" s="1808"/>
      <c r="I52" s="2558" t="s">
        <v>1701</v>
      </c>
      <c r="J52" s="2562">
        <f>IF(J50="",J51,J50+J51-YEAR('数据-取费表'!B3))</f>
        <v>0</v>
      </c>
      <c r="K52" s="2554" t="s">
        <v>1707</v>
      </c>
      <c r="L52" s="2568">
        <f ca="1">C45</f>
        <v>0</v>
      </c>
      <c r="O52" s="2093" t="s">
        <v>1737</v>
      </c>
      <c r="P52" s="2091" t="s">
        <v>1738</v>
      </c>
      <c r="Q52" s="2094" t="e">
        <f ca="1">J59</f>
        <v>#VALUE!</v>
      </c>
      <c r="R52" s="2095"/>
    </row>
    <row r="53" spans="1:18" s="1783" customFormat="1" ht="18" customHeight="1" thickBot="1">
      <c r="A53" s="1819"/>
      <c r="F53" s="1808"/>
      <c r="I53" s="2559" t="s">
        <v>1774</v>
      </c>
      <c r="J53" s="2077"/>
      <c r="K53" s="2559" t="s">
        <v>1773</v>
      </c>
      <c r="L53" s="2077"/>
      <c r="O53" s="2093" t="s">
        <v>1739</v>
      </c>
      <c r="P53" s="2091" t="s">
        <v>1740</v>
      </c>
      <c r="Q53" s="2094">
        <f>J53</f>
        <v>0</v>
      </c>
      <c r="R53" s="2095"/>
    </row>
    <row r="54" spans="1:18" s="1783" customFormat="1" ht="31.8" thickBot="1">
      <c r="A54" s="1819"/>
      <c r="I54" s="2560" t="s">
        <v>2235</v>
      </c>
      <c r="J54" s="2611">
        <f ca="1">IF(M48="住宅",MAX(J52,L49-'数据-取费表'!B20),MIN(J52,L49-'数据-取费表'!B20))</f>
        <v>0</v>
      </c>
      <c r="K54" s="3948"/>
      <c r="L54" s="3949"/>
      <c r="O54" s="2093" t="s">
        <v>1741</v>
      </c>
      <c r="P54" s="2091" t="s">
        <v>1742</v>
      </c>
      <c r="Q54" s="2092">
        <f ca="1">J54</f>
        <v>0</v>
      </c>
      <c r="R54" s="2091" t="s">
        <v>1743</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1744</v>
      </c>
      <c r="P55" s="2091" t="s">
        <v>1761</v>
      </c>
      <c r="Q55" s="2092">
        <f ca="1">Q49+Q50</f>
        <v>0</v>
      </c>
      <c r="R55" s="2095" t="s">
        <v>1745</v>
      </c>
    </row>
    <row r="56" spans="1:18" s="1783" customFormat="1" ht="16.2" thickBot="1">
      <c r="A56" s="1819"/>
      <c r="B56" s="1820"/>
      <c r="C56" s="1820"/>
      <c r="I56" s="2571" t="s">
        <v>1708</v>
      </c>
      <c r="J56" s="2543" t="e">
        <f ca="1">ROUND(IF(J48="钢混",J58/J51,1-(1-2%)*(J51-J58)/J51),3)</f>
        <v>#VALUE!</v>
      </c>
      <c r="K56" s="2572" t="s">
        <v>1709</v>
      </c>
      <c r="L56" s="2078"/>
      <c r="O56" s="2096" t="s">
        <v>1764</v>
      </c>
      <c r="P56" s="1405"/>
      <c r="Q56" s="1413"/>
      <c r="R56" s="1405"/>
    </row>
    <row r="57" spans="1:18" s="1783" customFormat="1" ht="47.4" thickBot="1">
      <c r="A57" s="1819"/>
      <c r="B57" s="1820"/>
      <c r="C57" s="1820"/>
      <c r="I57" s="2573" t="s">
        <v>1710</v>
      </c>
      <c r="J57" s="2583"/>
      <c r="K57" s="2554" t="s">
        <v>1715</v>
      </c>
      <c r="L57" s="1664">
        <f ca="1">IF(L49&lt;J52,"——",L49-J52)</f>
        <v>50</v>
      </c>
      <c r="O57" s="2087" t="s">
        <v>1728</v>
      </c>
      <c r="P57" s="2088" t="s">
        <v>1729</v>
      </c>
      <c r="Q57" s="2089" t="s">
        <v>1730</v>
      </c>
      <c r="R57" s="2088" t="s">
        <v>1731</v>
      </c>
    </row>
    <row r="58" spans="1:18" s="1783" customFormat="1" ht="31.8" thickBot="1">
      <c r="A58" s="1819"/>
      <c r="B58" s="1820"/>
      <c r="C58" s="1820"/>
      <c r="I58" s="2574" t="s">
        <v>1711</v>
      </c>
      <c r="J58" s="2575" t="str">
        <f ca="1">IF(OR(M48="住宅",J52&lt;L49,J57="是"),"——",J52-L49)</f>
        <v>——</v>
      </c>
      <c r="K58" s="2554" t="s">
        <v>1716</v>
      </c>
      <c r="L58" s="1664">
        <f ca="1">IF(L49&lt;J52,"——",IF(L56="比较法",L50,IF(L56="基准地价",L51,L52)))</f>
        <v>0</v>
      </c>
      <c r="O58" s="2090" t="s">
        <v>1732</v>
      </c>
      <c r="P58" s="2091" t="s">
        <v>1758</v>
      </c>
      <c r="Q58" s="2092">
        <f ca="1">C41+J31</f>
        <v>0</v>
      </c>
      <c r="R58" s="2091" t="s">
        <v>1733</v>
      </c>
    </row>
    <row r="59" spans="1:18" s="1783" customFormat="1" ht="31.8" thickBot="1">
      <c r="A59" s="1819"/>
      <c r="B59" s="1820"/>
      <c r="C59" s="1820"/>
      <c r="I59" s="2574" t="s">
        <v>1712</v>
      </c>
      <c r="J59" s="2544" t="e">
        <f ca="1">IF(J56&lt;0.4,0.4,J56)</f>
        <v>#VALUE!</v>
      </c>
      <c r="K59" s="2554" t="s">
        <v>1717</v>
      </c>
      <c r="L59" s="1664">
        <f ca="1">IF(ISERROR(POWER(1+L53,L48-L49)*(POWER(1+L53,L49)-1)/(POWER(1+L53,L48)-1)),0,POWER(1+L53,L48-L49)*(POWER(1+L53,L49)-1)/(POWER(1+L53,L48)-1))</f>
        <v>0</v>
      </c>
      <c r="O59" s="2090" t="s">
        <v>1734</v>
      </c>
      <c r="P59" s="2091" t="s">
        <v>1765</v>
      </c>
      <c r="Q59" s="2092" t="e">
        <f ca="1">L61</f>
        <v>#DIV/0!</v>
      </c>
      <c r="R59" s="2095" t="s">
        <v>1767</v>
      </c>
    </row>
    <row r="60" spans="1:18" s="1783" customFormat="1" ht="31.8" thickBot="1">
      <c r="A60" s="1819"/>
      <c r="B60" s="1820"/>
      <c r="C60" s="1820"/>
      <c r="I60" s="2574" t="s">
        <v>1713</v>
      </c>
      <c r="J60" s="2575" t="str">
        <f ca="1">IF(OR(M48="住宅",J52&lt;L49,J57="是"),"——",ROUND(C30*J59,0))</f>
        <v>——</v>
      </c>
      <c r="K60" s="2554" t="s">
        <v>1718</v>
      </c>
      <c r="L60" s="1664">
        <f ca="1">IF(ISERROR(POWER(1+L53,L48-J52)*(POWER(1+L53,J52)-1)/(POWER(1+L53,L48)-1)),0,POWER(1+L53,L48-J52)*(POWER(1+L53,J52)-1)/(POWER(1+L53,L48)-1))</f>
        <v>0</v>
      </c>
      <c r="O60" s="2093" t="s">
        <v>1736</v>
      </c>
      <c r="P60" s="2091" t="s">
        <v>1766</v>
      </c>
      <c r="Q60" s="2092">
        <f>IF(L56="比较法",L50,IF(L56="基准地价",L51,0))</f>
        <v>0</v>
      </c>
      <c r="R60" s="2091" t="s">
        <v>1733</v>
      </c>
    </row>
    <row r="61" spans="1:18" s="1783" customFormat="1" ht="16.2" thickBot="1">
      <c r="A61" s="1819"/>
      <c r="B61" s="1820"/>
      <c r="C61" s="1820"/>
      <c r="I61" s="2576" t="s">
        <v>1714</v>
      </c>
      <c r="J61" s="2577" t="str">
        <f ca="1">IF(OR(M48="住宅",J52&lt;L49,J57="是"),"0",ROUND(J60/(1+J53)^J54,0))</f>
        <v>0</v>
      </c>
      <c r="K61" s="2578" t="s">
        <v>1719</v>
      </c>
      <c r="L61" s="2577" t="e">
        <f ca="1">IF(OR(M48="住宅",L49&lt;J52),0,ROUND(L58*(L59/L60-1),0))</f>
        <v>#DIV/0!</v>
      </c>
      <c r="O61" s="2093" t="s">
        <v>1737</v>
      </c>
      <c r="P61" s="2091" t="s">
        <v>1746</v>
      </c>
      <c r="Q61" s="2094">
        <f>L53</f>
        <v>0</v>
      </c>
      <c r="R61" s="2095"/>
    </row>
    <row r="62" spans="1:18" s="1783" customFormat="1" ht="19.2" thickBot="1">
      <c r="A62" s="1819"/>
      <c r="B62" s="1820"/>
      <c r="C62" s="1820"/>
      <c r="K62" s="1809"/>
      <c r="O62" s="2093" t="s">
        <v>1739</v>
      </c>
      <c r="P62" s="2091" t="s">
        <v>1747</v>
      </c>
      <c r="Q62" s="2092">
        <f ca="1">L59</f>
        <v>0</v>
      </c>
      <c r="R62" s="2095" t="s">
        <v>1748</v>
      </c>
    </row>
    <row r="63" spans="1:18" s="1783" customFormat="1" ht="19.2" thickBot="1">
      <c r="A63" s="1819"/>
      <c r="B63" s="1820"/>
      <c r="C63" s="1820"/>
      <c r="I63" s="2579" t="s">
        <v>1720</v>
      </c>
      <c r="J63" s="2580" t="s">
        <v>1721</v>
      </c>
      <c r="K63" s="2580" t="s">
        <v>1722</v>
      </c>
      <c r="L63" s="2580" t="s">
        <v>1703</v>
      </c>
      <c r="M63" s="2581" t="s">
        <v>2204</v>
      </c>
      <c r="O63" s="2093" t="s">
        <v>1741</v>
      </c>
      <c r="P63" s="2091" t="s">
        <v>1749</v>
      </c>
      <c r="Q63" s="2092">
        <f ca="1">L60</f>
        <v>0</v>
      </c>
      <c r="R63" s="2095" t="s">
        <v>1750</v>
      </c>
    </row>
    <row r="64" spans="1:18" s="1783" customFormat="1" ht="16.2" thickBot="1">
      <c r="A64" s="1819"/>
      <c r="B64" s="1820"/>
      <c r="C64" s="1820"/>
      <c r="I64" s="2579" t="s">
        <v>1723</v>
      </c>
      <c r="J64" s="2580">
        <v>70</v>
      </c>
      <c r="K64" s="2580">
        <v>50</v>
      </c>
      <c r="L64" s="2580">
        <v>80</v>
      </c>
      <c r="M64" s="2582">
        <v>0.02</v>
      </c>
      <c r="O64" s="2090" t="s">
        <v>1744</v>
      </c>
      <c r="P64" s="2091" t="s">
        <v>1761</v>
      </c>
      <c r="Q64" s="2092" t="e">
        <f ca="1">Q58+Q59</f>
        <v>#DIV/0!</v>
      </c>
      <c r="R64" s="2095" t="s">
        <v>1745</v>
      </c>
    </row>
    <row r="65" spans="1:18" s="1783" customFormat="1" ht="16.2" thickBot="1">
      <c r="A65" s="1819"/>
      <c r="B65" s="1820"/>
      <c r="C65" s="1820"/>
      <c r="I65" s="2579" t="s">
        <v>1724</v>
      </c>
      <c r="J65" s="2580">
        <v>50</v>
      </c>
      <c r="K65" s="2580">
        <v>35</v>
      </c>
      <c r="L65" s="2580">
        <v>60</v>
      </c>
      <c r="M65" s="811">
        <v>0</v>
      </c>
      <c r="O65" s="2096" t="s">
        <v>1768</v>
      </c>
      <c r="P65" s="1405"/>
      <c r="Q65" s="1413"/>
      <c r="R65" s="1405"/>
    </row>
    <row r="66" spans="1:18" s="1783" customFormat="1" ht="16.2" thickBot="1">
      <c r="A66" s="1819"/>
      <c r="B66" s="1820"/>
      <c r="C66" s="1820"/>
      <c r="I66" s="2579" t="s">
        <v>1725</v>
      </c>
      <c r="J66" s="2580">
        <v>40</v>
      </c>
      <c r="K66" s="2580">
        <v>30</v>
      </c>
      <c r="L66" s="2580">
        <v>50</v>
      </c>
      <c r="M66" s="2582">
        <v>0.02</v>
      </c>
      <c r="O66" s="2087" t="s">
        <v>1728</v>
      </c>
      <c r="P66" s="2088" t="s">
        <v>1729</v>
      </c>
      <c r="Q66" s="2089" t="s">
        <v>1730</v>
      </c>
      <c r="R66" s="2088" t="s">
        <v>1731</v>
      </c>
    </row>
    <row r="67" spans="1:18" s="1783" customFormat="1" ht="16.2" thickBot="1">
      <c r="A67" s="1819"/>
      <c r="B67" s="1820"/>
      <c r="C67" s="1820"/>
      <c r="K67" s="1809"/>
      <c r="O67" s="2090" t="s">
        <v>1732</v>
      </c>
      <c r="P67" s="2091" t="s">
        <v>1758</v>
      </c>
      <c r="Q67" s="2092">
        <f ca="1">C41+J31</f>
        <v>0</v>
      </c>
      <c r="R67" s="2091" t="s">
        <v>1733</v>
      </c>
    </row>
    <row r="68" spans="1:18" s="1783" customFormat="1" ht="19.2" thickBot="1">
      <c r="A68" s="1819"/>
      <c r="B68" s="1820"/>
      <c r="C68" s="1820"/>
      <c r="K68" s="1809"/>
      <c r="O68" s="2090" t="s">
        <v>1734</v>
      </c>
      <c r="P68" s="2091" t="s">
        <v>1765</v>
      </c>
      <c r="Q68" s="2092" t="e">
        <f ca="1">L61</f>
        <v>#DIV/0!</v>
      </c>
      <c r="R68" s="2095" t="s">
        <v>1767</v>
      </c>
    </row>
    <row r="69" spans="1:18" s="1783" customFormat="1" ht="20.399999999999999" thickBot="1">
      <c r="A69" s="1819"/>
      <c r="B69" s="1820"/>
      <c r="C69" s="1820"/>
      <c r="K69" s="1809"/>
      <c r="O69" s="2093" t="s">
        <v>1736</v>
      </c>
      <c r="P69" s="2091" t="s">
        <v>1766</v>
      </c>
      <c r="Q69" s="2097">
        <f ca="1">L52</f>
        <v>0</v>
      </c>
      <c r="R69" s="2098" t="s">
        <v>1769</v>
      </c>
    </row>
    <row r="70" spans="1:18" s="1783" customFormat="1" ht="19.2" thickBot="1">
      <c r="A70" s="1819"/>
      <c r="B70" s="1820"/>
      <c r="C70" s="1820"/>
      <c r="K70" s="1809"/>
      <c r="O70" s="2093" t="s">
        <v>1737</v>
      </c>
      <c r="P70" s="2099" t="s">
        <v>1751</v>
      </c>
      <c r="Q70" s="2092">
        <f ca="1">ROUND(Q71-Q72*Q73,0)</f>
        <v>0</v>
      </c>
      <c r="R70" s="2095"/>
    </row>
    <row r="71" spans="1:18" s="1783" customFormat="1" ht="16.2" thickBot="1">
      <c r="A71" s="1819"/>
      <c r="B71" s="1820"/>
      <c r="C71" s="1820"/>
      <c r="K71" s="1809"/>
      <c r="O71" s="2093" t="s">
        <v>1752</v>
      </c>
      <c r="P71" s="2099" t="s">
        <v>1753</v>
      </c>
      <c r="Q71" s="2092">
        <f ca="1">C42</f>
        <v>0</v>
      </c>
      <c r="R71" s="2091" t="s">
        <v>1733</v>
      </c>
    </row>
    <row r="72" spans="1:18" s="1783" customFormat="1" ht="16.2" thickBot="1">
      <c r="A72" s="1819"/>
      <c r="B72" s="1820"/>
      <c r="C72" s="1820"/>
      <c r="K72" s="1809"/>
      <c r="O72" s="2093" t="s">
        <v>1754</v>
      </c>
      <c r="P72" s="2099" t="s">
        <v>1755</v>
      </c>
      <c r="Q72" s="2092">
        <f ca="1">C15</f>
        <v>0</v>
      </c>
      <c r="R72" s="2091" t="s">
        <v>1733</v>
      </c>
    </row>
    <row r="73" spans="1:18" s="1783" customFormat="1" ht="16.2" thickBot="1">
      <c r="A73" s="1819"/>
      <c r="B73" s="1820"/>
      <c r="C73" s="1820"/>
      <c r="K73" s="1809"/>
      <c r="O73" s="2093" t="s">
        <v>1756</v>
      </c>
      <c r="P73" s="2099" t="s">
        <v>1757</v>
      </c>
      <c r="Q73" s="2094">
        <f ca="1">F43</f>
        <v>0</v>
      </c>
      <c r="R73" s="2095"/>
    </row>
    <row r="74" spans="1:18" s="1783" customFormat="1" ht="16.2" thickBot="1">
      <c r="A74" s="1819"/>
      <c r="B74" s="1820"/>
      <c r="C74" s="1820"/>
      <c r="K74" s="1809"/>
      <c r="O74" s="2093" t="s">
        <v>1739</v>
      </c>
      <c r="P74" s="2091" t="s">
        <v>1746</v>
      </c>
      <c r="Q74" s="2094">
        <f>L53</f>
        <v>0</v>
      </c>
      <c r="R74" s="2095"/>
    </row>
    <row r="75" spans="1:18" s="1783" customFormat="1" ht="19.2" thickBot="1">
      <c r="A75" s="1819"/>
      <c r="B75" s="1820"/>
      <c r="C75" s="1820"/>
      <c r="K75" s="1809"/>
      <c r="O75" s="2093" t="s">
        <v>1741</v>
      </c>
      <c r="P75" s="2091" t="s">
        <v>1747</v>
      </c>
      <c r="Q75" s="2092">
        <f ca="1">L59</f>
        <v>0</v>
      </c>
      <c r="R75" s="2095" t="s">
        <v>1748</v>
      </c>
    </row>
    <row r="76" spans="1:18" s="1783" customFormat="1" ht="19.2" thickBot="1">
      <c r="A76" s="1819"/>
      <c r="B76" s="1820"/>
      <c r="C76" s="1820"/>
      <c r="K76" s="1809"/>
      <c r="O76" s="2093" t="s">
        <v>1770</v>
      </c>
      <c r="P76" s="2091" t="s">
        <v>1749</v>
      </c>
      <c r="Q76" s="2092">
        <f ca="1">L60</f>
        <v>0</v>
      </c>
      <c r="R76" s="2095" t="s">
        <v>1750</v>
      </c>
    </row>
    <row r="77" spans="1:18" s="1783" customFormat="1" ht="16.2" thickBot="1">
      <c r="A77" s="1819"/>
      <c r="B77" s="1820"/>
      <c r="C77" s="1820"/>
      <c r="K77" s="1809"/>
      <c r="O77" s="2090" t="s">
        <v>1744</v>
      </c>
      <c r="P77" s="2091" t="s">
        <v>1761</v>
      </c>
      <c r="Q77" s="2092" t="e">
        <f ca="1">Q67+Q68</f>
        <v>#DIV/0!</v>
      </c>
      <c r="R77" s="2095" t="s">
        <v>1745</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81" priority="6">
      <formula>$F$12="自定义"</formula>
    </cfRule>
  </conditionalFormatting>
  <conditionalFormatting sqref="J13">
    <cfRule type="expression" dxfId="180" priority="5">
      <formula>$M$10="自定义"</formula>
    </cfRule>
  </conditionalFormatting>
  <conditionalFormatting sqref="K56">
    <cfRule type="expression" dxfId="179" priority="3">
      <formula>$L$48&gt;$J$51</formula>
    </cfRule>
  </conditionalFormatting>
  <conditionalFormatting sqref="I56">
    <cfRule type="expression" dxfId="178" priority="4">
      <formula>$J$51&gt;$L$48</formula>
    </cfRule>
  </conditionalFormatting>
  <conditionalFormatting sqref="I61">
    <cfRule type="expression" dxfId="177" priority="2">
      <formula>$J$51&gt;$L$48</formula>
    </cfRule>
  </conditionalFormatting>
  <conditionalFormatting sqref="K61">
    <cfRule type="expression" dxfId="1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1253</v>
      </c>
      <c r="B1" s="706"/>
      <c r="C1" s="739" t="s">
        <v>850</v>
      </c>
      <c r="D1" s="2553" t="s">
        <v>876</v>
      </c>
      <c r="E1" s="2079" t="s">
        <v>1727</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t="e">
        <f ca="1">C40+J29+L46</f>
        <v>#N/A</v>
      </c>
      <c r="C2" s="3006"/>
      <c r="D2" s="3007"/>
      <c r="E2" s="3008"/>
      <c r="F2" s="3008"/>
      <c r="G2" s="3002"/>
      <c r="H2" s="1781"/>
      <c r="I2" s="1781"/>
      <c r="J2" s="1781"/>
      <c r="K2" s="1782"/>
      <c r="L2" s="1781"/>
      <c r="M2" s="1781"/>
    </row>
    <row r="3" spans="1:33" ht="18" customHeight="1" thickBot="1">
      <c r="A3" s="798" t="s">
        <v>1255</v>
      </c>
      <c r="B3" s="799">
        <f ca="1">IF(ISERROR(B2*10000/F43),0,ROUND(B2*10000/F43,0))</f>
        <v>0</v>
      </c>
      <c r="C3" s="3006"/>
      <c r="D3" s="3007"/>
      <c r="E3" s="3008"/>
      <c r="F3" s="3008"/>
      <c r="G3" s="3002"/>
      <c r="H3" s="742" t="s">
        <v>641</v>
      </c>
      <c r="I3" s="1223"/>
      <c r="J3" s="1223"/>
      <c r="K3" s="1404"/>
      <c r="L3" s="1223"/>
      <c r="M3" s="1223"/>
    </row>
    <row r="4" spans="1:33" ht="18" customHeight="1">
      <c r="A4" s="743" t="s">
        <v>1256</v>
      </c>
      <c r="B4" s="744" t="s">
        <v>1257</v>
      </c>
      <c r="C4" s="744" t="s">
        <v>1258</v>
      </c>
      <c r="D4" s="744" t="s">
        <v>580</v>
      </c>
      <c r="E4" s="745" t="s">
        <v>1259</v>
      </c>
      <c r="F4" s="746"/>
      <c r="G4" s="1786"/>
      <c r="H4" s="743" t="s">
        <v>1260</v>
      </c>
      <c r="I4" s="744" t="s">
        <v>1261</v>
      </c>
      <c r="J4" s="744" t="s">
        <v>1262</v>
      </c>
      <c r="K4" s="744" t="s">
        <v>1263</v>
      </c>
      <c r="L4" s="745" t="s">
        <v>1264</v>
      </c>
      <c r="M4" s="746"/>
    </row>
    <row r="5" spans="1:33" ht="18" customHeight="1">
      <c r="A5" s="747">
        <v>1</v>
      </c>
      <c r="B5" s="748" t="s">
        <v>1801</v>
      </c>
      <c r="C5" s="53" t="e">
        <f ca="1">C6+C10+C12</f>
        <v>#N/A</v>
      </c>
      <c r="D5" s="2143" t="s">
        <v>1804</v>
      </c>
      <c r="E5" s="2137"/>
      <c r="F5" s="2138"/>
      <c r="G5" s="1786"/>
      <c r="H5" s="747">
        <v>1</v>
      </c>
      <c r="I5" s="748" t="s">
        <v>1801</v>
      </c>
      <c r="J5" s="53" t="e">
        <f ca="1">J6+J10+J12</f>
        <v>#N/A</v>
      </c>
      <c r="K5" s="2143" t="s">
        <v>1804</v>
      </c>
      <c r="L5" s="2137"/>
      <c r="M5" s="2138"/>
    </row>
    <row r="6" spans="1:33" ht="18" customHeight="1">
      <c r="A6" s="1617" t="s">
        <v>1352</v>
      </c>
      <c r="B6" s="3944" t="s">
        <v>1806</v>
      </c>
      <c r="C6" s="749" t="e">
        <f ca="1">ROUND(F6*F8*F7*(1-F9)/10000,0)</f>
        <v>#N/A</v>
      </c>
      <c r="D6" s="2144" t="s">
        <v>1805</v>
      </c>
      <c r="E6" s="750" t="s">
        <v>1266</v>
      </c>
      <c r="F6" s="751" t="e">
        <f ca="1">INDIRECT("'数据-取费表'!u"&amp;$G$1)</f>
        <v>#N/A</v>
      </c>
      <c r="G6" s="1786"/>
      <c r="H6" s="2151" t="s">
        <v>1811</v>
      </c>
      <c r="I6" s="3944" t="s">
        <v>1806</v>
      </c>
      <c r="J6" s="749" t="e">
        <f ca="1">ROUND(M6*M8*M7*(1-M9)/10000,0)</f>
        <v>#N/A</v>
      </c>
      <c r="K6" s="332" t="s">
        <v>1265</v>
      </c>
      <c r="L6" s="750" t="s">
        <v>1266</v>
      </c>
      <c r="M6" s="751" t="e">
        <f ca="1">INDIRECT("'数据-取费表'!z"&amp;$G$1)</f>
        <v>#N/A</v>
      </c>
    </row>
    <row r="7" spans="1:33" ht="18" customHeight="1">
      <c r="A7" s="2147"/>
      <c r="B7" s="3945"/>
      <c r="C7" s="754"/>
      <c r="D7" s="755"/>
      <c r="E7" s="750" t="s">
        <v>1267</v>
      </c>
      <c r="F7" s="751" t="e">
        <f ca="1">IF(INDIRECT("'数据-取费表'!ah"&amp;$G$1)="",INDIRECT("'数据-取费表'!k"&amp;$G$1),INDIRECT("'数据-取费表'!ah"&amp;$G$1))</f>
        <v>#N/A</v>
      </c>
      <c r="G7" s="1786"/>
      <c r="H7" s="2136"/>
      <c r="I7" s="3945"/>
      <c r="J7" s="754"/>
      <c r="K7" s="755"/>
      <c r="L7" s="750" t="s">
        <v>1267</v>
      </c>
      <c r="M7" s="751" t="e">
        <f ca="1">F7</f>
        <v>#N/A</v>
      </c>
    </row>
    <row r="8" spans="1:33" ht="18" customHeight="1">
      <c r="A8" s="2140"/>
      <c r="B8" s="3946"/>
      <c r="C8" s="754"/>
      <c r="D8" s="755"/>
      <c r="E8" s="750" t="s">
        <v>1268</v>
      </c>
      <c r="F8" s="751" t="e">
        <f ca="1">INDIRECT("'数据-取费表'!ai"&amp;$G$1)</f>
        <v>#N/A</v>
      </c>
      <c r="G8" s="1786"/>
      <c r="H8" s="2136"/>
      <c r="I8" s="3946"/>
      <c r="J8" s="754"/>
      <c r="K8" s="755"/>
      <c r="L8" s="750" t="s">
        <v>1268</v>
      </c>
      <c r="M8" s="751" t="e">
        <f ca="1">INDIRECT("'数据-取费表'!ai"&amp;$G$1)</f>
        <v>#N/A</v>
      </c>
    </row>
    <row r="9" spans="1:33" ht="18" customHeight="1">
      <c r="A9" s="752"/>
      <c r="B9" s="3947"/>
      <c r="C9" s="754"/>
      <c r="D9" s="755"/>
      <c r="E9" s="750" t="s">
        <v>1269</v>
      </c>
      <c r="F9" s="760" t="e">
        <f ca="1">INDIRECT("'数据-取费表'!w"&amp;$G$1)</f>
        <v>#N/A</v>
      </c>
      <c r="G9" s="1786"/>
      <c r="H9" s="2152"/>
      <c r="I9" s="3946"/>
      <c r="J9" s="754"/>
      <c r="K9" s="755"/>
      <c r="L9" s="761" t="s">
        <v>1269</v>
      </c>
      <c r="M9" s="762" t="e">
        <f ca="1">INDIRECT("'数据-取费表'!ab"&amp;$G$1)</f>
        <v>#N/A</v>
      </c>
    </row>
    <row r="10" spans="1:33" ht="18" customHeight="1">
      <c r="A10" s="1617" t="s">
        <v>1809</v>
      </c>
      <c r="B10" s="2141" t="s">
        <v>1802</v>
      </c>
      <c r="C10" s="765">
        <f ca="1">ROUND(IF(F10="押一",C6/12*F11,IF(F10="押二",C6/12*2*F11,IF(F10="押三",C6/12*3*F11,C11*F11))),0)</f>
        <v>0</v>
      </c>
      <c r="D10" s="2148" t="s">
        <v>2231</v>
      </c>
      <c r="E10" s="2145" t="s">
        <v>1807</v>
      </c>
      <c r="F10" s="2229"/>
      <c r="G10" s="1786"/>
      <c r="H10" s="2179" t="s">
        <v>1812</v>
      </c>
      <c r="I10" s="2184" t="s">
        <v>1802</v>
      </c>
      <c r="J10" s="749">
        <f ca="1">ROUND(IF(M10="押一",J6/12*M11,IF(M10="押二",J6/12*2*M11,IF(M10="押三",J6/12*3*M11,J11*M11))),0)</f>
        <v>0</v>
      </c>
      <c r="K10" s="2148" t="s">
        <v>2231</v>
      </c>
      <c r="L10" s="2145" t="s">
        <v>1807</v>
      </c>
      <c r="M10" s="2229"/>
    </row>
    <row r="11" spans="1:33" ht="18" customHeight="1">
      <c r="A11" s="756"/>
      <c r="B11" s="2142" t="s">
        <v>1855</v>
      </c>
      <c r="C11" s="2146"/>
      <c r="D11" s="755"/>
      <c r="E11" s="2145" t="s">
        <v>1808</v>
      </c>
      <c r="F11" s="762">
        <f ca="1">'数据-取费表'!B39</f>
        <v>1.4999999999999999E-2</v>
      </c>
      <c r="G11" s="1786"/>
      <c r="H11" s="2180"/>
      <c r="I11" s="2142" t="s">
        <v>1855</v>
      </c>
      <c r="J11" s="2146"/>
      <c r="K11" s="2181"/>
      <c r="L11" s="2145" t="s">
        <v>1808</v>
      </c>
      <c r="M11" s="2139">
        <f ca="1">'数据-取费表'!B39</f>
        <v>1.4999999999999999E-2</v>
      </c>
    </row>
    <row r="12" spans="1:33" ht="18" customHeight="1" thickBot="1">
      <c r="A12" s="2155" t="s">
        <v>1810</v>
      </c>
      <c r="B12" s="2156" t="s">
        <v>1803</v>
      </c>
      <c r="C12" s="2157"/>
      <c r="D12" s="2158"/>
      <c r="E12" s="2159"/>
      <c r="F12" s="2160"/>
      <c r="G12" s="1786"/>
      <c r="H12" s="2169" t="s">
        <v>1813</v>
      </c>
      <c r="I12" s="2182" t="s">
        <v>1803</v>
      </c>
      <c r="J12" s="2183"/>
      <c r="K12" s="2158"/>
      <c r="L12" s="2159"/>
      <c r="M12" s="2172"/>
    </row>
    <row r="13" spans="1:33" ht="18" customHeight="1" thickTop="1">
      <c r="A13" s="1616">
        <v>2</v>
      </c>
      <c r="B13" s="1614" t="s">
        <v>1270</v>
      </c>
      <c r="C13" s="758" t="e">
        <f ca="1">ROUND(C29*F13,0)</f>
        <v>#N/A</v>
      </c>
      <c r="D13" s="1621" t="s">
        <v>1653</v>
      </c>
      <c r="E13" s="1621" t="s">
        <v>1272</v>
      </c>
      <c r="F13" s="2154" t="e">
        <f ca="1">INDIRECT("'数据-取费表'!y"&amp;$G$1)</f>
        <v>#N/A</v>
      </c>
      <c r="G13" s="1786"/>
      <c r="H13" s="1616">
        <v>2</v>
      </c>
      <c r="I13" s="1614" t="s">
        <v>1270</v>
      </c>
      <c r="J13" s="1606" t="e">
        <f ca="1">ROUND(J14*J15,0)</f>
        <v>#N/A</v>
      </c>
      <c r="K13" s="1608" t="s">
        <v>1271</v>
      </c>
      <c r="L13" s="2170"/>
      <c r="M13" s="2171"/>
    </row>
    <row r="14" spans="1:33" ht="18" customHeight="1">
      <c r="A14" s="1453" t="s">
        <v>1408</v>
      </c>
      <c r="B14" s="750" t="s">
        <v>592</v>
      </c>
      <c r="C14" s="770" t="e">
        <f ca="1">INDIRECT("'数据-取费表'!m"&amp;$G$1)+INDIRECT("'数据-取费表'!t"&amp;$G$1)</f>
        <v>#N/A</v>
      </c>
      <c r="D14" s="1734" t="s">
        <v>1273</v>
      </c>
      <c r="E14" s="1735"/>
      <c r="F14" s="771"/>
      <c r="G14" s="1786"/>
      <c r="H14" s="1454" t="s">
        <v>1358</v>
      </c>
      <c r="I14" s="1950" t="s">
        <v>2102</v>
      </c>
      <c r="J14" s="51" t="e">
        <f ca="1">C29</f>
        <v>#N/A</v>
      </c>
      <c r="K14" s="24"/>
      <c r="L14" s="767"/>
      <c r="M14" s="768"/>
    </row>
    <row r="15" spans="1:33" s="1788" customFormat="1" ht="18" customHeight="1" thickBot="1">
      <c r="A15" s="1453" t="s">
        <v>1409</v>
      </c>
      <c r="B15" s="750" t="s">
        <v>594</v>
      </c>
      <c r="C15" s="51" t="e">
        <f ca="1">ROUND(C14*F15,0)</f>
        <v>#N/A</v>
      </c>
      <c r="D15" s="772" t="s">
        <v>1274</v>
      </c>
      <c r="E15" s="772" t="s">
        <v>1275</v>
      </c>
      <c r="F15" s="773">
        <f>'数据-取费表'!B33</f>
        <v>0.03</v>
      </c>
      <c r="G15" s="3003"/>
      <c r="H15" s="2169" t="s">
        <v>1413</v>
      </c>
      <c r="I15" s="2164" t="s">
        <v>1272</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1410</v>
      </c>
      <c r="B16" s="750" t="s">
        <v>597</v>
      </c>
      <c r="C16" s="51" t="e">
        <f ca="1">ROUND(INDIRECT("'数据-取费表'!m"&amp;$G$1)*F16,0)</f>
        <v>#N/A</v>
      </c>
      <c r="D16" s="750" t="s">
        <v>1274</v>
      </c>
      <c r="E16" s="750" t="s">
        <v>1275</v>
      </c>
      <c r="F16" s="775" t="e">
        <f ca="1">IF(INDIRECT("'数据-取费表'!c"&amp;$G$1)="住宅",'数据-取费表'!B34,0)</f>
        <v>#N/A</v>
      </c>
      <c r="G16" s="1786"/>
      <c r="H16" s="1616" t="s">
        <v>1276</v>
      </c>
      <c r="I16" s="1614" t="s">
        <v>1277</v>
      </c>
      <c r="J16" s="758" t="e">
        <f ca="1">ROUND(J17+J22+J23+J24,0)</f>
        <v>#N/A</v>
      </c>
      <c r="K16" s="1608" t="s">
        <v>1278</v>
      </c>
      <c r="L16" s="2133"/>
      <c r="M16" s="2138"/>
    </row>
    <row r="17" spans="1:33" s="1788" customFormat="1" ht="18" customHeight="1">
      <c r="A17" s="1453" t="s">
        <v>1411</v>
      </c>
      <c r="B17" s="750" t="s">
        <v>600</v>
      </c>
      <c r="C17" s="51" t="e">
        <f ca="1">ROUND(F17*(F43+INDIRECT("'数据-取费表'!S"&amp;$G$1))/10000,0)</f>
        <v>#N/A</v>
      </c>
      <c r="D17" s="750" t="s">
        <v>1279</v>
      </c>
      <c r="E17" s="750" t="s">
        <v>1280</v>
      </c>
      <c r="F17" s="54">
        <f>'数据-取费表'!B35</f>
        <v>200</v>
      </c>
      <c r="G17" s="3003"/>
      <c r="H17" s="1454" t="s">
        <v>1358</v>
      </c>
      <c r="I17" s="750" t="s">
        <v>603</v>
      </c>
      <c r="J17" s="2762" t="e">
        <f ca="1">ROUND(IF(AND(项目基本情况!B11="自然人",项目基本情况!B10="北京市"),J6*M17/(1+'数据-取费表'!C42),J18+J19+J20),2)</f>
        <v>#N/A</v>
      </c>
      <c r="K17" s="2132" t="s">
        <v>1281</v>
      </c>
      <c r="L17" s="2131" t="s">
        <v>1282</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t="e">
        <f ca="1">ROUND(C14*F18,0)</f>
        <v>#N/A</v>
      </c>
      <c r="D18" s="750" t="s">
        <v>1274</v>
      </c>
      <c r="E18" s="750" t="s">
        <v>1275</v>
      </c>
      <c r="F18" s="775">
        <f>'数据-取费表'!B36</f>
        <v>1.4999999999999999E-2</v>
      </c>
      <c r="G18" s="3003"/>
      <c r="H18" s="1453" t="s">
        <v>1408</v>
      </c>
      <c r="I18" s="750" t="s">
        <v>1283</v>
      </c>
      <c r="J18" s="51" t="e">
        <f ca="1">ROUND(J6*M18/(1+'数据-取费表'!C42),2)</f>
        <v>#N/A</v>
      </c>
      <c r="K18" s="2131" t="s">
        <v>1284</v>
      </c>
      <c r="L18" s="750" t="s">
        <v>1275</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1358</v>
      </c>
      <c r="B19" s="750" t="s">
        <v>609</v>
      </c>
      <c r="C19" s="51" t="e">
        <f ca="1">SUM(C14:C18)</f>
        <v>#N/A</v>
      </c>
      <c r="D19" s="252" t="s">
        <v>1285</v>
      </c>
      <c r="E19" s="1737"/>
      <c r="F19" s="54"/>
      <c r="G19" s="1786"/>
      <c r="H19" s="1453" t="s">
        <v>1409</v>
      </c>
      <c r="I19" s="750" t="s">
        <v>1286</v>
      </c>
      <c r="J19" s="51" t="e">
        <f ca="1">IF(K19="按租金收入计税",ROUND(J6*M19/(1+'数据-取费表'!C42),1),ROUND(C29*F33*0.7,2))</f>
        <v>#N/A</v>
      </c>
      <c r="K19" s="776" t="s">
        <v>3244</v>
      </c>
      <c r="L19" s="750" t="s">
        <v>1275</v>
      </c>
      <c r="M19" s="775">
        <f>IF(K19="按租金收入计税",'数据-取费表'!B51,'数据-取费表'!B50)</f>
        <v>0.12</v>
      </c>
    </row>
    <row r="20" spans="1:33" s="1788" customFormat="1" ht="18" customHeight="1">
      <c r="A20" s="1454" t="s">
        <v>1413</v>
      </c>
      <c r="B20" s="750" t="s">
        <v>612</v>
      </c>
      <c r="C20" s="51" t="e">
        <f ca="1">ROUND(C19*F20,0)</f>
        <v>#N/A</v>
      </c>
      <c r="D20" s="777" t="s">
        <v>1287</v>
      </c>
      <c r="E20" s="750" t="s">
        <v>1275</v>
      </c>
      <c r="F20" s="775">
        <f>'数据-取费表'!B37</f>
        <v>0.02</v>
      </c>
      <c r="G20" s="3003"/>
      <c r="H20" s="1456" t="s">
        <v>1404</v>
      </c>
      <c r="I20" s="332" t="s">
        <v>1288</v>
      </c>
      <c r="J20" s="52" t="e">
        <f ca="1">ROUND(M20*M21/10000,2)</f>
        <v>#N/A</v>
      </c>
      <c r="K20" s="779" t="s">
        <v>1289</v>
      </c>
      <c r="L20" s="750" t="s">
        <v>1290</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1291</v>
      </c>
      <c r="C21" s="51" t="s">
        <v>1292</v>
      </c>
      <c r="D21" s="777" t="s">
        <v>1654</v>
      </c>
      <c r="E21" s="750" t="s">
        <v>1293</v>
      </c>
      <c r="F21" s="775">
        <f>'数据-取费表'!B38</f>
        <v>0.02</v>
      </c>
      <c r="G21" s="3003"/>
      <c r="H21" s="2153"/>
      <c r="I21" s="759"/>
      <c r="J21" s="67"/>
      <c r="K21" s="781"/>
      <c r="L21" s="750" t="s">
        <v>1294</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1295</v>
      </c>
      <c r="C22" s="51"/>
      <c r="D22" s="2188" t="str">
        <f>IF(F23&lt;=1,"单利计息。","复利计息。")&amp;"建造成本、管理费用、销售费用产生的利息。"</f>
        <v>单利计息。建造成本、管理费用、销售费用产生的利息。</v>
      </c>
      <c r="E22" s="1737"/>
      <c r="F22" s="54"/>
      <c r="G22" s="1786"/>
      <c r="H22" s="1454" t="s">
        <v>1413</v>
      </c>
      <c r="I22" s="750" t="s">
        <v>1296</v>
      </c>
      <c r="J22" s="51" t="e">
        <f ca="1">ROUND(J14*M22,2)</f>
        <v>#N/A</v>
      </c>
      <c r="K22" s="2131" t="s">
        <v>1297</v>
      </c>
      <c r="L22" s="750" t="s">
        <v>1275</v>
      </c>
      <c r="M22" s="782" t="e">
        <f ca="1">INDIRECT("'数据-取费表'!Ak"&amp;$G$1)</f>
        <v>#N/A</v>
      </c>
    </row>
    <row r="23" spans="1:33" s="1788" customFormat="1" ht="18" customHeight="1">
      <c r="A23" s="1453" t="s">
        <v>1359</v>
      </c>
      <c r="B23" s="750" t="s">
        <v>1817</v>
      </c>
      <c r="C23" s="51" t="e">
        <f ca="1">ROUND(IF('数据-取费表'!B22&lt;=1,(C19+C20)*F24*F23/2,(C19+C20)*(POWER((1+F24),F23/2)-1)),0)</f>
        <v>#N/A</v>
      </c>
      <c r="D23" s="2187" t="str">
        <f>IF(F23&lt;=1,"(建造成本+管理费用)×利率×(建设周期÷2)","(建造成本+管理费用)×((1+利率)^(建设周期÷2)-1)")</f>
        <v>(建造成本+管理费用)×利率×(建设周期÷2)</v>
      </c>
      <c r="E23" s="750" t="s">
        <v>1298</v>
      </c>
      <c r="F23" s="608">
        <f>'数据-取费表'!B20</f>
        <v>1</v>
      </c>
      <c r="G23" s="3003"/>
      <c r="H23" s="1454" t="s">
        <v>1414</v>
      </c>
      <c r="I23" s="750" t="s">
        <v>625</v>
      </c>
      <c r="J23" s="51" t="e">
        <f ca="1">ROUND(J13*M23,2)</f>
        <v>#N/A</v>
      </c>
      <c r="K23" s="2131" t="s">
        <v>1299</v>
      </c>
      <c r="L23" s="750" t="s">
        <v>1275</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4.0000000000000002E-4</v>
      </c>
      <c r="D24" s="2187" t="str">
        <f>IF(F23&lt;=1,"销售费用×利率×(建设周期÷2)","销售费用×((1+利率)^(建设周期÷2)-1)")</f>
        <v>销售费用×利率×(建设周期÷2)</v>
      </c>
      <c r="E24" s="750" t="s">
        <v>1301</v>
      </c>
      <c r="F24" s="784">
        <f ca="1">'数据-取费表'!B40</f>
        <v>4.2500000000000003E-2</v>
      </c>
      <c r="G24" s="3003"/>
      <c r="H24" s="2169" t="s">
        <v>1415</v>
      </c>
      <c r="I24" s="2164" t="s">
        <v>612</v>
      </c>
      <c r="J24" s="2162" t="e">
        <f ca="1">ROUND(J5*M24,2)</f>
        <v>#N/A</v>
      </c>
      <c r="K24" s="2163" t="s">
        <v>1302</v>
      </c>
      <c r="L24" s="2164" t="s">
        <v>1275</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1737"/>
      <c r="F25" s="54"/>
      <c r="G25" s="1786"/>
      <c r="H25" s="1616" t="s">
        <v>1304</v>
      </c>
      <c r="I25" s="2484" t="s">
        <v>2098</v>
      </c>
      <c r="J25" s="758" t="e">
        <f ca="1">J5-J16</f>
        <v>#N/A</v>
      </c>
      <c r="K25" s="2166" t="s">
        <v>1305</v>
      </c>
      <c r="L25" s="2167"/>
      <c r="M25" s="2168"/>
    </row>
    <row r="26" spans="1:33" ht="18" customHeight="1">
      <c r="A26" s="1453" t="s">
        <v>1359</v>
      </c>
      <c r="B26" s="750" t="s">
        <v>1784</v>
      </c>
      <c r="C26" s="51" t="e">
        <f ca="1">ROUND((C19+C20)*F26,0)</f>
        <v>#N/A</v>
      </c>
      <c r="D26" s="777" t="s">
        <v>1306</v>
      </c>
      <c r="E26" s="761" t="s">
        <v>1307</v>
      </c>
      <c r="F26" s="760" t="e">
        <f ca="1">INDIRECT("'数据-取费表'!q"&amp;$G$1)</f>
        <v>#N/A</v>
      </c>
      <c r="G26" s="1786"/>
      <c r="H26" s="2149" t="s">
        <v>1308</v>
      </c>
      <c r="I26" s="1951" t="s">
        <v>2103</v>
      </c>
      <c r="J26" s="749" t="e">
        <f ca="1">IF(J5&lt;&gt;0,ROUND(J25*(1-((1+M28)/(1+M26))^M27)/(M26-M28),0),0)</f>
        <v>#N/A</v>
      </c>
      <c r="K26" s="779" t="s">
        <v>1309</v>
      </c>
      <c r="L26" s="750" t="s">
        <v>1772</v>
      </c>
      <c r="M26" s="760" t="e">
        <f ca="1">INDIRECT("'数据-取费表'!I"&amp;$G$1)</f>
        <v>#N/A</v>
      </c>
    </row>
    <row r="27" spans="1:33" ht="18" customHeight="1">
      <c r="A27" s="1453" t="s">
        <v>1360</v>
      </c>
      <c r="B27" s="750" t="s">
        <v>632</v>
      </c>
      <c r="C27" s="51" t="e">
        <f ca="1">ROUND(F21*F26,4)</f>
        <v>#N/A</v>
      </c>
      <c r="D27" s="777" t="s">
        <v>1310</v>
      </c>
      <c r="E27" s="772"/>
      <c r="F27" s="773"/>
      <c r="G27" s="1786"/>
      <c r="H27" s="2150"/>
      <c r="I27" s="753"/>
      <c r="J27" s="754"/>
      <c r="K27" s="786" t="s">
        <v>1311</v>
      </c>
      <c r="L27" s="750" t="s">
        <v>1312</v>
      </c>
      <c r="M27" s="787" t="e">
        <f ca="1">INDIRECT("'数据-取费表'!ag"&amp;$G$1)</f>
        <v>#N/A</v>
      </c>
    </row>
    <row r="28" spans="1:33" s="1788" customFormat="1" ht="18" customHeight="1">
      <c r="A28" s="1455" t="s">
        <v>1369</v>
      </c>
      <c r="B28" s="750" t="s">
        <v>633</v>
      </c>
      <c r="C28" s="51">
        <f>ROUND(F28/(1+'数据-取费表'!C42),4)</f>
        <v>5.33E-2</v>
      </c>
      <c r="D28" s="777" t="s">
        <v>1655</v>
      </c>
      <c r="E28" s="750" t="s">
        <v>1313</v>
      </c>
      <c r="F28" s="775">
        <f>'数据-取费表'!B41</f>
        <v>5.6000000000000001E-2</v>
      </c>
      <c r="G28" s="3003"/>
      <c r="H28" s="1616"/>
      <c r="I28" s="757"/>
      <c r="J28" s="758"/>
      <c r="K28" s="781"/>
      <c r="L28" s="750" t="s">
        <v>1314</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1656</v>
      </c>
      <c r="C29" s="2162" t="e">
        <f ca="1">ROUND((C19+C20+C23+C26)/(1-F21-C24-C27-C28),0)</f>
        <v>#N/A</v>
      </c>
      <c r="D29" s="2163"/>
      <c r="E29" s="2164"/>
      <c r="F29" s="2165"/>
      <c r="G29" s="3003"/>
      <c r="H29" s="788" t="s">
        <v>1315</v>
      </c>
      <c r="I29" s="789" t="s">
        <v>1316</v>
      </c>
      <c r="J29" s="790" t="e">
        <f ca="1">ROUND(J26/(1+F40)^F41,0)</f>
        <v>#N/A</v>
      </c>
      <c r="K29" s="791" t="s">
        <v>1317</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1417</v>
      </c>
      <c r="B30" s="1614" t="s">
        <v>1318</v>
      </c>
      <c r="C30" s="758" t="e">
        <f ca="1">ROUND(C31+C36+C37+C38,0)</f>
        <v>#N/A</v>
      </c>
      <c r="D30" s="1608" t="s">
        <v>1319</v>
      </c>
      <c r="E30" s="2133"/>
      <c r="F30" s="2138"/>
      <c r="G30" s="1786"/>
      <c r="H30" s="1789"/>
      <c r="I30" s="1790"/>
      <c r="J30" s="1791"/>
      <c r="K30" s="1792"/>
      <c r="L30" s="1793"/>
      <c r="M30" s="1794"/>
    </row>
    <row r="31" spans="1:33" ht="18" customHeight="1">
      <c r="A31" s="1454" t="s">
        <v>1358</v>
      </c>
      <c r="B31" s="750" t="s">
        <v>603</v>
      </c>
      <c r="C31" s="2762" t="e">
        <f ca="1">ROUND(IF(AND(项目基本情况!B11="自然人",项目基本情况!B10="北京市"),C6*F31/(1+'数据-取费表'!C42),C32+C33+C34),2)</f>
        <v>#N/A</v>
      </c>
      <c r="D31" s="1734" t="s">
        <v>1320</v>
      </c>
      <c r="E31" s="1732" t="s">
        <v>1321</v>
      </c>
      <c r="F31" s="2761" t="str">
        <f>IF(项目基本情况!B11="企业","——",IF(M47="住宅",IF(F6*F7*F8/12/(1+'数据-取费表'!F30)&gt;100000,4%,2.5%),IF(F6*F7*F8/12/(1+'数据-取费表'!F30)&gt;100000,12%,7%)))</f>
        <v>——</v>
      </c>
      <c r="G31" s="1786"/>
      <c r="H31" s="3000" t="s">
        <v>2281</v>
      </c>
      <c r="I31" s="1790"/>
      <c r="J31" s="1791"/>
      <c r="K31" s="1792"/>
      <c r="L31" s="1793"/>
      <c r="M31" s="1794"/>
    </row>
    <row r="32" spans="1:33" ht="18" customHeight="1">
      <c r="A32" s="1453" t="s">
        <v>1359</v>
      </c>
      <c r="B32" s="750" t="s">
        <v>1322</v>
      </c>
      <c r="C32" s="51" t="e">
        <f ca="1">ROUND(C6*F32/(1+'数据-取费表'!C42),2)</f>
        <v>#N/A</v>
      </c>
      <c r="D32" s="1732" t="s">
        <v>1323</v>
      </c>
      <c r="E32" s="750" t="s">
        <v>1324</v>
      </c>
      <c r="F32" s="775">
        <f>'数据-取费表'!B41</f>
        <v>5.6000000000000001E-2</v>
      </c>
      <c r="G32" s="1786"/>
      <c r="H32" s="1795"/>
      <c r="I32" s="1796"/>
      <c r="J32" s="1797"/>
      <c r="K32" s="1798"/>
      <c r="L32" s="1799"/>
      <c r="M32" s="1800"/>
    </row>
    <row r="33" spans="1:18" ht="18" customHeight="1">
      <c r="A33" s="1453" t="s">
        <v>1360</v>
      </c>
      <c r="B33" s="750" t="s">
        <v>1325</v>
      </c>
      <c r="C33" s="51" t="e">
        <f ca="1">IF(D33="按租金收入计税",ROUND(C6*F33/(1+'数据-取费表'!C42),2),IF(D33="按房产原值计税",ROUND(C29*F33*0.7,2),INDIRECT("'数据-取费表'!Aj"&amp;$G$1)))</f>
        <v>#N/A</v>
      </c>
      <c r="D33" s="776" t="s">
        <v>3244</v>
      </c>
      <c r="E33" s="750" t="s">
        <v>1324</v>
      </c>
      <c r="F33" s="775">
        <f>IF(D33="按租金收入计税",'数据-取费表'!B51,'数据-取费表'!B50)</f>
        <v>0.12</v>
      </c>
      <c r="G33" s="1786"/>
      <c r="H33" s="1801"/>
      <c r="I33" s="1801"/>
      <c r="J33" s="1801"/>
      <c r="K33" s="1802"/>
      <c r="L33" s="1801"/>
      <c r="M33" s="1801"/>
    </row>
    <row r="34" spans="1:18" ht="18" customHeight="1">
      <c r="A34" s="1456" t="s">
        <v>1361</v>
      </c>
      <c r="B34" s="332" t="s">
        <v>1326</v>
      </c>
      <c r="C34" s="52" t="e">
        <f ca="1">ROUND(F34*F35/10000,2)</f>
        <v>#N/A</v>
      </c>
      <c r="D34" s="779" t="s">
        <v>1327</v>
      </c>
      <c r="E34" s="750" t="s">
        <v>1328</v>
      </c>
      <c r="F34" s="608">
        <f>'数据-取费表'!B52</f>
        <v>0</v>
      </c>
      <c r="G34" s="1786"/>
      <c r="H34" s="1789"/>
      <c r="I34" s="800" t="s">
        <v>1341</v>
      </c>
      <c r="J34" s="801"/>
      <c r="K34" s="1804"/>
      <c r="L34" s="1803"/>
      <c r="M34" s="1803"/>
    </row>
    <row r="35" spans="1:18" ht="18" customHeight="1">
      <c r="A35" s="780"/>
      <c r="B35" s="759"/>
      <c r="C35" s="67"/>
      <c r="D35" s="781"/>
      <c r="E35" s="750" t="s">
        <v>1329</v>
      </c>
      <c r="F35" s="751" t="e">
        <f ca="1">INDIRECT("'数据-取费表'!r"&amp;$G$1)</f>
        <v>#N/A</v>
      </c>
      <c r="G35" s="1786"/>
      <c r="H35" s="1789"/>
      <c r="I35" s="802" t="s">
        <v>1342</v>
      </c>
      <c r="J35" s="803" t="e">
        <f ca="1">ROUND(C13*J36,0)</f>
        <v>#N/A</v>
      </c>
      <c r="K35" s="1802"/>
      <c r="L35" s="1801"/>
      <c r="M35" s="1801"/>
    </row>
    <row r="36" spans="1:18" ht="18" customHeight="1">
      <c r="A36" s="1454" t="s">
        <v>1413</v>
      </c>
      <c r="B36" s="750" t="s">
        <v>1330</v>
      </c>
      <c r="C36" s="51" t="e">
        <f ca="1">ROUND(C29*F36,2)</f>
        <v>#N/A</v>
      </c>
      <c r="D36" s="1732" t="s">
        <v>1331</v>
      </c>
      <c r="E36" s="750" t="s">
        <v>1324</v>
      </c>
      <c r="F36" s="782" t="e">
        <f ca="1">INDIRECT("'数据-取费表'!Ak"&amp;$G$1)</f>
        <v>#N/A</v>
      </c>
      <c r="G36" s="1786"/>
      <c r="H36" s="1801"/>
      <c r="I36" s="804" t="s">
        <v>1343</v>
      </c>
      <c r="J36" s="805" t="e">
        <f ca="1">INDIRECT("'数据-取费表'!j"&amp;$G$1)</f>
        <v>#N/A</v>
      </c>
      <c r="K36" s="1805"/>
      <c r="L36" s="1801"/>
      <c r="M36" s="1801"/>
    </row>
    <row r="37" spans="1:18" ht="18" customHeight="1">
      <c r="A37" s="1454" t="s">
        <v>1414</v>
      </c>
      <c r="B37" s="750" t="s">
        <v>625</v>
      </c>
      <c r="C37" s="51" t="e">
        <f ca="1">ROUND(C13*F37,2)</f>
        <v>#N/A</v>
      </c>
      <c r="D37" s="1732" t="s">
        <v>1332</v>
      </c>
      <c r="E37" s="750" t="s">
        <v>1324</v>
      </c>
      <c r="F37" s="783" t="e">
        <f ca="1">INDIRECT("'数据-取费表'!Al"&amp;$G$1)</f>
        <v>#N/A</v>
      </c>
      <c r="G37" s="1786"/>
      <c r="H37" s="1801"/>
      <c r="I37" s="806" t="s">
        <v>1344</v>
      </c>
      <c r="J37" s="807"/>
      <c r="K37" s="1805"/>
      <c r="L37" s="1801"/>
      <c r="M37" s="1801"/>
    </row>
    <row r="38" spans="1:18" ht="18" customHeight="1" thickBot="1">
      <c r="A38" s="2169" t="s">
        <v>1415</v>
      </c>
      <c r="B38" s="2164" t="s">
        <v>612</v>
      </c>
      <c r="C38" s="2162" t="e">
        <f ca="1">ROUND(C5*F38,2)</f>
        <v>#N/A</v>
      </c>
      <c r="D38" s="2163" t="s">
        <v>1333</v>
      </c>
      <c r="E38" s="2164" t="s">
        <v>1324</v>
      </c>
      <c r="F38" s="2160" t="e">
        <f ca="1">INDIRECT("'数据-取费表'!Am"&amp;$G$1)</f>
        <v>#N/A</v>
      </c>
      <c r="G38" s="1786"/>
      <c r="H38" s="1801"/>
      <c r="I38" s="808" t="s">
        <v>1345</v>
      </c>
      <c r="J38" s="809"/>
      <c r="K38" s="1806"/>
      <c r="L38" s="1801"/>
      <c r="M38" s="1801"/>
    </row>
    <row r="39" spans="1:18" ht="24.6" customHeight="1" thickTop="1">
      <c r="A39" s="1616" t="s">
        <v>1418</v>
      </c>
      <c r="B39" s="2484" t="s">
        <v>2098</v>
      </c>
      <c r="C39" s="758" t="e">
        <f ca="1">C5-C30</f>
        <v>#N/A</v>
      </c>
      <c r="D39" s="2166" t="s">
        <v>1334</v>
      </c>
      <c r="E39" s="2167"/>
      <c r="F39" s="2168"/>
      <c r="G39" s="1786"/>
      <c r="H39" s="1801"/>
      <c r="I39" s="802" t="s">
        <v>1346</v>
      </c>
      <c r="J39" s="810" t="e">
        <f ca="1">ROUND(J35/C39,3)</f>
        <v>#N/A</v>
      </c>
      <c r="K39" s="1806"/>
      <c r="L39" s="1801"/>
      <c r="M39" s="1801"/>
    </row>
    <row r="40" spans="1:18" ht="18" customHeight="1">
      <c r="A40" s="747" t="s">
        <v>1419</v>
      </c>
      <c r="B40" s="1951" t="s">
        <v>1657</v>
      </c>
      <c r="C40" s="749" t="e">
        <f ca="1">ROUND(C39*(1-((1+F42)/(1+F40))^F41)/(F40-F42),0)</f>
        <v>#N/A</v>
      </c>
      <c r="D40" s="779" t="s">
        <v>1335</v>
      </c>
      <c r="E40" s="750" t="s">
        <v>1772</v>
      </c>
      <c r="F40" s="760" t="e">
        <f ca="1">INDIRECT("'数据-取费表'!I"&amp;$G$1)</f>
        <v>#N/A</v>
      </c>
      <c r="G40" s="1786"/>
      <c r="H40" s="1786"/>
      <c r="I40" s="802" t="s">
        <v>1347</v>
      </c>
      <c r="J40" s="810" t="e">
        <f ca="1">1-J39</f>
        <v>#N/A</v>
      </c>
      <c r="K40" s="1806"/>
      <c r="L40" s="1786"/>
      <c r="M40" s="1786"/>
    </row>
    <row r="41" spans="1:18" ht="18" customHeight="1">
      <c r="A41" s="752"/>
      <c r="B41" s="753"/>
      <c r="C41" s="754"/>
      <c r="D41" s="786" t="s">
        <v>1336</v>
      </c>
      <c r="E41" s="750" t="s">
        <v>2223</v>
      </c>
      <c r="F41" s="787" t="e">
        <f ca="1">IF(INDIRECT("'数据-取费表'!af"&amp;$G$1)=0,INDIRECT("'数据-取费表'!ae"&amp;$G$1),INDIRECT("'数据-取费表'!af"&amp;$G$1))</f>
        <v>#N/A</v>
      </c>
      <c r="G41" s="1786"/>
      <c r="H41" s="1741"/>
      <c r="I41" s="808" t="s">
        <v>1348</v>
      </c>
      <c r="J41" s="811"/>
      <c r="K41" s="1805"/>
      <c r="L41" s="1741"/>
      <c r="M41" s="1741"/>
    </row>
    <row r="42" spans="1:18" ht="18" customHeight="1">
      <c r="A42" s="756"/>
      <c r="B42" s="757"/>
      <c r="C42" s="758"/>
      <c r="D42" s="781"/>
      <c r="E42" s="750" t="s">
        <v>1337</v>
      </c>
      <c r="F42" s="760" t="e">
        <f ca="1">INDIRECT("'数据-取费表'!v"&amp;$G$1)</f>
        <v>#N/A</v>
      </c>
      <c r="G42" s="1786"/>
      <c r="H42" s="1741"/>
      <c r="I42" s="812" t="s">
        <v>1349</v>
      </c>
      <c r="J42" s="810" t="e">
        <f ca="1">ROUND(C13/C40,3)</f>
        <v>#N/A</v>
      </c>
      <c r="K42" s="1805"/>
      <c r="L42" s="1741"/>
      <c r="M42" s="1741"/>
    </row>
    <row r="43" spans="1:18" ht="18" customHeight="1" thickBot="1">
      <c r="A43" s="788" t="s">
        <v>1315</v>
      </c>
      <c r="B43" s="789" t="s">
        <v>1338</v>
      </c>
      <c r="C43" s="790" t="e">
        <f ca="1">ROUND(C40*10000/F43,0)</f>
        <v>#N/A</v>
      </c>
      <c r="D43" s="791" t="s">
        <v>1339</v>
      </c>
      <c r="E43" s="792" t="s">
        <v>1340</v>
      </c>
      <c r="F43" s="793" t="e">
        <f ca="1">INDIRECT("'数据-取费表'!k"&amp;$G$1)</f>
        <v>#N/A</v>
      </c>
      <c r="G43" s="1786"/>
      <c r="H43" s="1741"/>
      <c r="I43" s="812" t="s">
        <v>1350</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t="e">
        <f ca="1">C67-C40</f>
        <v>#N/A</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5">
        <v>1</v>
      </c>
      <c r="B47" s="3656" t="s">
        <v>582</v>
      </c>
      <c r="C47" s="3657" t="e">
        <f ca="1">C48+C52+C54</f>
        <v>#N/A</v>
      </c>
      <c r="D47" s="3658"/>
      <c r="E47" s="3658"/>
      <c r="F47" s="3659"/>
      <c r="I47" s="2557" t="s">
        <v>1697</v>
      </c>
      <c r="J47" s="2073"/>
      <c r="K47" s="2563" t="s">
        <v>1702</v>
      </c>
      <c r="L47" s="2567" t="e">
        <f ca="1">INDIRECT("'数据-取费表'!d"&amp;$G$1)</f>
        <v>#N/A</v>
      </c>
      <c r="M47" s="1413" t="str">
        <f>IF(ISNUMBER(FIND("住宅",C1)),"住宅","非住宅")</f>
        <v>住宅</v>
      </c>
      <c r="O47" s="2087" t="s">
        <v>1728</v>
      </c>
      <c r="P47" s="2088" t="s">
        <v>1729</v>
      </c>
      <c r="Q47" s="2089" t="s">
        <v>1730</v>
      </c>
      <c r="R47" s="2088" t="s">
        <v>1731</v>
      </c>
    </row>
    <row r="48" spans="1:18" s="1783" customFormat="1" ht="18" customHeight="1" thickBot="1">
      <c r="A48" s="2248" t="s">
        <v>1819</v>
      </c>
      <c r="B48" s="2249" t="s">
        <v>1820</v>
      </c>
      <c r="C48" s="2066" t="e">
        <f ca="1">ROUND(F48*F50*F49*(1-F51)/10000,0)</f>
        <v>#N/A</v>
      </c>
      <c r="D48" s="2067" t="s">
        <v>583</v>
      </c>
      <c r="E48" s="2068" t="s">
        <v>1652</v>
      </c>
      <c r="F48" s="2069" t="e">
        <f ca="1">M6</f>
        <v>#N/A</v>
      </c>
      <c r="G48" s="1813"/>
      <c r="I48" s="2554" t="s">
        <v>1698</v>
      </c>
      <c r="J48" s="2074"/>
      <c r="K48" s="2564" t="s">
        <v>1704</v>
      </c>
      <c r="L48" s="1664" t="e">
        <f ca="1">INDIRECT("'数据-取费表'!f"&amp;$G$1)</f>
        <v>#N/A</v>
      </c>
      <c r="M48" s="3005"/>
      <c r="O48" s="2090" t="s">
        <v>1732</v>
      </c>
      <c r="P48" s="2091" t="s">
        <v>1758</v>
      </c>
      <c r="Q48" s="2092" t="e">
        <f ca="1">C40+J29</f>
        <v>#N/A</v>
      </c>
      <c r="R48" s="2091" t="s">
        <v>1733</v>
      </c>
    </row>
    <row r="49" spans="1:18" s="1783" customFormat="1" ht="18" customHeight="1" thickBot="1">
      <c r="A49" s="752"/>
      <c r="B49" s="753"/>
      <c r="C49" s="754"/>
      <c r="D49" s="755"/>
      <c r="E49" s="750" t="s">
        <v>1267</v>
      </c>
      <c r="F49" s="751" t="e">
        <f ca="1">F7</f>
        <v>#N/A</v>
      </c>
      <c r="G49" s="1813"/>
      <c r="H49" s="1816"/>
      <c r="I49" s="2554" t="s">
        <v>1699</v>
      </c>
      <c r="J49" s="2075"/>
      <c r="K49" s="2565" t="s">
        <v>1705</v>
      </c>
      <c r="L49" s="2076"/>
      <c r="M49" s="3005"/>
      <c r="O49" s="2090" t="s">
        <v>1734</v>
      </c>
      <c r="P49" s="2091" t="s">
        <v>1759</v>
      </c>
      <c r="Q49" s="2092" t="e">
        <f ca="1">J60</f>
        <v>#N/A</v>
      </c>
      <c r="R49" s="2091" t="s">
        <v>1735</v>
      </c>
    </row>
    <row r="50" spans="1:18" s="1783" customFormat="1" ht="18" customHeight="1" thickBot="1">
      <c r="A50" s="752"/>
      <c r="B50" s="753"/>
      <c r="C50" s="754"/>
      <c r="D50" s="755"/>
      <c r="E50" s="750" t="s">
        <v>1268</v>
      </c>
      <c r="F50" s="751" t="e">
        <f ca="1">F8</f>
        <v>#N/A</v>
      </c>
      <c r="G50" s="1818"/>
      <c r="H50" s="1816"/>
      <c r="I50" s="2554" t="s">
        <v>1700</v>
      </c>
      <c r="J50" s="2561">
        <f>SUMPRODUCT((I63:I65=J47)*(J62:L62=J48)*(J63:L65))</f>
        <v>0</v>
      </c>
      <c r="K50" s="2565" t="s">
        <v>1706</v>
      </c>
      <c r="L50" s="2076"/>
      <c r="M50" s="3005"/>
      <c r="O50" s="2093" t="s">
        <v>1736</v>
      </c>
      <c r="P50" s="2091" t="s">
        <v>1760</v>
      </c>
      <c r="Q50" s="2092" t="e">
        <f ca="1">C29</f>
        <v>#N/A</v>
      </c>
      <c r="R50" s="2091" t="s">
        <v>1733</v>
      </c>
    </row>
    <row r="51" spans="1:18" s="1783" customFormat="1" ht="18" customHeight="1" thickBot="1">
      <c r="A51" s="752"/>
      <c r="B51" s="753"/>
      <c r="C51" s="754"/>
      <c r="D51" s="755"/>
      <c r="E51" s="750" t="s">
        <v>587</v>
      </c>
      <c r="F51" s="2065"/>
      <c r="H51" s="1816"/>
      <c r="I51" s="2558" t="s">
        <v>1701</v>
      </c>
      <c r="J51" s="2562">
        <f>IF(J49="",J50,J49+J50-YEAR('数据-取费表'!B2))</f>
        <v>0</v>
      </c>
      <c r="K51" s="2554" t="s">
        <v>1707</v>
      </c>
      <c r="L51" s="2568" t="e">
        <f ca="1">ROUND(-PV(INDIRECT("'数据-取费表'!h"&amp;$G$1),J51,(C39-C13*J36),0),0)</f>
        <v>#N/A</v>
      </c>
      <c r="M51" s="3005"/>
      <c r="O51" s="2093" t="s">
        <v>1737</v>
      </c>
      <c r="P51" s="2091" t="s">
        <v>1738</v>
      </c>
      <c r="Q51" s="2094" t="e">
        <f ca="1">J58</f>
        <v>#N/A</v>
      </c>
      <c r="R51" s="2095"/>
    </row>
    <row r="52" spans="1:18" s="1783" customFormat="1" ht="18" customHeight="1" thickBot="1">
      <c r="A52" s="747" t="s">
        <v>1818</v>
      </c>
      <c r="B52" s="2141" t="s">
        <v>1802</v>
      </c>
      <c r="C52" s="765">
        <f ca="1">ROUND(IF(F52="押一",C48/12*F11,IF(F52="押二",C48/12*2*F11,IF(F52="押三",C48/12*3*F11,C53*F11))),0)</f>
        <v>0</v>
      </c>
      <c r="D52" s="2148" t="s">
        <v>2232</v>
      </c>
      <c r="E52" s="2145" t="s">
        <v>1807</v>
      </c>
      <c r="F52" s="2229"/>
      <c r="I52" s="2559" t="s">
        <v>1774</v>
      </c>
      <c r="J52" s="2077"/>
      <c r="K52" s="2559" t="s">
        <v>1773</v>
      </c>
      <c r="L52" s="2077"/>
      <c r="M52" s="3005"/>
      <c r="O52" s="2093" t="s">
        <v>1739</v>
      </c>
      <c r="P52" s="2091" t="s">
        <v>1740</v>
      </c>
      <c r="Q52" s="2094">
        <f>J52</f>
        <v>0</v>
      </c>
      <c r="R52" s="2095"/>
    </row>
    <row r="53" spans="1:18" s="1783" customFormat="1" ht="39.75" customHeight="1" thickBot="1">
      <c r="A53" s="752"/>
      <c r="B53" s="2142" t="s">
        <v>1855</v>
      </c>
      <c r="C53" s="2146"/>
      <c r="D53" s="2148"/>
      <c r="E53" s="2145"/>
      <c r="F53" s="766"/>
      <c r="I53" s="2560" t="s">
        <v>2235</v>
      </c>
      <c r="J53" s="2611" t="e">
        <f ca="1">IF(M47="住宅",IF(D1="——",MAX(J51,L48),MAX(J51,L48-'数据-取费表'!B20)),IF(D1="——",MIN(J51,L48),MIN(J51,L48-'数据-取费表'!B20)))</f>
        <v>#N/A</v>
      </c>
      <c r="K53" s="3950" t="s">
        <v>2225</v>
      </c>
      <c r="L53" s="3951"/>
      <c r="M53" s="3005"/>
      <c r="O53" s="2093" t="s">
        <v>1741</v>
      </c>
      <c r="P53" s="2091" t="s">
        <v>1742</v>
      </c>
      <c r="Q53" s="2092" t="e">
        <f ca="1">J53</f>
        <v>#N/A</v>
      </c>
      <c r="R53" s="2091" t="s">
        <v>1743</v>
      </c>
    </row>
    <row r="54" spans="1:18" s="1783" customFormat="1" ht="18" customHeight="1" thickBot="1">
      <c r="A54" s="2155" t="s">
        <v>1810</v>
      </c>
      <c r="B54" s="2156" t="s">
        <v>1803</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1744</v>
      </c>
      <c r="P54" s="2091" t="s">
        <v>1761</v>
      </c>
      <c r="Q54" s="2092" t="e">
        <f ca="1">Q48+Q49</f>
        <v>#N/A</v>
      </c>
      <c r="R54" s="2095" t="s">
        <v>1745</v>
      </c>
    </row>
    <row r="55" spans="1:18" s="1783" customFormat="1" ht="18" customHeight="1" thickTop="1" thickBot="1">
      <c r="A55" s="763">
        <v>2</v>
      </c>
      <c r="B55" s="764" t="s">
        <v>591</v>
      </c>
      <c r="C55" s="765" t="e">
        <f ca="1">C13</f>
        <v>#N/A</v>
      </c>
      <c r="D55" s="761"/>
      <c r="E55" s="761"/>
      <c r="F55" s="766"/>
      <c r="I55" s="2571" t="s">
        <v>1708</v>
      </c>
      <c r="J55" s="2543" t="e">
        <f ca="1">ROUND(IF(J47="钢混",J57/J50,1-(1-2%)*(J50-J57)/J50),3)</f>
        <v>#N/A</v>
      </c>
      <c r="K55" s="2572" t="s">
        <v>1709</v>
      </c>
      <c r="L55" s="2078"/>
      <c r="M55" s="3005"/>
      <c r="O55" s="2096" t="s">
        <v>1764</v>
      </c>
      <c r="P55" s="1405"/>
      <c r="Q55" s="1413"/>
      <c r="R55" s="1405"/>
    </row>
    <row r="56" spans="1:18" s="1783" customFormat="1" ht="42.75" customHeight="1" thickBot="1">
      <c r="A56" s="1455"/>
      <c r="B56" s="1950" t="s">
        <v>1658</v>
      </c>
      <c r="C56" s="51" t="e">
        <f ca="1">C29</f>
        <v>#N/A</v>
      </c>
      <c r="D56" s="2245"/>
      <c r="E56" s="750"/>
      <c r="F56" s="775"/>
      <c r="I56" s="2573" t="s">
        <v>1710</v>
      </c>
      <c r="J56" s="2583"/>
      <c r="K56" s="2554" t="s">
        <v>1715</v>
      </c>
      <c r="L56" s="1664" t="e">
        <f ca="1">IF(L48&lt;J51,"——",L48-J51)</f>
        <v>#N/A</v>
      </c>
      <c r="M56" s="3005"/>
      <c r="O56" s="2087" t="s">
        <v>1728</v>
      </c>
      <c r="P56" s="2088" t="s">
        <v>1729</v>
      </c>
      <c r="Q56" s="2089" t="s">
        <v>1730</v>
      </c>
      <c r="R56" s="2088" t="s">
        <v>1731</v>
      </c>
    </row>
    <row r="57" spans="1:18" s="1783" customFormat="1" ht="28.5" customHeight="1" thickBot="1">
      <c r="A57" s="763" t="s">
        <v>1276</v>
      </c>
      <c r="B57" s="764" t="s">
        <v>598</v>
      </c>
      <c r="C57" s="765" t="e">
        <f ca="1">ROUND(C58+C63+C64+C65,0)</f>
        <v>#N/A</v>
      </c>
      <c r="D57" s="24" t="s">
        <v>1278</v>
      </c>
      <c r="E57" s="2246"/>
      <c r="F57" s="54"/>
      <c r="I57" s="2574" t="s">
        <v>1711</v>
      </c>
      <c r="J57" s="2575" t="e">
        <f ca="1">IF(OR(M47="住宅",J51&lt;L48,J56="是"),"——",J51-L48)</f>
        <v>#N/A</v>
      </c>
      <c r="K57" s="2554" t="s">
        <v>1716</v>
      </c>
      <c r="L57" s="1664" t="e">
        <f ca="1">IF(L48&lt;J51,"——",IF(L55="比较法",L49,IF(L55="基准地价",L50,L51)))</f>
        <v>#N/A</v>
      </c>
      <c r="M57" s="3005"/>
      <c r="O57" s="2090" t="s">
        <v>1732</v>
      </c>
      <c r="P57" s="2091" t="s">
        <v>1762</v>
      </c>
      <c r="Q57" s="2092" t="e">
        <f ca="1">C40+J29</f>
        <v>#N/A</v>
      </c>
      <c r="R57" s="2091" t="s">
        <v>1733</v>
      </c>
    </row>
    <row r="58" spans="1:18" s="1783" customFormat="1" ht="28.5" customHeight="1" thickBot="1">
      <c r="A58" s="1454" t="s">
        <v>1352</v>
      </c>
      <c r="B58" s="750" t="s">
        <v>603</v>
      </c>
      <c r="C58" s="2762" t="e">
        <f ca="1">ROUND(IF(AND(项目基本情况!B11="自然人",项目基本情况!B10="北京市"),C48*F58/(1+'数据-取费表'!C42),C59+C60+C61),2)</f>
        <v>#N/A</v>
      </c>
      <c r="D58" s="2244" t="s">
        <v>604</v>
      </c>
      <c r="E58" s="2245" t="s">
        <v>636</v>
      </c>
      <c r="F58" s="2761" t="str">
        <f>IF(项目基本情况!B11="企业","——",IF('数据-取费表'!B10="住宅",IF(F48*F49*F50/12/(1+'数据-取费表'!F30)&gt;100000,4%,2.5%),IF(F48*F49*F50/12/(1+'数据-取费表'!F30)&gt;100000,12%,7%)))</f>
        <v>——</v>
      </c>
      <c r="I58" s="2574" t="s">
        <v>1712</v>
      </c>
      <c r="J58" s="2544" t="e">
        <f ca="1">IF(J55&lt;0.4,0.4,J55)</f>
        <v>#N/A</v>
      </c>
      <c r="K58" s="2554" t="s">
        <v>1717</v>
      </c>
      <c r="L58" s="1664" t="e">
        <f ca="1">ROUND(POWER(1+L52,L47-L48)*(POWER(1+L52,L48)-1)/(POWER(1+L52,L47)-1),4)</f>
        <v>#N/A</v>
      </c>
      <c r="M58" s="3005"/>
      <c r="O58" s="2090" t="s">
        <v>1734</v>
      </c>
      <c r="P58" s="2091" t="s">
        <v>1765</v>
      </c>
      <c r="Q58" s="2092" t="e">
        <f ca="1">L60</f>
        <v>#N/A</v>
      </c>
      <c r="R58" s="2095" t="s">
        <v>1767</v>
      </c>
    </row>
    <row r="59" spans="1:18" s="1783" customFormat="1" ht="28.5" customHeight="1" thickBot="1">
      <c r="A59" s="1453" t="s">
        <v>1359</v>
      </c>
      <c r="B59" s="750" t="s">
        <v>607</v>
      </c>
      <c r="C59" s="51" t="e">
        <f ca="1">ROUND(C47*F59/1.05,2)</f>
        <v>#N/A</v>
      </c>
      <c r="D59" s="2245" t="s">
        <v>1284</v>
      </c>
      <c r="E59" s="750" t="s">
        <v>1275</v>
      </c>
      <c r="F59" s="775">
        <f t="shared" ref="F59:F65" si="0">F32</f>
        <v>5.6000000000000001E-2</v>
      </c>
      <c r="I59" s="2574" t="s">
        <v>1713</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1736</v>
      </c>
      <c r="P59" s="2091" t="s">
        <v>1766</v>
      </c>
      <c r="Q59" s="2092">
        <f>IF(L55="比较法",L49,IF(L55="基准地价",L50,0))</f>
        <v>0</v>
      </c>
      <c r="R59" s="2091" t="s">
        <v>1733</v>
      </c>
    </row>
    <row r="60" spans="1:18" s="1783" customFormat="1" ht="18" customHeight="1" thickBot="1">
      <c r="A60" s="1453" t="s">
        <v>1360</v>
      </c>
      <c r="B60" s="750" t="s">
        <v>1286</v>
      </c>
      <c r="C60" s="51" t="e">
        <f ca="1">IF(D60="按租金收入计税",ROUND(C48*F60/(1+'数据-取费表'!C42),2),IF(D60="按房产原值计税",ROUND(C56*F60*0.7,2),INDIRECT("'数据-取费表'!Aj"&amp;$G$1)))</f>
        <v>#N/A</v>
      </c>
      <c r="D60" s="2245" t="str">
        <f>D33</f>
        <v>按租金收入计税</v>
      </c>
      <c r="E60" s="750" t="s">
        <v>1275</v>
      </c>
      <c r="F60" s="775">
        <f t="shared" si="0"/>
        <v>0.12</v>
      </c>
      <c r="I60" s="2576" t="s">
        <v>1714</v>
      </c>
      <c r="J60" s="2577" t="e">
        <f ca="1">IF(OR(M47="住宅",J51&lt;L48,J56="是"),"0",ROUND(J59/(1+J52)^J53,0))</f>
        <v>#N/A</v>
      </c>
      <c r="K60" s="2578" t="s">
        <v>1719</v>
      </c>
      <c r="L60" s="2577" t="e">
        <f ca="1">IF(OR(M47="住宅",L48&lt;J51),0,ROUND(L57*(L58/L59-1),0))</f>
        <v>#N/A</v>
      </c>
      <c r="M60" s="3005"/>
      <c r="O60" s="2093" t="s">
        <v>1737</v>
      </c>
      <c r="P60" s="2091" t="s">
        <v>1746</v>
      </c>
      <c r="Q60" s="2094">
        <f>L52</f>
        <v>0</v>
      </c>
      <c r="R60" s="2095"/>
    </row>
    <row r="61" spans="1:18" s="1783" customFormat="1" ht="18" customHeight="1" thickBot="1">
      <c r="A61" s="1456" t="s">
        <v>1361</v>
      </c>
      <c r="B61" s="332" t="s">
        <v>614</v>
      </c>
      <c r="C61" s="52" t="e">
        <f ca="1">ROUND(F61*F62/10000,2)</f>
        <v>#N/A</v>
      </c>
      <c r="D61" s="779" t="s">
        <v>615</v>
      </c>
      <c r="E61" s="750" t="s">
        <v>616</v>
      </c>
      <c r="F61" s="608">
        <f t="shared" si="0"/>
        <v>0</v>
      </c>
      <c r="K61" s="1809"/>
      <c r="O61" s="2093" t="s">
        <v>1739</v>
      </c>
      <c r="P61" s="2091" t="s">
        <v>1747</v>
      </c>
      <c r="Q61" s="2092" t="e">
        <f ca="1">L58</f>
        <v>#N/A</v>
      </c>
      <c r="R61" s="2095" t="s">
        <v>1748</v>
      </c>
    </row>
    <row r="62" spans="1:18" s="1783" customFormat="1" ht="16.2" thickBot="1">
      <c r="A62" s="780"/>
      <c r="B62" s="759"/>
      <c r="C62" s="67"/>
      <c r="D62" s="781"/>
      <c r="E62" s="750" t="s">
        <v>620</v>
      </c>
      <c r="F62" s="751" t="e">
        <f t="shared" ca="1" si="0"/>
        <v>#N/A</v>
      </c>
      <c r="I62" s="2579" t="s">
        <v>1720</v>
      </c>
      <c r="J62" s="2580" t="s">
        <v>1721</v>
      </c>
      <c r="K62" s="2580" t="s">
        <v>1722</v>
      </c>
      <c r="L62" s="2580" t="s">
        <v>1703</v>
      </c>
      <c r="M62" s="2581" t="s">
        <v>2204</v>
      </c>
      <c r="O62" s="2093" t="s">
        <v>1741</v>
      </c>
      <c r="P62" s="2091" t="str">
        <f>K59</f>
        <v>建筑物剩余耐用年限下的土地年期修正系数Kn</v>
      </c>
      <c r="Q62" s="2092" t="e">
        <f ca="1">L59</f>
        <v>#N/A</v>
      </c>
      <c r="R62" s="2095" t="s">
        <v>1750</v>
      </c>
    </row>
    <row r="63" spans="1:18" s="1783" customFormat="1" ht="16.2" thickBot="1">
      <c r="A63" s="1454" t="s">
        <v>1413</v>
      </c>
      <c r="B63" s="750" t="s">
        <v>622</v>
      </c>
      <c r="C63" s="51" t="e">
        <f ca="1">ROUND(C56*F63,2)</f>
        <v>#N/A</v>
      </c>
      <c r="D63" s="2245" t="s">
        <v>1331</v>
      </c>
      <c r="E63" s="750" t="s">
        <v>1275</v>
      </c>
      <c r="F63" s="782" t="e">
        <f t="shared" ca="1" si="0"/>
        <v>#N/A</v>
      </c>
      <c r="I63" s="2579" t="s">
        <v>1723</v>
      </c>
      <c r="J63" s="2580">
        <v>70</v>
      </c>
      <c r="K63" s="2580">
        <v>50</v>
      </c>
      <c r="L63" s="2580">
        <v>80</v>
      </c>
      <c r="M63" s="2582">
        <v>0.02</v>
      </c>
      <c r="O63" s="2090" t="s">
        <v>1744</v>
      </c>
      <c r="P63" s="2091" t="s">
        <v>1761</v>
      </c>
      <c r="Q63" s="2092" t="e">
        <f ca="1">Q57+Q58</f>
        <v>#N/A</v>
      </c>
      <c r="R63" s="2095" t="s">
        <v>1745</v>
      </c>
    </row>
    <row r="64" spans="1:18" s="1783" customFormat="1" ht="16.2" thickBot="1">
      <c r="A64" s="1454" t="s">
        <v>1414</v>
      </c>
      <c r="B64" s="750" t="s">
        <v>625</v>
      </c>
      <c r="C64" s="51" t="e">
        <f ca="1">ROUND(C55*F64,2)</f>
        <v>#N/A</v>
      </c>
      <c r="D64" s="2245" t="s">
        <v>626</v>
      </c>
      <c r="E64" s="750" t="s">
        <v>1275</v>
      </c>
      <c r="F64" s="783" t="e">
        <f t="shared" ca="1" si="0"/>
        <v>#N/A</v>
      </c>
      <c r="I64" s="2579" t="s">
        <v>1724</v>
      </c>
      <c r="J64" s="2580">
        <v>50</v>
      </c>
      <c r="K64" s="2580">
        <v>35</v>
      </c>
      <c r="L64" s="2580">
        <v>60</v>
      </c>
      <c r="M64" s="811">
        <v>0</v>
      </c>
      <c r="O64" s="2096" t="s">
        <v>1768</v>
      </c>
      <c r="P64" s="1405"/>
      <c r="Q64" s="1413"/>
      <c r="R64" s="1405"/>
    </row>
    <row r="65" spans="1:18" s="1783" customFormat="1" ht="16.2" thickBot="1">
      <c r="A65" s="1454" t="s">
        <v>1415</v>
      </c>
      <c r="B65" s="750" t="s">
        <v>612</v>
      </c>
      <c r="C65" s="51" t="e">
        <f ca="1">ROUND(C47*F65,2)</f>
        <v>#N/A</v>
      </c>
      <c r="D65" s="2245" t="s">
        <v>629</v>
      </c>
      <c r="E65" s="750" t="s">
        <v>1275</v>
      </c>
      <c r="F65" s="760" t="e">
        <f t="shared" ca="1" si="0"/>
        <v>#N/A</v>
      </c>
      <c r="I65" s="2579" t="s">
        <v>1725</v>
      </c>
      <c r="J65" s="2580">
        <v>40</v>
      </c>
      <c r="K65" s="2580">
        <v>30</v>
      </c>
      <c r="L65" s="2580">
        <v>50</v>
      </c>
      <c r="M65" s="2582">
        <v>0.02</v>
      </c>
      <c r="O65" s="2087" t="s">
        <v>1728</v>
      </c>
      <c r="P65" s="2088" t="s">
        <v>1729</v>
      </c>
      <c r="Q65" s="2089" t="s">
        <v>1730</v>
      </c>
      <c r="R65" s="2088" t="s">
        <v>1731</v>
      </c>
    </row>
    <row r="66" spans="1:18" s="1783" customFormat="1" ht="24.6" thickBot="1">
      <c r="A66" s="763" t="s">
        <v>1304</v>
      </c>
      <c r="B66" s="2485" t="s">
        <v>2098</v>
      </c>
      <c r="C66" s="765" t="e">
        <f ca="1">C47-C57</f>
        <v>#N/A</v>
      </c>
      <c r="D66" s="2244" t="s">
        <v>646</v>
      </c>
      <c r="E66" s="2243"/>
      <c r="F66" s="785"/>
      <c r="K66" s="1809"/>
      <c r="O66" s="2090" t="s">
        <v>1732</v>
      </c>
      <c r="P66" s="2091" t="s">
        <v>1762</v>
      </c>
      <c r="Q66" s="2092" t="e">
        <f ca="1">C40+J29</f>
        <v>#N/A</v>
      </c>
      <c r="R66" s="2091" t="s">
        <v>1733</v>
      </c>
    </row>
    <row r="67" spans="1:18" s="1783" customFormat="1" ht="19.2" thickBot="1">
      <c r="A67" s="747" t="s">
        <v>1308</v>
      </c>
      <c r="B67" s="1951" t="s">
        <v>1657</v>
      </c>
      <c r="C67" s="749" t="e">
        <f ca="1">ROUND(C66*(1-((1+F69)/(1+F67))^F68)/(F67-F69),0)</f>
        <v>#N/A</v>
      </c>
      <c r="D67" s="779" t="s">
        <v>650</v>
      </c>
      <c r="E67" s="750" t="s">
        <v>651</v>
      </c>
      <c r="F67" s="760" t="e">
        <f ca="1">F40</f>
        <v>#N/A</v>
      </c>
      <c r="K67" s="1809"/>
      <c r="O67" s="2090" t="s">
        <v>1734</v>
      </c>
      <c r="P67" s="2091" t="s">
        <v>1765</v>
      </c>
      <c r="Q67" s="2092" t="e">
        <f ca="1">L60</f>
        <v>#N/A</v>
      </c>
      <c r="R67" s="2095" t="s">
        <v>1767</v>
      </c>
    </row>
    <row r="68" spans="1:18" ht="20.399999999999999" thickBot="1">
      <c r="A68" s="752"/>
      <c r="B68" s="753"/>
      <c r="C68" s="754"/>
      <c r="D68" s="786" t="s">
        <v>1336</v>
      </c>
      <c r="E68" s="750" t="s">
        <v>1312</v>
      </c>
      <c r="F68" s="787" t="e">
        <f ca="1">F41</f>
        <v>#N/A</v>
      </c>
      <c r="O68" s="2093" t="s">
        <v>1736</v>
      </c>
      <c r="P68" s="2091" t="s">
        <v>1766</v>
      </c>
      <c r="Q68" s="2097" t="e">
        <f ca="1">L51</f>
        <v>#N/A</v>
      </c>
      <c r="R68" s="2098" t="s">
        <v>1769</v>
      </c>
    </row>
    <row r="69" spans="1:18" ht="19.2" thickBot="1">
      <c r="A69" s="756"/>
      <c r="B69" s="757"/>
      <c r="C69" s="758"/>
      <c r="D69" s="781"/>
      <c r="E69" s="750" t="s">
        <v>656</v>
      </c>
      <c r="F69" s="2065"/>
      <c r="O69" s="2093" t="s">
        <v>1737</v>
      </c>
      <c r="P69" s="2099" t="s">
        <v>1751</v>
      </c>
      <c r="Q69" s="2092" t="e">
        <f ca="1">ROUND(Q70-Q71*Q72,0)</f>
        <v>#N/A</v>
      </c>
      <c r="R69" s="2095"/>
    </row>
    <row r="70" spans="1:18" ht="16.2" thickBot="1">
      <c r="A70" s="788" t="s">
        <v>1315</v>
      </c>
      <c r="B70" s="789" t="s">
        <v>1338</v>
      </c>
      <c r="C70" s="790" t="e">
        <f ca="1">ROUND(C67*10000/F70,0)</f>
        <v>#N/A</v>
      </c>
      <c r="D70" s="791" t="s">
        <v>1339</v>
      </c>
      <c r="E70" s="792" t="s">
        <v>1340</v>
      </c>
      <c r="F70" s="793" t="e">
        <f ca="1">F43</f>
        <v>#N/A</v>
      </c>
      <c r="O70" s="2093" t="s">
        <v>1752</v>
      </c>
      <c r="P70" s="2099" t="s">
        <v>1753</v>
      </c>
      <c r="Q70" s="2092" t="e">
        <f ca="1">C39</f>
        <v>#N/A</v>
      </c>
      <c r="R70" s="2091" t="s">
        <v>1733</v>
      </c>
    </row>
    <row r="71" spans="1:18" ht="16.2" thickBot="1">
      <c r="O71" s="2093" t="s">
        <v>1754</v>
      </c>
      <c r="P71" s="2099" t="s">
        <v>1755</v>
      </c>
      <c r="Q71" s="2092" t="e">
        <f ca="1">C13</f>
        <v>#N/A</v>
      </c>
      <c r="R71" s="2091" t="s">
        <v>1733</v>
      </c>
    </row>
    <row r="72" spans="1:18" ht="16.2" thickBot="1">
      <c r="O72" s="2093" t="s">
        <v>1756</v>
      </c>
      <c r="P72" s="2099" t="s">
        <v>1757</v>
      </c>
      <c r="Q72" s="2094" t="e">
        <f ca="1">J36</f>
        <v>#N/A</v>
      </c>
      <c r="R72" s="2095"/>
    </row>
    <row r="73" spans="1:18" ht="16.2" thickBot="1">
      <c r="O73" s="2093" t="s">
        <v>1739</v>
      </c>
      <c r="P73" s="2091" t="s">
        <v>1746</v>
      </c>
      <c r="Q73" s="2094">
        <f>L52</f>
        <v>0</v>
      </c>
      <c r="R73" s="2095"/>
    </row>
    <row r="74" spans="1:18" ht="19.2" thickBot="1">
      <c r="O74" s="2093" t="s">
        <v>1741</v>
      </c>
      <c r="P74" s="2091" t="s">
        <v>1747</v>
      </c>
      <c r="Q74" s="2092" t="e">
        <f ca="1">L58</f>
        <v>#N/A</v>
      </c>
      <c r="R74" s="2095" t="s">
        <v>1748</v>
      </c>
    </row>
    <row r="75" spans="1:18" ht="16.2" thickBot="1">
      <c r="O75" s="2093" t="s">
        <v>1770</v>
      </c>
      <c r="P75" s="2091" t="str">
        <f>K59</f>
        <v>建筑物剩余耐用年限下的土地年期修正系数Kn</v>
      </c>
      <c r="Q75" s="2092" t="e">
        <f ca="1">L59</f>
        <v>#N/A</v>
      </c>
      <c r="R75" s="2095" t="s">
        <v>1750</v>
      </c>
    </row>
    <row r="76" spans="1:18" ht="16.2" thickBot="1">
      <c r="O76" s="2090" t="s">
        <v>1744</v>
      </c>
      <c r="P76" s="2091" t="s">
        <v>1761</v>
      </c>
      <c r="Q76" s="2092" t="e">
        <f ca="1">Q66+Q67</f>
        <v>#N/A</v>
      </c>
      <c r="R76" s="2095"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75" priority="7">
      <formula>$L$48&gt;$J$51</formula>
    </cfRule>
  </conditionalFormatting>
  <conditionalFormatting sqref="I55">
    <cfRule type="expression" dxfId="174" priority="8">
      <formula>$J$51&gt;$L$48</formula>
    </cfRule>
  </conditionalFormatting>
  <conditionalFormatting sqref="I60">
    <cfRule type="expression" dxfId="173" priority="6">
      <formula>$J$51&gt;$L$48</formula>
    </cfRule>
  </conditionalFormatting>
  <conditionalFormatting sqref="K60">
    <cfRule type="expression" dxfId="172" priority="5">
      <formula>$L$48&gt;$J$51</formula>
    </cfRule>
  </conditionalFormatting>
  <conditionalFormatting sqref="C11">
    <cfRule type="expression" dxfId="171" priority="4">
      <formula>$F$10="自定义"</formula>
    </cfRule>
  </conditionalFormatting>
  <conditionalFormatting sqref="J11">
    <cfRule type="expression" dxfId="170" priority="2">
      <formula>$M$10="自定义"</formula>
    </cfRule>
  </conditionalFormatting>
  <conditionalFormatting sqref="C53">
    <cfRule type="expression" dxfId="16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3958" t="s">
        <v>2300</v>
      </c>
      <c r="K2" s="3959"/>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3960" t="s">
        <v>2310</v>
      </c>
      <c r="K3" s="3961"/>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3960" t="s">
        <v>2312</v>
      </c>
      <c r="K4" s="3961"/>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3966" t="s">
        <v>2316</v>
      </c>
      <c r="B6" s="3967"/>
      <c r="C6" s="3968"/>
      <c r="D6" s="3098"/>
      <c r="E6" s="3099"/>
      <c r="F6" s="3100"/>
      <c r="G6" s="3101"/>
      <c r="H6" s="3076"/>
      <c r="I6" s="3077"/>
      <c r="J6" s="3952">
        <v>1</v>
      </c>
      <c r="K6" s="3953"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3952"/>
      <c r="K7" s="3954"/>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3969" t="s">
        <v>2330</v>
      </c>
      <c r="C8" s="3970"/>
      <c r="D8" s="3117" t="s">
        <v>2331</v>
      </c>
      <c r="E8" s="3118" t="s">
        <v>2332</v>
      </c>
      <c r="F8" s="3119" t="s">
        <v>2333</v>
      </c>
      <c r="G8" s="3120"/>
      <c r="H8" s="3076"/>
      <c r="I8" s="3077"/>
      <c r="J8" s="3952"/>
      <c r="K8" s="3954"/>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3969" t="s">
        <v>2336</v>
      </c>
      <c r="C9" s="3970"/>
      <c r="D9" s="3117">
        <f>ROUND(D6*E9,0)</f>
        <v>0</v>
      </c>
      <c r="E9" s="3121"/>
      <c r="F9" s="3122" t="s">
        <v>2337</v>
      </c>
      <c r="G9" s="3101"/>
      <c r="H9" s="3076"/>
      <c r="I9" s="3077"/>
      <c r="J9" s="3952"/>
      <c r="K9" s="3954"/>
      <c r="L9" s="3111" t="s">
        <v>2338</v>
      </c>
      <c r="M9" s="3112"/>
      <c r="N9" s="3088"/>
      <c r="O9" s="3113"/>
      <c r="P9" s="3113"/>
      <c r="Q9" s="3114">
        <v>365</v>
      </c>
      <c r="R9" s="3115">
        <f t="shared" si="0"/>
        <v>0</v>
      </c>
      <c r="S9" s="3068"/>
      <c r="T9" s="3068"/>
      <c r="U9" s="3068"/>
      <c r="V9" s="3077"/>
    </row>
    <row r="10" spans="1:22" s="3081" customFormat="1" ht="13.2" customHeight="1">
      <c r="A10" s="3116">
        <v>2</v>
      </c>
      <c r="B10" s="3969" t="s">
        <v>2339</v>
      </c>
      <c r="C10" s="3970"/>
      <c r="D10" s="3117">
        <f>ROUND(D6*E10,0)</f>
        <v>0</v>
      </c>
      <c r="E10" s="3121"/>
      <c r="F10" s="3122" t="s">
        <v>2340</v>
      </c>
      <c r="G10" s="3101"/>
      <c r="H10" s="3076"/>
      <c r="I10" s="3077"/>
      <c r="J10" s="3952"/>
      <c r="K10" s="3954"/>
      <c r="L10" s="3111" t="s">
        <v>2341</v>
      </c>
      <c r="M10" s="3112"/>
      <c r="N10" s="3088"/>
      <c r="O10" s="3113"/>
      <c r="P10" s="3113"/>
      <c r="Q10" s="3114">
        <v>365</v>
      </c>
      <c r="R10" s="3115">
        <f t="shared" si="0"/>
        <v>0</v>
      </c>
      <c r="S10" s="3068"/>
      <c r="T10" s="3068"/>
      <c r="U10" s="3068"/>
      <c r="V10" s="3077"/>
    </row>
    <row r="11" spans="1:22" s="3081" customFormat="1" ht="13.2" customHeight="1">
      <c r="A11" s="3116">
        <v>3</v>
      </c>
      <c r="B11" s="3969" t="s">
        <v>2342</v>
      </c>
      <c r="C11" s="3970"/>
      <c r="D11" s="3117">
        <f>D12+D14+D15+D16</f>
        <v>0</v>
      </c>
      <c r="E11" s="3123" t="e">
        <f>D11/D6</f>
        <v>#DIV/0!</v>
      </c>
      <c r="F11" s="3119"/>
      <c r="G11" s="3120"/>
      <c r="H11" s="3076"/>
      <c r="I11" s="3077"/>
      <c r="J11" s="3952"/>
      <c r="K11" s="3954"/>
      <c r="L11" s="3111" t="s">
        <v>2343</v>
      </c>
      <c r="M11" s="3112"/>
      <c r="N11" s="3088"/>
      <c r="O11" s="3113"/>
      <c r="P11" s="3113"/>
      <c r="Q11" s="3114">
        <v>365</v>
      </c>
      <c r="R11" s="3115">
        <f t="shared" si="0"/>
        <v>0</v>
      </c>
      <c r="S11" s="3068"/>
      <c r="T11" s="3068"/>
      <c r="U11" s="3068"/>
      <c r="V11" s="3077"/>
    </row>
    <row r="12" spans="1:22" s="3081" customFormat="1" ht="13.2" customHeight="1">
      <c r="A12" s="3124" t="s">
        <v>2344</v>
      </c>
      <c r="B12" s="3962" t="s">
        <v>2345</v>
      </c>
      <c r="C12" s="3963"/>
      <c r="D12" s="3125">
        <f>ROUND(D13*1.2%*(1-30%),0)</f>
        <v>0</v>
      </c>
      <c r="E12" s="3126">
        <v>1.2E-2</v>
      </c>
      <c r="F12" s="3119" t="s">
        <v>2346</v>
      </c>
      <c r="G12" s="3120"/>
      <c r="H12" s="3076"/>
      <c r="I12" s="3077"/>
      <c r="J12" s="3952"/>
      <c r="K12" s="3954"/>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3952"/>
      <c r="K13" s="3954"/>
      <c r="L13" s="3111" t="s">
        <v>2349</v>
      </c>
      <c r="M13" s="3112"/>
      <c r="N13" s="3088"/>
      <c r="O13" s="3113"/>
      <c r="P13" s="3113"/>
      <c r="Q13" s="3114">
        <v>365</v>
      </c>
      <c r="R13" s="3115">
        <f t="shared" si="0"/>
        <v>0</v>
      </c>
      <c r="S13" s="3068"/>
      <c r="T13" s="3068"/>
      <c r="U13" s="3068"/>
      <c r="V13" s="3077"/>
    </row>
    <row r="14" spans="1:22" s="3081" customFormat="1" ht="13.2" customHeight="1">
      <c r="A14" s="3124" t="s">
        <v>2350</v>
      </c>
      <c r="B14" s="3962" t="s">
        <v>2351</v>
      </c>
      <c r="C14" s="3963"/>
      <c r="D14" s="3125">
        <f>ROUND(E14*B5/10000,0)</f>
        <v>0</v>
      </c>
      <c r="E14" s="3114"/>
      <c r="F14" s="3119" t="s">
        <v>2352</v>
      </c>
      <c r="G14" s="3120"/>
      <c r="H14" s="3076"/>
      <c r="I14" s="3077"/>
      <c r="J14" s="3952"/>
      <c r="K14" s="3955"/>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3962" t="s">
        <v>2355</v>
      </c>
      <c r="C15" s="3963"/>
      <c r="D15" s="3125">
        <f>ROUND(D6*E15,0)</f>
        <v>0</v>
      </c>
      <c r="E15" s="3126">
        <v>5.5E-2</v>
      </c>
      <c r="F15" s="3119" t="s">
        <v>2356</v>
      </c>
      <c r="G15" s="3101"/>
      <c r="H15" s="3076"/>
      <c r="I15" s="3077"/>
      <c r="J15" s="3952">
        <v>2</v>
      </c>
      <c r="K15" s="3953"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3962" t="s">
        <v>2366</v>
      </c>
      <c r="C16" s="3963"/>
      <c r="D16" s="3136">
        <f>D6*E16</f>
        <v>0</v>
      </c>
      <c r="E16" s="3137"/>
      <c r="F16" s="3122" t="s">
        <v>2367</v>
      </c>
      <c r="G16" s="3101"/>
      <c r="H16" s="3076"/>
      <c r="I16" s="3077"/>
      <c r="J16" s="3952"/>
      <c r="K16" s="3954"/>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3964" t="s">
        <v>2369</v>
      </c>
      <c r="C17" s="3965"/>
      <c r="D17" s="3139">
        <f>ROUND(D6*E17,0)</f>
        <v>0</v>
      </c>
      <c r="E17" s="3140"/>
      <c r="F17" s="3141" t="s">
        <v>2370</v>
      </c>
      <c r="G17" s="3101"/>
      <c r="H17" s="3076"/>
      <c r="I17" s="3077"/>
      <c r="J17" s="3952"/>
      <c r="K17" s="3954"/>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3952"/>
      <c r="K18" s="3954"/>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3952"/>
      <c r="K19" s="3955"/>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3952">
        <v>3</v>
      </c>
      <c r="K20" s="3953"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3952"/>
      <c r="K21" s="3954"/>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3952"/>
      <c r="K22" s="3954"/>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3952"/>
      <c r="K23" s="3954"/>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3952"/>
      <c r="K24" s="3955"/>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3956">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3957"/>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3958" t="s">
        <v>2412</v>
      </c>
      <c r="K32" s="3959"/>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3960" t="s">
        <v>2416</v>
      </c>
      <c r="K33" s="3961"/>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3960" t="s">
        <v>2418</v>
      </c>
      <c r="K34" s="3961"/>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3952">
        <v>1</v>
      </c>
      <c r="K36" s="3953"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3952"/>
      <c r="K37" s="3954"/>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3952"/>
      <c r="K38" s="3954"/>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3952"/>
      <c r="K39" s="3954"/>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3952"/>
      <c r="K40" s="3955"/>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3956">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3957"/>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zoomScale="70" zoomScaleNormal="50" zoomScaleSheetLayoutView="70" workbookViewId="0">
      <selection activeCell="N43" sqref="N43"/>
    </sheetView>
  </sheetViews>
  <sheetFormatPr defaultColWidth="9" defaultRowHeight="13.8"/>
  <cols>
    <col min="1" max="1" width="13.33203125" style="4106" customWidth="1"/>
    <col min="2" max="2" width="15.77734375" style="4106" customWidth="1"/>
    <col min="3" max="3" width="17" style="4106" customWidth="1"/>
    <col min="4" max="4" width="12.21875" style="4106" customWidth="1"/>
    <col min="5" max="5" width="14.33203125" style="4106" customWidth="1"/>
    <col min="6" max="6" width="12.21875" style="4106" customWidth="1"/>
    <col min="7" max="7" width="14.44140625" style="4106" customWidth="1"/>
    <col min="8" max="8" width="12.21875" style="4106" customWidth="1"/>
    <col min="9" max="9" width="17.44140625" style="4106" customWidth="1"/>
    <col min="10" max="10" width="12.21875" style="4106" customWidth="1"/>
    <col min="11" max="11" width="12.21875" style="4477" customWidth="1"/>
    <col min="12" max="12" width="12.21875" style="4478" customWidth="1"/>
    <col min="13" max="15" width="12.21875" style="4106" customWidth="1"/>
    <col min="16" max="16" width="4.77734375" style="4106" customWidth="1"/>
    <col min="17" max="17" width="19.44140625" style="4106" customWidth="1"/>
    <col min="18" max="22" width="6.109375" style="4106" customWidth="1"/>
    <col min="23" max="23" width="5.77734375" style="4106" customWidth="1"/>
    <col min="24" max="24" width="4.21875" style="4106" customWidth="1"/>
    <col min="25" max="25" width="3.44140625" style="4106" customWidth="1"/>
    <col min="26" max="26" width="19.77734375" style="4106" customWidth="1"/>
    <col min="27" max="28" width="9.33203125" style="4106" customWidth="1"/>
    <col min="29" max="16384" width="9" style="4106"/>
  </cols>
  <sheetData>
    <row r="1" spans="1:29" s="4075" customFormat="1" ht="28.5" customHeight="1">
      <c r="A1" s="4064" t="s">
        <v>465</v>
      </c>
      <c r="B1" s="4065"/>
      <c r="C1" s="4066" t="s">
        <v>727</v>
      </c>
      <c r="D1" s="4067" t="s">
        <v>3648</v>
      </c>
      <c r="E1" s="4068"/>
      <c r="F1" s="4069"/>
      <c r="G1" s="4068"/>
      <c r="H1" s="4068"/>
      <c r="I1" s="4068"/>
      <c r="J1" s="4068"/>
      <c r="K1" s="4070"/>
      <c r="L1" s="4071"/>
      <c r="M1" s="4072"/>
      <c r="N1" s="4072"/>
      <c r="O1" s="4072"/>
      <c r="P1" s="4073"/>
      <c r="Q1" s="4073"/>
      <c r="R1" s="4073"/>
      <c r="S1" s="4073"/>
      <c r="T1" s="4073"/>
      <c r="U1" s="4073"/>
      <c r="V1" s="4073"/>
      <c r="W1" s="4073"/>
      <c r="X1" s="4073"/>
      <c r="Y1" s="4073"/>
      <c r="Z1" s="4073"/>
      <c r="AA1" s="4073"/>
      <c r="AB1" s="4073"/>
      <c r="AC1" s="4074"/>
    </row>
    <row r="2" spans="1:29" s="4075" customFormat="1" ht="28.5" customHeight="1">
      <c r="A2" s="410" t="s">
        <v>3630</v>
      </c>
      <c r="B2" s="4076">
        <f>F62</f>
        <v>8064</v>
      </c>
      <c r="C2" s="4077"/>
      <c r="D2" s="4077"/>
      <c r="E2" s="4077"/>
      <c r="F2" s="4078"/>
      <c r="G2" s="4077"/>
      <c r="H2" s="4077"/>
      <c r="I2" s="4077"/>
      <c r="J2" s="4077"/>
      <c r="K2" s="4079"/>
      <c r="L2" s="4080"/>
      <c r="M2" s="4073"/>
      <c r="N2" s="4073"/>
      <c r="O2" s="4073"/>
      <c r="P2" s="4073"/>
      <c r="Q2" s="4073"/>
      <c r="R2" s="4073"/>
      <c r="S2" s="4073"/>
      <c r="T2" s="4073"/>
      <c r="U2" s="4073"/>
      <c r="V2" s="4073"/>
      <c r="W2" s="4073"/>
      <c r="X2" s="4073"/>
      <c r="Y2" s="4073"/>
      <c r="Z2" s="4073"/>
      <c r="AA2" s="4073"/>
      <c r="AB2" s="4073"/>
      <c r="AC2" s="4074"/>
    </row>
    <row r="3" spans="1:29" s="4075" customFormat="1" ht="28.5" customHeight="1">
      <c r="A3" s="1238" t="s">
        <v>3649</v>
      </c>
      <c r="B3" s="4081">
        <f>ROUND(B2*10000/'[4]数据-汇总表'!E3,0)</f>
        <v>7509</v>
      </c>
      <c r="C3" s="4082"/>
      <c r="D3" s="4082"/>
      <c r="E3" s="4082"/>
      <c r="F3" s="4082"/>
      <c r="G3" s="4077"/>
      <c r="H3" s="4077"/>
      <c r="I3" s="4077"/>
      <c r="J3" s="4077"/>
      <c r="K3" s="4079"/>
      <c r="L3" s="4080"/>
      <c r="M3" s="4073"/>
      <c r="N3" s="4073"/>
      <c r="O3" s="4073"/>
      <c r="P3" s="4073"/>
      <c r="Q3" s="4073"/>
      <c r="R3" s="4073"/>
      <c r="S3" s="4073"/>
      <c r="T3" s="4073"/>
      <c r="U3" s="4073"/>
      <c r="V3" s="4073"/>
      <c r="W3" s="4073"/>
      <c r="X3" s="4073"/>
      <c r="Y3" s="4073"/>
      <c r="Z3" s="4073"/>
      <c r="AA3" s="4073"/>
      <c r="AB3" s="4083"/>
      <c r="AC3" s="4083"/>
    </row>
    <row r="4" spans="1:29" s="4075" customFormat="1" ht="28.5" customHeight="1">
      <c r="A4" s="4084" t="s">
        <v>3650</v>
      </c>
      <c r="B4" s="4085">
        <f>IF(B43="单位面积地价",C45,ROUND(B2*10000/'[4]数据-汇总表'!D3,0))</f>
        <v>7509</v>
      </c>
      <c r="C4" s="4082"/>
      <c r="D4" s="4082"/>
      <c r="E4" s="4082"/>
      <c r="F4" s="4082"/>
      <c r="G4" s="4077"/>
      <c r="H4" s="4077"/>
      <c r="I4" s="4077"/>
      <c r="J4" s="4077"/>
      <c r="K4" s="4079"/>
      <c r="L4" s="4080"/>
      <c r="M4" s="4073"/>
      <c r="N4" s="4073"/>
      <c r="O4" s="4073"/>
      <c r="P4" s="4073"/>
      <c r="Q4" s="4073"/>
      <c r="R4" s="4073"/>
      <c r="S4" s="4073"/>
      <c r="T4" s="4073"/>
      <c r="U4" s="4073"/>
      <c r="V4" s="4073"/>
      <c r="W4" s="4073"/>
      <c r="X4" s="4073"/>
      <c r="Y4" s="4073"/>
      <c r="Z4" s="4073"/>
      <c r="AA4" s="4073"/>
      <c r="AB4" s="4073"/>
      <c r="AC4" s="4083"/>
    </row>
    <row r="5" spans="1:29" s="4075" customFormat="1" ht="28.5" customHeight="1" thickBot="1">
      <c r="A5" s="416"/>
      <c r="B5" s="4086">
        <f>ROUND(B2/('[4]数据-汇总表'!D3/666.67),0)</f>
        <v>501</v>
      </c>
      <c r="C5" s="4087" t="s">
        <v>3651</v>
      </c>
      <c r="D5" s="4082"/>
      <c r="E5" s="4082"/>
      <c r="F5" s="4082"/>
      <c r="G5" s="4077"/>
      <c r="H5" s="4077"/>
      <c r="I5" s="4077"/>
      <c r="J5" s="4077"/>
      <c r="K5" s="4079"/>
      <c r="L5" s="4080"/>
      <c r="M5" s="4073"/>
      <c r="N5" s="4073"/>
      <c r="O5" s="4073"/>
      <c r="P5" s="4073"/>
      <c r="Q5" s="4073"/>
      <c r="R5" s="4073"/>
      <c r="S5" s="4073"/>
      <c r="T5" s="4073"/>
      <c r="U5" s="4073"/>
      <c r="V5" s="4073"/>
      <c r="W5" s="4073"/>
      <c r="X5" s="4073"/>
      <c r="Y5" s="4073"/>
      <c r="Z5" s="4073"/>
      <c r="AA5" s="4073"/>
      <c r="AB5" s="4088"/>
      <c r="AC5" s="4083"/>
    </row>
    <row r="6" spans="1:29" ht="14.4">
      <c r="A6" s="4089" t="s">
        <v>470</v>
      </c>
      <c r="B6" s="4090"/>
      <c r="C6" s="4091" t="s">
        <v>471</v>
      </c>
      <c r="D6" s="4092"/>
      <c r="E6" s="4093" t="s">
        <v>472</v>
      </c>
      <c r="F6" s="4094"/>
      <c r="G6" s="4091" t="s">
        <v>473</v>
      </c>
      <c r="H6" s="4092"/>
      <c r="I6" s="4091" t="s">
        <v>474</v>
      </c>
      <c r="J6" s="4092"/>
      <c r="K6" s="4095" t="s">
        <v>475</v>
      </c>
      <c r="L6" s="4096"/>
      <c r="M6" s="4097"/>
      <c r="N6" s="4097"/>
      <c r="O6" s="4097"/>
      <c r="P6" s="4098" t="s">
        <v>476</v>
      </c>
      <c r="Q6" s="4099"/>
      <c r="R6" s="4100" t="s">
        <v>472</v>
      </c>
      <c r="S6" s="4101"/>
      <c r="T6" s="4100" t="s">
        <v>473</v>
      </c>
      <c r="U6" s="4101"/>
      <c r="V6" s="4102" t="s">
        <v>474</v>
      </c>
      <c r="W6" s="4102"/>
      <c r="X6" s="4103"/>
      <c r="Y6" s="4100" t="s">
        <v>476</v>
      </c>
      <c r="Z6" s="4101"/>
      <c r="AA6" s="4104" t="s">
        <v>472</v>
      </c>
      <c r="AB6" s="4105" t="s">
        <v>473</v>
      </c>
      <c r="AC6" s="4104" t="s">
        <v>474</v>
      </c>
    </row>
    <row r="7" spans="1:29">
      <c r="A7" s="4107"/>
      <c r="B7" s="4108"/>
      <c r="C7" s="4109" t="s">
        <v>2191</v>
      </c>
      <c r="D7" s="4110"/>
      <c r="E7" s="4111" t="str">
        <f>'案例（企业）'!B3</f>
        <v>海淀区清河安宁庄东路1号</v>
      </c>
      <c r="F7" s="4112"/>
      <c r="G7" s="4109" t="str">
        <f>'案例（企业）'!B4</f>
        <v>丰台区南四环中路10号</v>
      </c>
      <c r="H7" s="4110"/>
      <c r="I7" s="4109" t="str">
        <f>'案例（企业）'!B5</f>
        <v>顺义区南法信地区刘家河村顺余东路1号</v>
      </c>
      <c r="J7" s="4110"/>
      <c r="K7" s="4095"/>
      <c r="L7" s="4096"/>
      <c r="M7" s="4097"/>
      <c r="N7" s="4097"/>
      <c r="O7" s="4097"/>
      <c r="P7" s="4113"/>
      <c r="Q7" s="4114"/>
      <c r="R7" s="4115"/>
      <c r="S7" s="4116"/>
      <c r="T7" s="4115"/>
      <c r="U7" s="4116"/>
      <c r="V7" s="4102"/>
      <c r="W7" s="4102"/>
      <c r="X7" s="4103"/>
      <c r="Y7" s="4115"/>
      <c r="Z7" s="4116"/>
      <c r="AA7" s="4105"/>
      <c r="AB7" s="4105"/>
      <c r="AC7" s="4105"/>
    </row>
    <row r="8" spans="1:29" ht="15" thickBot="1">
      <c r="A8" s="4117"/>
      <c r="B8" s="4118"/>
      <c r="C8" s="4119" t="s">
        <v>2195</v>
      </c>
      <c r="D8" s="4120"/>
      <c r="E8" s="4121" t="s">
        <v>2195</v>
      </c>
      <c r="F8" s="4122"/>
      <c r="G8" s="4119" t="s">
        <v>2195</v>
      </c>
      <c r="H8" s="4120"/>
      <c r="I8" s="4119" t="s">
        <v>2195</v>
      </c>
      <c r="J8" s="4120"/>
      <c r="K8" s="4095" t="s">
        <v>477</v>
      </c>
      <c r="L8" s="4096"/>
      <c r="M8" s="4097"/>
      <c r="N8" s="4097"/>
      <c r="O8" s="4097"/>
      <c r="P8" s="4123"/>
      <c r="Q8" s="4124"/>
      <c r="R8" s="4115"/>
      <c r="S8" s="4116"/>
      <c r="T8" s="4125"/>
      <c r="U8" s="4126"/>
      <c r="V8" s="4102"/>
      <c r="W8" s="4102"/>
      <c r="X8" s="4103"/>
      <c r="Y8" s="4125"/>
      <c r="Z8" s="4126"/>
      <c r="AA8" s="4127"/>
      <c r="AB8" s="4127"/>
      <c r="AC8" s="4127"/>
    </row>
    <row r="9" spans="1:29" s="4145" customFormat="1" ht="15" thickBot="1">
      <c r="A9" s="4128"/>
      <c r="B9" s="4129" t="s">
        <v>478</v>
      </c>
      <c r="C9" s="4130">
        <f>项目基本情况!D3</f>
        <v>45506</v>
      </c>
      <c r="D9" s="4131">
        <v>100</v>
      </c>
      <c r="E9" s="4132">
        <f>'案例（企业）'!L3</f>
        <v>43410</v>
      </c>
      <c r="F9" s="4133">
        <f>SUMIF(66:66,YEAR(E9)&amp;"-"&amp;INT((MONTH(E9)+2)/3),67:67)</f>
        <v>88.4</v>
      </c>
      <c r="G9" s="4134">
        <f>'案例（企业）'!L4</f>
        <v>43349</v>
      </c>
      <c r="H9" s="4131">
        <f>SUMIF(66:66,YEAR(G9)&amp;"-"&amp;INT((MONTH(G9)+2)/3),67:67)</f>
        <v>86.89</v>
      </c>
      <c r="I9" s="4134">
        <f>'案例（企业）'!L6</f>
        <v>45247</v>
      </c>
      <c r="J9" s="4131">
        <f>SUMIF(66:66,YEAR(I9)&amp;"-"&amp;INT((MONTH(I9)+2)/3),67:67)</f>
        <v>98.14</v>
      </c>
      <c r="K9" s="4135"/>
      <c r="L9" s="4136"/>
      <c r="M9" s="4137"/>
      <c r="N9" s="4137"/>
      <c r="O9" s="4137"/>
      <c r="P9" s="4138" t="s">
        <v>479</v>
      </c>
      <c r="Q9" s="4139"/>
      <c r="R9" s="4140" t="s">
        <v>7</v>
      </c>
      <c r="S9" s="4141">
        <f t="shared" ref="S9:S17" si="0">F9</f>
        <v>88.4</v>
      </c>
      <c r="T9" s="4140" t="s">
        <v>7</v>
      </c>
      <c r="U9" s="4141">
        <f t="shared" ref="U9:U17" si="1">H9</f>
        <v>86.89</v>
      </c>
      <c r="V9" s="4140" t="s">
        <v>7</v>
      </c>
      <c r="W9" s="4141">
        <f t="shared" ref="W9:W17" si="2">J9</f>
        <v>98.14</v>
      </c>
      <c r="X9" s="4142"/>
      <c r="Y9" s="4138" t="s">
        <v>479</v>
      </c>
      <c r="Z9" s="4143"/>
      <c r="AA9" s="4144">
        <f>D9/F9</f>
        <v>1.1312217194570136</v>
      </c>
      <c r="AB9" s="4144">
        <f>D9/H9</f>
        <v>1.1508804235239958</v>
      </c>
      <c r="AC9" s="4144">
        <f>D9/J9</f>
        <v>1.0189525168127165</v>
      </c>
    </row>
    <row r="10" spans="1:29" s="4145" customFormat="1" ht="15" thickBot="1">
      <c r="A10" s="4146"/>
      <c r="B10" s="4147" t="s">
        <v>480</v>
      </c>
      <c r="C10" s="4148" t="s">
        <v>481</v>
      </c>
      <c r="D10" s="4131">
        <v>100</v>
      </c>
      <c r="E10" s="4148" t="s">
        <v>3459</v>
      </c>
      <c r="F10" s="4133">
        <f>SUMIF(69:69,E10,70:70)-SUMIF(69:69,C10,70:70)+100</f>
        <v>100</v>
      </c>
      <c r="G10" s="4148" t="s">
        <v>3459</v>
      </c>
      <c r="H10" s="4131">
        <f>SUMIF(69:69,G10,70:70)-SUMIF(69:69,C10,70:70)+100</f>
        <v>100</v>
      </c>
      <c r="I10" s="4148" t="s">
        <v>3459</v>
      </c>
      <c r="J10" s="4131">
        <f>SUMIF(69:69,I10,70:70)-SUMIF(69:69,C10,70:70)+100</f>
        <v>100</v>
      </c>
      <c r="K10" s="4135"/>
      <c r="L10" s="4136"/>
      <c r="M10" s="4137"/>
      <c r="N10" s="4137"/>
      <c r="O10" s="4137"/>
      <c r="P10" s="4138" t="s">
        <v>482</v>
      </c>
      <c r="Q10" s="4143"/>
      <c r="R10" s="4140" t="s">
        <v>7</v>
      </c>
      <c r="S10" s="4141">
        <f t="shared" si="0"/>
        <v>100</v>
      </c>
      <c r="T10" s="4140" t="s">
        <v>7</v>
      </c>
      <c r="U10" s="4141">
        <f t="shared" si="1"/>
        <v>100</v>
      </c>
      <c r="V10" s="4140" t="s">
        <v>7</v>
      </c>
      <c r="W10" s="4141">
        <f t="shared" si="2"/>
        <v>100</v>
      </c>
      <c r="X10" s="4142"/>
      <c r="Y10" s="4138" t="s">
        <v>482</v>
      </c>
      <c r="Z10" s="4143"/>
      <c r="AA10" s="4144">
        <f t="shared" ref="AA10:AA42" si="3">D10/F10</f>
        <v>1</v>
      </c>
      <c r="AB10" s="4144">
        <f t="shared" ref="AB10:AB42" si="4">D10/H10</f>
        <v>1</v>
      </c>
      <c r="AC10" s="4144">
        <f t="shared" ref="AC10:AC42" si="5">D10/J10</f>
        <v>1</v>
      </c>
    </row>
    <row r="11" spans="1:29" s="4145" customFormat="1" ht="14.4">
      <c r="A11" s="4149"/>
      <c r="B11" s="4150" t="s">
        <v>2037</v>
      </c>
      <c r="C11" s="4151" t="s">
        <v>904</v>
      </c>
      <c r="D11" s="4152">
        <v>100</v>
      </c>
      <c r="E11" s="4151" t="s">
        <v>904</v>
      </c>
      <c r="F11" s="4152">
        <f>SUMIF(71:71,E11,72:72)-SUMIF(71:71,C11,72:72)+100</f>
        <v>100</v>
      </c>
      <c r="G11" s="4151" t="s">
        <v>904</v>
      </c>
      <c r="H11" s="4152">
        <f>SUMIF(71:71,G11,72:72)-SUMIF(71:71,C11,72:72)+100</f>
        <v>100</v>
      </c>
      <c r="I11" s="4151" t="s">
        <v>904</v>
      </c>
      <c r="J11" s="4152">
        <f>SUMIF(71:71,I11,72:72)-SUMIF(71:71,C11,72:72)+100</f>
        <v>100</v>
      </c>
      <c r="K11" s="4135"/>
      <c r="L11" s="4136"/>
      <c r="M11" s="4137"/>
      <c r="N11" s="4137"/>
      <c r="O11" s="4153"/>
      <c r="P11" s="4154" t="s">
        <v>484</v>
      </c>
      <c r="Q11" s="4155" t="str">
        <f t="shared" ref="Q11:Q17" si="6">B11</f>
        <v>用途</v>
      </c>
      <c r="R11" s="4140" t="s">
        <v>7</v>
      </c>
      <c r="S11" s="4141">
        <f t="shared" si="0"/>
        <v>100</v>
      </c>
      <c r="T11" s="4140" t="s">
        <v>7</v>
      </c>
      <c r="U11" s="4141">
        <f t="shared" si="1"/>
        <v>100</v>
      </c>
      <c r="V11" s="4140" t="s">
        <v>7</v>
      </c>
      <c r="W11" s="4141">
        <f t="shared" si="2"/>
        <v>100</v>
      </c>
      <c r="X11" s="4142"/>
      <c r="Y11" s="4156" t="s">
        <v>485</v>
      </c>
      <c r="Z11" s="4157" t="str">
        <f t="shared" ref="Z11:Z17" si="7">Q11</f>
        <v>用途</v>
      </c>
      <c r="AA11" s="4144">
        <f t="shared" si="3"/>
        <v>1</v>
      </c>
      <c r="AB11" s="4144">
        <f t="shared" si="4"/>
        <v>1</v>
      </c>
      <c r="AC11" s="4144">
        <f t="shared" si="5"/>
        <v>1</v>
      </c>
    </row>
    <row r="12" spans="1:29" s="4165" customFormat="1" ht="28.8">
      <c r="A12" s="4158"/>
      <c r="B12" s="4147" t="s">
        <v>2038</v>
      </c>
      <c r="C12" s="4159"/>
      <c r="D12" s="4160">
        <v>100</v>
      </c>
      <c r="E12" s="4159"/>
      <c r="F12" s="4160">
        <f>ROUND(100/'[4]数据-取费表'!G16,0)</f>
        <v>100</v>
      </c>
      <c r="G12" s="4159"/>
      <c r="H12" s="4160">
        <f>ROUND(100/'[4]数据-取费表'!G16,0)</f>
        <v>100</v>
      </c>
      <c r="I12" s="4159"/>
      <c r="J12" s="4160">
        <f>ROUND(100/'[4]数据-取费表'!G16,0)</f>
        <v>100</v>
      </c>
      <c r="K12" s="4161"/>
      <c r="L12" s="4162"/>
      <c r="M12" s="4163"/>
      <c r="N12" s="4163"/>
      <c r="O12" s="4164"/>
      <c r="P12" s="4154"/>
      <c r="Q12" s="4155" t="str">
        <f t="shared" si="6"/>
        <v>土地使用年限（年）</v>
      </c>
      <c r="R12" s="4140" t="s">
        <v>7</v>
      </c>
      <c r="S12" s="4141">
        <f t="shared" si="0"/>
        <v>100</v>
      </c>
      <c r="T12" s="4140" t="s">
        <v>7</v>
      </c>
      <c r="U12" s="4141">
        <f t="shared" si="1"/>
        <v>100</v>
      </c>
      <c r="V12" s="4140" t="s">
        <v>7</v>
      </c>
      <c r="W12" s="4141">
        <f t="shared" si="2"/>
        <v>100</v>
      </c>
      <c r="X12" s="4142"/>
      <c r="Y12" s="4156"/>
      <c r="Z12" s="4157" t="str">
        <f t="shared" si="7"/>
        <v>土地使用年限（年）</v>
      </c>
      <c r="AA12" s="4144">
        <f t="shared" si="3"/>
        <v>1</v>
      </c>
      <c r="AB12" s="4144">
        <f t="shared" si="4"/>
        <v>1</v>
      </c>
      <c r="AC12" s="4144">
        <f t="shared" si="5"/>
        <v>1</v>
      </c>
    </row>
    <row r="13" spans="1:29" ht="15">
      <c r="A13" s="4166"/>
      <c r="B13" s="4147" t="s">
        <v>2039</v>
      </c>
      <c r="C13" s="4167">
        <v>1</v>
      </c>
      <c r="D13" s="4160">
        <v>100</v>
      </c>
      <c r="E13" s="4167">
        <v>1</v>
      </c>
      <c r="F13" s="4160">
        <f>LOOKUP(E13,76:76,77:77)-LOOKUP(C13,76:76,77:77)+100</f>
        <v>100</v>
      </c>
      <c r="G13" s="4168">
        <v>1</v>
      </c>
      <c r="H13" s="4160">
        <f>LOOKUP(G13,76:76,77:77)-LOOKUP(C13,76:76,77:77)+100</f>
        <v>100</v>
      </c>
      <c r="I13" s="4167">
        <v>1</v>
      </c>
      <c r="J13" s="4160">
        <f>LOOKUP(I13,76:76,77:77)-LOOKUP(C13,76:76,77:77)+100</f>
        <v>100</v>
      </c>
      <c r="K13" s="4169"/>
      <c r="L13" s="4170"/>
      <c r="M13" s="4097"/>
      <c r="N13" s="4097"/>
      <c r="O13" s="4171"/>
      <c r="P13" s="4154"/>
      <c r="Q13" s="4155" t="str">
        <f t="shared" si="6"/>
        <v>容积率</v>
      </c>
      <c r="R13" s="4140" t="s">
        <v>7</v>
      </c>
      <c r="S13" s="4141">
        <f t="shared" si="0"/>
        <v>100</v>
      </c>
      <c r="T13" s="4140" t="s">
        <v>7</v>
      </c>
      <c r="U13" s="4141">
        <f t="shared" si="1"/>
        <v>100</v>
      </c>
      <c r="V13" s="4140" t="s">
        <v>7</v>
      </c>
      <c r="W13" s="4141">
        <f t="shared" si="2"/>
        <v>100</v>
      </c>
      <c r="X13" s="4142"/>
      <c r="Y13" s="4156"/>
      <c r="Z13" s="4157" t="str">
        <f t="shared" si="7"/>
        <v>容积率</v>
      </c>
      <c r="AA13" s="4144">
        <f t="shared" si="3"/>
        <v>1</v>
      </c>
      <c r="AB13" s="4144">
        <f t="shared" si="4"/>
        <v>1</v>
      </c>
      <c r="AC13" s="4144">
        <f t="shared" si="5"/>
        <v>1</v>
      </c>
    </row>
    <row r="14" spans="1:29" s="4145" customFormat="1" ht="15">
      <c r="A14" s="4172"/>
      <c r="B14" s="4173">
        <v>111</v>
      </c>
      <c r="C14" s="4159"/>
      <c r="D14" s="4174">
        <v>100</v>
      </c>
      <c r="E14" s="4175"/>
      <c r="F14" s="4160">
        <f>SUMIF(78:78,E14,79:79)-SUMIF(78:78,C14,79:79)+100</f>
        <v>100</v>
      </c>
      <c r="G14" s="4176"/>
      <c r="H14" s="4160">
        <f>SUMIF(78:78,G14,79:79)-SUMIF(78:78,C14,79:79)+100</f>
        <v>100</v>
      </c>
      <c r="I14" s="4175"/>
      <c r="J14" s="4160">
        <f>SUMIF(78:78,I14,79:79)-SUMIF(78:78,C14,79:79)+100</f>
        <v>100</v>
      </c>
      <c r="K14" s="4161"/>
      <c r="L14" s="4136"/>
      <c r="M14" s="4137"/>
      <c r="N14" s="4137"/>
      <c r="O14" s="4153"/>
      <c r="P14" s="4154"/>
      <c r="Q14" s="4155">
        <f t="shared" si="6"/>
        <v>111</v>
      </c>
      <c r="R14" s="4140" t="s">
        <v>7</v>
      </c>
      <c r="S14" s="4141">
        <f t="shared" si="0"/>
        <v>100</v>
      </c>
      <c r="T14" s="4140" t="s">
        <v>7</v>
      </c>
      <c r="U14" s="4141">
        <f t="shared" si="1"/>
        <v>100</v>
      </c>
      <c r="V14" s="4140" t="s">
        <v>7</v>
      </c>
      <c r="W14" s="4141">
        <f t="shared" si="2"/>
        <v>100</v>
      </c>
      <c r="X14" s="4142"/>
      <c r="Y14" s="4156"/>
      <c r="Z14" s="4157">
        <f t="shared" si="7"/>
        <v>111</v>
      </c>
      <c r="AA14" s="4144">
        <f>D14/F14</f>
        <v>1</v>
      </c>
      <c r="AB14" s="4144">
        <f>D14/H14</f>
        <v>1</v>
      </c>
      <c r="AC14" s="4144">
        <f>D14/J14</f>
        <v>1</v>
      </c>
    </row>
    <row r="15" spans="1:29" ht="15">
      <c r="A15" s="4172"/>
      <c r="B15" s="4173">
        <v>111</v>
      </c>
      <c r="C15" s="4177"/>
      <c r="D15" s="4178">
        <v>100</v>
      </c>
      <c r="E15" s="4175"/>
      <c r="F15" s="4160">
        <f>SUMIF(80:80,E15,81:81)-SUMIF(80:80,C15,81:81)+100</f>
        <v>100</v>
      </c>
      <c r="G15" s="4176"/>
      <c r="H15" s="4178">
        <f>SUMIF(80:80,G15,81:81)-SUMIF(80:80,C15,81:81)+100</f>
        <v>100</v>
      </c>
      <c r="I15" s="4175"/>
      <c r="J15" s="4178">
        <f>SUMIF(80:80,I15,81:81)-SUMIF(80:80,C15,81:81)+100</f>
        <v>100</v>
      </c>
      <c r="K15" s="4161"/>
      <c r="L15" s="4179"/>
      <c r="M15" s="4097"/>
      <c r="N15" s="4097"/>
      <c r="O15" s="4171"/>
      <c r="P15" s="4154"/>
      <c r="Q15" s="4155">
        <f t="shared" si="6"/>
        <v>111</v>
      </c>
      <c r="R15" s="4140" t="s">
        <v>7</v>
      </c>
      <c r="S15" s="4141">
        <f t="shared" si="0"/>
        <v>100</v>
      </c>
      <c r="T15" s="4140" t="s">
        <v>7</v>
      </c>
      <c r="U15" s="4141">
        <f t="shared" si="1"/>
        <v>100</v>
      </c>
      <c r="V15" s="4140" t="s">
        <v>7</v>
      </c>
      <c r="W15" s="4141">
        <f t="shared" si="2"/>
        <v>100</v>
      </c>
      <c r="X15" s="4142"/>
      <c r="Y15" s="4156"/>
      <c r="Z15" s="4157">
        <f t="shared" si="7"/>
        <v>111</v>
      </c>
      <c r="AA15" s="4144">
        <f t="shared" si="3"/>
        <v>1</v>
      </c>
      <c r="AB15" s="4144">
        <f t="shared" si="4"/>
        <v>1</v>
      </c>
      <c r="AC15" s="4144">
        <f t="shared" si="5"/>
        <v>1</v>
      </c>
    </row>
    <row r="16" spans="1:29" ht="15.6" thickBot="1">
      <c r="A16" s="4180"/>
      <c r="B16" s="4181">
        <v>111</v>
      </c>
      <c r="C16" s="4182"/>
      <c r="D16" s="4183">
        <v>100</v>
      </c>
      <c r="E16" s="4175"/>
      <c r="F16" s="4183">
        <f>SUMIF(82:82,E16,83:83)-SUMIF(82:82,C16,83:83)+100</f>
        <v>100</v>
      </c>
      <c r="G16" s="4176"/>
      <c r="H16" s="4183">
        <f>SUMIF(82:82,G16,83:83)-SUMIF(82:82,C16,83:83)+100</f>
        <v>100</v>
      </c>
      <c r="I16" s="4175"/>
      <c r="J16" s="4183">
        <f>SUMIF(82:82,I16,83:83)-SUMIF(82:82,C16,83:83)+100</f>
        <v>100</v>
      </c>
      <c r="K16" s="4161"/>
      <c r="L16" s="4179"/>
      <c r="M16" s="4097"/>
      <c r="N16" s="4097"/>
      <c r="O16" s="4171"/>
      <c r="P16" s="4154"/>
      <c r="Q16" s="4155">
        <f t="shared" si="6"/>
        <v>111</v>
      </c>
      <c r="R16" s="4140" t="s">
        <v>7</v>
      </c>
      <c r="S16" s="4141">
        <f t="shared" si="0"/>
        <v>100</v>
      </c>
      <c r="T16" s="4140" t="s">
        <v>7</v>
      </c>
      <c r="U16" s="4141">
        <f t="shared" si="1"/>
        <v>100</v>
      </c>
      <c r="V16" s="4140" t="s">
        <v>7</v>
      </c>
      <c r="W16" s="4141">
        <f t="shared" si="2"/>
        <v>100</v>
      </c>
      <c r="X16" s="4142"/>
      <c r="Y16" s="4156"/>
      <c r="Z16" s="4157">
        <f t="shared" si="7"/>
        <v>111</v>
      </c>
      <c r="AA16" s="4144">
        <f t="shared" si="3"/>
        <v>1</v>
      </c>
      <c r="AB16" s="4144">
        <f t="shared" si="4"/>
        <v>1</v>
      </c>
      <c r="AC16" s="4144">
        <f t="shared" si="5"/>
        <v>1</v>
      </c>
    </row>
    <row r="17" spans="1:29" ht="55.2">
      <c r="A17" s="4184" t="s">
        <v>3500</v>
      </c>
      <c r="B17" s="4185" t="s">
        <v>549</v>
      </c>
      <c r="C17" s="4186" t="str">
        <f>[4]估价对象房地状况!G15</f>
        <v>估价对象位于海淀区，区域工业成熟度一般，产业集聚程度一般</v>
      </c>
      <c r="D17" s="4187">
        <v>100</v>
      </c>
      <c r="E17" s="4188"/>
      <c r="F17" s="4187">
        <f>SUMIF(84:84,E18,85:85)-SUMIF(84:84,C18,85:85)+100</f>
        <v>105</v>
      </c>
      <c r="G17" s="4188"/>
      <c r="H17" s="4187">
        <f>SUMIF(84:84,G18,85:85)-SUMIF(84:84,C18,85:85)+100</f>
        <v>105</v>
      </c>
      <c r="I17" s="4506"/>
      <c r="J17" s="4187">
        <f>SUMIF(84:84,I18,85:85)-SUMIF(84:84,C18,85:85)+100</f>
        <v>105</v>
      </c>
      <c r="K17" s="4169">
        <v>5</v>
      </c>
      <c r="L17" s="4179"/>
      <c r="M17" s="4097"/>
      <c r="N17" s="4097"/>
      <c r="O17" s="4171"/>
      <c r="P17" s="4190" t="s">
        <v>489</v>
      </c>
      <c r="Q17" s="4191" t="str">
        <f t="shared" si="6"/>
        <v>产业集聚程度</v>
      </c>
      <c r="R17" s="4192" t="s">
        <v>7</v>
      </c>
      <c r="S17" s="4193">
        <f t="shared" si="0"/>
        <v>105</v>
      </c>
      <c r="T17" s="4192" t="s">
        <v>3652</v>
      </c>
      <c r="U17" s="4193">
        <f t="shared" si="1"/>
        <v>105</v>
      </c>
      <c r="V17" s="4192" t="s">
        <v>7</v>
      </c>
      <c r="W17" s="4193">
        <f t="shared" si="2"/>
        <v>105</v>
      </c>
      <c r="X17" s="4103"/>
      <c r="Y17" s="4190" t="s">
        <v>3653</v>
      </c>
      <c r="Z17" s="4194" t="str">
        <f t="shared" si="7"/>
        <v>产业集聚程度</v>
      </c>
      <c r="AA17" s="4195">
        <f t="shared" si="3"/>
        <v>0.95238095238095233</v>
      </c>
      <c r="AB17" s="4195">
        <f t="shared" si="4"/>
        <v>0.95238095238095233</v>
      </c>
      <c r="AC17" s="4195">
        <f t="shared" si="5"/>
        <v>0.95238095238095233</v>
      </c>
    </row>
    <row r="18" spans="1:29" ht="15">
      <c r="A18" s="4196"/>
      <c r="B18" s="4197"/>
      <c r="C18" s="4198" t="s">
        <v>3504</v>
      </c>
      <c r="D18" s="4199"/>
      <c r="E18" s="4200" t="s">
        <v>3505</v>
      </c>
      <c r="F18" s="4199"/>
      <c r="G18" s="4200" t="s">
        <v>3505</v>
      </c>
      <c r="H18" s="4201"/>
      <c r="I18" s="4200" t="s">
        <v>3505</v>
      </c>
      <c r="J18" s="4199"/>
      <c r="K18" s="4161"/>
      <c r="L18" s="4179"/>
      <c r="M18" s="4097"/>
      <c r="N18" s="4097"/>
      <c r="O18" s="4171"/>
      <c r="P18" s="4202"/>
      <c r="Q18" s="4191"/>
      <c r="R18" s="4192"/>
      <c r="S18" s="4193"/>
      <c r="T18" s="4192"/>
      <c r="U18" s="4193"/>
      <c r="V18" s="4192"/>
      <c r="W18" s="4193"/>
      <c r="X18" s="4103"/>
      <c r="Y18" s="4202"/>
      <c r="Z18" s="4194"/>
      <c r="AA18" s="4195">
        <v>1</v>
      </c>
      <c r="AB18" s="4195">
        <v>1</v>
      </c>
      <c r="AC18" s="4195">
        <v>1</v>
      </c>
    </row>
    <row r="19" spans="1:29" ht="158.4">
      <c r="A19" s="4196"/>
      <c r="B19" s="4203" t="s">
        <v>3654</v>
      </c>
      <c r="C19" s="4204" t="str">
        <f>[4]估价对象房地状况!G16</f>
        <v>估价对象周边道路状况、公共交通通达情况、停车便捷程度，综合评价交通便捷度较好</v>
      </c>
      <c r="D19" s="4201">
        <v>100</v>
      </c>
      <c r="E19" s="4205"/>
      <c r="F19" s="4206">
        <f>SUMIF(86:86,E20,87:87)-SUMIF(86:86,C20,87:87)+100</f>
        <v>97</v>
      </c>
      <c r="G19" s="4205"/>
      <c r="H19" s="4206">
        <f>SUMIF(86:86,G20,87:87)-SUMIF(86:86,C20,87:87)+100</f>
        <v>97</v>
      </c>
      <c r="I19" s="4507" t="s">
        <v>3655</v>
      </c>
      <c r="J19" s="4201">
        <f>SUMIF(86:86,I20,87:87)-SUMIF(86:86,C20,87:87)+100</f>
        <v>100</v>
      </c>
      <c r="K19" s="4169">
        <v>3</v>
      </c>
      <c r="L19" s="4179"/>
      <c r="M19" s="4097"/>
      <c r="N19" s="4097"/>
      <c r="O19" s="4171"/>
      <c r="P19" s="4202"/>
      <c r="Q19" s="4191" t="str">
        <f>B19</f>
        <v>交通便捷度</v>
      </c>
      <c r="R19" s="4192" t="s">
        <v>7</v>
      </c>
      <c r="S19" s="4193">
        <f>F19</f>
        <v>97</v>
      </c>
      <c r="T19" s="4192" t="s">
        <v>7</v>
      </c>
      <c r="U19" s="4193">
        <f>H19</f>
        <v>97</v>
      </c>
      <c r="V19" s="4192" t="s">
        <v>7</v>
      </c>
      <c r="W19" s="4193">
        <f>J19</f>
        <v>100</v>
      </c>
      <c r="X19" s="4103"/>
      <c r="Y19" s="4202"/>
      <c r="Z19" s="4194" t="str">
        <f>Q19</f>
        <v>交通便捷度</v>
      </c>
      <c r="AA19" s="4195">
        <f t="shared" si="3"/>
        <v>1.0309278350515463</v>
      </c>
      <c r="AB19" s="4195">
        <f t="shared" si="4"/>
        <v>1.0309278350515463</v>
      </c>
      <c r="AC19" s="4195">
        <f t="shared" si="5"/>
        <v>1</v>
      </c>
    </row>
    <row r="20" spans="1:29" ht="15">
      <c r="A20" s="4196"/>
      <c r="B20" s="4208"/>
      <c r="C20" s="4198" t="s">
        <v>3505</v>
      </c>
      <c r="D20" s="4199"/>
      <c r="E20" s="4209" t="s">
        <v>3504</v>
      </c>
      <c r="F20" s="4199"/>
      <c r="G20" s="4209" t="s">
        <v>3504</v>
      </c>
      <c r="H20" s="4199"/>
      <c r="I20" s="4210" t="s">
        <v>3505</v>
      </c>
      <c r="J20" s="4199"/>
      <c r="K20" s="4161"/>
      <c r="L20" s="4179"/>
      <c r="M20" s="4097"/>
      <c r="N20" s="4097"/>
      <c r="O20" s="4171"/>
      <c r="P20" s="4202"/>
      <c r="Q20" s="4191"/>
      <c r="R20" s="4192"/>
      <c r="S20" s="4193"/>
      <c r="T20" s="4192"/>
      <c r="U20" s="4193"/>
      <c r="V20" s="4192"/>
      <c r="W20" s="4193"/>
      <c r="X20" s="4103"/>
      <c r="Y20" s="4202"/>
      <c r="Z20" s="4194"/>
      <c r="AA20" s="4195">
        <v>1</v>
      </c>
      <c r="AB20" s="4195">
        <v>1</v>
      </c>
      <c r="AC20" s="4195">
        <v>1</v>
      </c>
    </row>
    <row r="21" spans="1:29" ht="28.8">
      <c r="A21" s="4107"/>
      <c r="B21" s="4203" t="s">
        <v>535</v>
      </c>
      <c r="C21" s="4204">
        <f>[4]估价对象房地状况!G17</f>
        <v>0</v>
      </c>
      <c r="D21" s="4201">
        <v>100</v>
      </c>
      <c r="E21" s="4205"/>
      <c r="F21" s="4211">
        <f>SUMIF(88:88,E22,89:89)-SUMIF(88:88,C22,89:89)+100</f>
        <v>100</v>
      </c>
      <c r="G21" s="4207"/>
      <c r="H21" s="4211">
        <f>SUMIF(88:88,G22,89:89)-SUMIF(88:88,C22,89:89)+100</f>
        <v>100</v>
      </c>
      <c r="I21" s="4207"/>
      <c r="J21" s="4211">
        <f>SUMIF(88:88,I22,89:89)-SUMIF(88:88,C22,89:89)+100</f>
        <v>100</v>
      </c>
      <c r="K21" s="4212"/>
      <c r="L21" s="4179"/>
      <c r="M21" s="4097"/>
      <c r="N21" s="4097"/>
      <c r="O21" s="4171"/>
      <c r="P21" s="4202"/>
      <c r="Q21" s="4191" t="str">
        <f t="shared" ref="Q21:Q35" si="8">B21</f>
        <v>区域土地利用方向</v>
      </c>
      <c r="R21" s="4192" t="s">
        <v>7</v>
      </c>
      <c r="S21" s="4193">
        <f>F21</f>
        <v>100</v>
      </c>
      <c r="T21" s="4192" t="s">
        <v>7</v>
      </c>
      <c r="U21" s="4193">
        <f>H21</f>
        <v>100</v>
      </c>
      <c r="V21" s="4192" t="s">
        <v>7</v>
      </c>
      <c r="W21" s="4193">
        <f>J21</f>
        <v>100</v>
      </c>
      <c r="X21" s="4103"/>
      <c r="Y21" s="4202"/>
      <c r="Z21" s="4194" t="str">
        <f>Q21</f>
        <v>区域土地利用方向</v>
      </c>
      <c r="AA21" s="4195">
        <f t="shared" si="3"/>
        <v>1</v>
      </c>
      <c r="AB21" s="4195">
        <f t="shared" si="4"/>
        <v>1</v>
      </c>
      <c r="AC21" s="4195">
        <f t="shared" si="5"/>
        <v>1</v>
      </c>
    </row>
    <row r="22" spans="1:29" ht="15">
      <c r="A22" s="4107"/>
      <c r="B22" s="4213"/>
      <c r="C22" s="4198" t="s">
        <v>3504</v>
      </c>
      <c r="D22" s="4199"/>
      <c r="E22" s="4209" t="s">
        <v>3504</v>
      </c>
      <c r="F22" s="4214"/>
      <c r="G22" s="4210" t="s">
        <v>3504</v>
      </c>
      <c r="H22" s="4214"/>
      <c r="I22" s="4210" t="s">
        <v>3504</v>
      </c>
      <c r="J22" s="4214"/>
      <c r="K22" s="4215"/>
      <c r="L22" s="4179"/>
      <c r="M22" s="4097"/>
      <c r="N22" s="4097"/>
      <c r="O22" s="4171"/>
      <c r="P22" s="4202"/>
      <c r="Q22" s="4191"/>
      <c r="R22" s="4192"/>
      <c r="S22" s="4193"/>
      <c r="T22" s="4192"/>
      <c r="U22" s="4193"/>
      <c r="V22" s="4192"/>
      <c r="W22" s="4193"/>
      <c r="X22" s="4103"/>
      <c r="Y22" s="4202"/>
      <c r="Z22" s="4194"/>
      <c r="AA22" s="4195"/>
      <c r="AB22" s="4195"/>
      <c r="AC22" s="4195"/>
    </row>
    <row r="23" spans="1:29" ht="69">
      <c r="A23" s="4107"/>
      <c r="B23" s="4208" t="s">
        <v>3509</v>
      </c>
      <c r="C23" s="4204" t="str">
        <f>[4]估价对象房地状况!G18</f>
        <v>该区域内没有污染型企业，绿化情况教好，卫生条件教好，整体环境状况较好</v>
      </c>
      <c r="D23" s="4201">
        <v>100</v>
      </c>
      <c r="E23" s="4205"/>
      <c r="F23" s="4201">
        <f>SUMIF(90:90,E24,91:91)-SUMIF(90:90,C24,91:91)+100</f>
        <v>100</v>
      </c>
      <c r="G23" s="4205"/>
      <c r="H23" s="4201">
        <f>SUMIF(90:90,G24,91:91)-SUMIF(90:90,C24,91:91)+100</f>
        <v>100</v>
      </c>
      <c r="I23" s="4207"/>
      <c r="J23" s="4201">
        <f>SUMIF(90:90,I24,91:91)-SUMIF(90:90,C24,91:91)+100</f>
        <v>98</v>
      </c>
      <c r="K23" s="4169">
        <v>2</v>
      </c>
      <c r="L23" s="4179"/>
      <c r="M23" s="4097"/>
      <c r="N23" s="4097"/>
      <c r="O23" s="4171"/>
      <c r="P23" s="4202"/>
      <c r="Q23" s="4191" t="str">
        <f t="shared" si="8"/>
        <v>环境状况</v>
      </c>
      <c r="R23" s="4192" t="s">
        <v>7</v>
      </c>
      <c r="S23" s="4193">
        <f>F23</f>
        <v>100</v>
      </c>
      <c r="T23" s="4192" t="s">
        <v>7</v>
      </c>
      <c r="U23" s="4193">
        <f>H23</f>
        <v>100</v>
      </c>
      <c r="V23" s="4192" t="s">
        <v>7</v>
      </c>
      <c r="W23" s="4193">
        <f>J23</f>
        <v>98</v>
      </c>
      <c r="X23" s="4103"/>
      <c r="Y23" s="4202"/>
      <c r="Z23" s="4194" t="str">
        <f>Q23</f>
        <v>环境状况</v>
      </c>
      <c r="AA23" s="4195">
        <f t="shared" si="3"/>
        <v>1</v>
      </c>
      <c r="AB23" s="4195">
        <f t="shared" si="4"/>
        <v>1</v>
      </c>
      <c r="AC23" s="4195">
        <f t="shared" si="5"/>
        <v>1.0204081632653061</v>
      </c>
    </row>
    <row r="24" spans="1:29" ht="15">
      <c r="A24" s="4107"/>
      <c r="B24" s="4213"/>
      <c r="C24" s="4198" t="s">
        <v>3505</v>
      </c>
      <c r="D24" s="4199"/>
      <c r="E24" s="4200" t="s">
        <v>3505</v>
      </c>
      <c r="F24" s="4199"/>
      <c r="G24" s="4200" t="s">
        <v>3505</v>
      </c>
      <c r="H24" s="4199"/>
      <c r="I24" s="4198" t="s">
        <v>3504</v>
      </c>
      <c r="J24" s="4199"/>
      <c r="K24" s="4161"/>
      <c r="L24" s="4179"/>
      <c r="M24" s="4097"/>
      <c r="N24" s="4097"/>
      <c r="O24" s="4171"/>
      <c r="P24" s="4202"/>
      <c r="Q24" s="4191"/>
      <c r="R24" s="4192"/>
      <c r="S24" s="4193"/>
      <c r="T24" s="4192"/>
      <c r="U24" s="4193"/>
      <c r="V24" s="4192"/>
      <c r="W24" s="4193"/>
      <c r="X24" s="4103"/>
      <c r="Y24" s="4202"/>
      <c r="Z24" s="4194"/>
      <c r="AA24" s="4195">
        <v>1</v>
      </c>
      <c r="AB24" s="4195">
        <v>1</v>
      </c>
      <c r="AC24" s="4195">
        <v>1</v>
      </c>
    </row>
    <row r="25" spans="1:29" s="4145" customFormat="1" ht="41.4">
      <c r="A25" s="4216"/>
      <c r="B25" s="4217" t="s">
        <v>1673</v>
      </c>
      <c r="C25" s="4204" t="str">
        <f>[4]估价对象房地状况!G19</f>
        <v>估价对象所在区域公共配套设施齐备情况好</v>
      </c>
      <c r="D25" s="4201">
        <v>100</v>
      </c>
      <c r="E25" s="4205"/>
      <c r="F25" s="4201">
        <f>SUMIF(92:92,E26,93:93)-SUMIF(92:92,C26,93:93)+100</f>
        <v>100</v>
      </c>
      <c r="G25" s="4205"/>
      <c r="H25" s="4201">
        <f>SUMIF(92:92,G26,93:93)-SUMIF(92:92,C26,93:93)+100</f>
        <v>98</v>
      </c>
      <c r="I25" s="4207"/>
      <c r="J25" s="4201">
        <f>SUMIF(92:92,I26,93:93)-SUMIF(92:92,C26,93:93)+100</f>
        <v>98</v>
      </c>
      <c r="K25" s="4169">
        <v>2</v>
      </c>
      <c r="L25" s="4136"/>
      <c r="M25" s="4137"/>
      <c r="N25" s="4137"/>
      <c r="O25" s="4153"/>
      <c r="P25" s="4202"/>
      <c r="Q25" s="4155" t="str">
        <f t="shared" si="8"/>
        <v>公共配套设施</v>
      </c>
      <c r="R25" s="4140" t="s">
        <v>7</v>
      </c>
      <c r="S25" s="4141">
        <f>F25</f>
        <v>100</v>
      </c>
      <c r="T25" s="4140" t="s">
        <v>7</v>
      </c>
      <c r="U25" s="4141">
        <f>H25</f>
        <v>98</v>
      </c>
      <c r="V25" s="4140" t="s">
        <v>7</v>
      </c>
      <c r="W25" s="4141">
        <f>J25</f>
        <v>98</v>
      </c>
      <c r="X25" s="4142"/>
      <c r="Y25" s="4202"/>
      <c r="Z25" s="4157" t="str">
        <f>Q25</f>
        <v>公共配套设施</v>
      </c>
      <c r="AA25" s="4195">
        <f>D25/F25</f>
        <v>1</v>
      </c>
      <c r="AB25" s="4195">
        <f>D25/H25</f>
        <v>1.0204081632653061</v>
      </c>
      <c r="AC25" s="4195">
        <f>D25/J25</f>
        <v>1.0204081632653061</v>
      </c>
    </row>
    <row r="26" spans="1:29" s="4145" customFormat="1" ht="15">
      <c r="A26" s="4216"/>
      <c r="B26" s="4213"/>
      <c r="C26" s="4218" t="s">
        <v>3505</v>
      </c>
      <c r="D26" s="4199"/>
      <c r="E26" s="4200" t="s">
        <v>3505</v>
      </c>
      <c r="F26" s="4199"/>
      <c r="G26" s="4200" t="s">
        <v>3504</v>
      </c>
      <c r="H26" s="4199"/>
      <c r="I26" s="4198" t="s">
        <v>3504</v>
      </c>
      <c r="J26" s="4199"/>
      <c r="K26" s="4161"/>
      <c r="L26" s="4136"/>
      <c r="M26" s="4137"/>
      <c r="N26" s="4137"/>
      <c r="O26" s="4153"/>
      <c r="P26" s="4202"/>
      <c r="Q26" s="4155"/>
      <c r="R26" s="4140"/>
      <c r="S26" s="4141"/>
      <c r="T26" s="4140"/>
      <c r="U26" s="4141"/>
      <c r="V26" s="4140"/>
      <c r="W26" s="4141"/>
      <c r="X26" s="4142"/>
      <c r="Y26" s="4202"/>
      <c r="Z26" s="4157"/>
      <c r="AA26" s="4144">
        <v>1</v>
      </c>
      <c r="AB26" s="4144">
        <v>1</v>
      </c>
      <c r="AC26" s="4144">
        <v>1</v>
      </c>
    </row>
    <row r="27" spans="1:29" s="4145" customFormat="1" ht="15">
      <c r="A27" s="4216"/>
      <c r="B27" s="4217" t="s">
        <v>3510</v>
      </c>
      <c r="C27" s="4204" t="str">
        <f>[4]估价对象房地状况!G20</f>
        <v>七通</v>
      </c>
      <c r="D27" s="4201">
        <v>100</v>
      </c>
      <c r="E27" s="4205"/>
      <c r="F27" s="4201">
        <f>SUMIF(94:94,E28,95:95)-SUMIF(94:94,C28,95:95)+100</f>
        <v>100</v>
      </c>
      <c r="G27" s="4205"/>
      <c r="H27" s="4201">
        <f>SUMIF(94:94,G28,95:95)-SUMIF(94:94,C28,95:95)+100</f>
        <v>100</v>
      </c>
      <c r="I27" s="4207"/>
      <c r="J27" s="4201">
        <f>SUMIF(94:94,I28,95:95)-SUMIF(94:94,C28,95:95)+100</f>
        <v>100</v>
      </c>
      <c r="K27" s="4169"/>
      <c r="L27" s="4136"/>
      <c r="M27" s="4137"/>
      <c r="N27" s="4137"/>
      <c r="O27" s="4153"/>
      <c r="P27" s="4202"/>
      <c r="Q27" s="4155" t="str">
        <f>B27</f>
        <v>基础设施水平</v>
      </c>
      <c r="R27" s="4140" t="s">
        <v>7</v>
      </c>
      <c r="S27" s="4141">
        <f>F27</f>
        <v>100</v>
      </c>
      <c r="T27" s="4140" t="s">
        <v>7</v>
      </c>
      <c r="U27" s="4141">
        <f>H27</f>
        <v>100</v>
      </c>
      <c r="V27" s="4140" t="s">
        <v>7</v>
      </c>
      <c r="W27" s="4141">
        <f>J27</f>
        <v>100</v>
      </c>
      <c r="X27" s="4142"/>
      <c r="Y27" s="4202"/>
      <c r="Z27" s="4157" t="str">
        <f>Q27</f>
        <v>基础设施水平</v>
      </c>
      <c r="AA27" s="4195">
        <f>D27/F27</f>
        <v>1</v>
      </c>
      <c r="AB27" s="4195">
        <f>D27/H27</f>
        <v>1</v>
      </c>
      <c r="AC27" s="4195">
        <f>D27/J27</f>
        <v>1</v>
      </c>
    </row>
    <row r="28" spans="1:29" s="4145" customFormat="1" ht="15">
      <c r="A28" s="4216"/>
      <c r="B28" s="4213"/>
      <c r="C28" s="4218" t="s">
        <v>3511</v>
      </c>
      <c r="D28" s="4199"/>
      <c r="E28" s="4219" t="s">
        <v>3511</v>
      </c>
      <c r="F28" s="4199"/>
      <c r="G28" s="4219" t="s">
        <v>3511</v>
      </c>
      <c r="H28" s="4199"/>
      <c r="I28" s="4219" t="s">
        <v>3511</v>
      </c>
      <c r="J28" s="4199"/>
      <c r="K28" s="4161"/>
      <c r="L28" s="4136"/>
      <c r="M28" s="4137"/>
      <c r="N28" s="4137"/>
      <c r="O28" s="4153"/>
      <c r="P28" s="4202"/>
      <c r="Q28" s="4155"/>
      <c r="R28" s="4140"/>
      <c r="S28" s="4141"/>
      <c r="T28" s="4140"/>
      <c r="U28" s="4141"/>
      <c r="V28" s="4140"/>
      <c r="W28" s="4141"/>
      <c r="X28" s="4142"/>
      <c r="Y28" s="4202"/>
      <c r="Z28" s="4157"/>
      <c r="AA28" s="4144">
        <v>1</v>
      </c>
      <c r="AB28" s="4144">
        <v>1</v>
      </c>
      <c r="AC28" s="4144">
        <v>1</v>
      </c>
    </row>
    <row r="29" spans="1:29" ht="15">
      <c r="A29" s="4196"/>
      <c r="B29" s="4213" t="s">
        <v>710</v>
      </c>
      <c r="C29" s="4220"/>
      <c r="D29" s="4178">
        <v>100</v>
      </c>
      <c r="E29" s="4221"/>
      <c r="F29" s="4178">
        <f>SUMIF(96:96,E29,97:97)-SUMIF(96:96,C29,97:97)+100</f>
        <v>100</v>
      </c>
      <c r="G29" s="4221"/>
      <c r="H29" s="4178">
        <f>SUMIF(96:96,G29,97:97)-SUMIF(96:96,C29,97:97)+100</f>
        <v>100</v>
      </c>
      <c r="I29" s="4221"/>
      <c r="J29" s="4178">
        <f>SUMIF(96:96,I29,97:97)-SUMIF(96:96,C29,97:97)+100</f>
        <v>100</v>
      </c>
      <c r="K29" s="4169"/>
      <c r="L29" s="4179"/>
      <c r="M29" s="4097"/>
      <c r="N29" s="4097"/>
      <c r="O29" s="4171"/>
      <c r="P29" s="4202"/>
      <c r="Q29" s="4191" t="str">
        <f t="shared" si="8"/>
        <v>临街状况</v>
      </c>
      <c r="R29" s="4192" t="s">
        <v>7</v>
      </c>
      <c r="S29" s="4193">
        <f t="shared" ref="S29:S42" si="9">F29</f>
        <v>100</v>
      </c>
      <c r="T29" s="4192" t="s">
        <v>7</v>
      </c>
      <c r="U29" s="4193">
        <f t="shared" ref="U29:U42" si="10">H29</f>
        <v>100</v>
      </c>
      <c r="V29" s="4192" t="s">
        <v>7</v>
      </c>
      <c r="W29" s="4193">
        <f t="shared" ref="W29:W42" si="11">J29</f>
        <v>100</v>
      </c>
      <c r="X29" s="4103"/>
      <c r="Y29" s="4202"/>
      <c r="Z29" s="4194" t="str">
        <f t="shared" ref="Z29:Z42" si="12">Q29</f>
        <v>临街状况</v>
      </c>
      <c r="AA29" s="4195">
        <f t="shared" si="3"/>
        <v>1</v>
      </c>
      <c r="AB29" s="4195">
        <f t="shared" si="4"/>
        <v>1</v>
      </c>
      <c r="AC29" s="4195">
        <f t="shared" si="5"/>
        <v>1</v>
      </c>
    </row>
    <row r="30" spans="1:29" ht="28.8">
      <c r="A30" s="4196"/>
      <c r="B30" s="4208" t="s">
        <v>724</v>
      </c>
      <c r="C30" s="4222">
        <f>[4]估价对象房地状况!G22</f>
        <v>0</v>
      </c>
      <c r="D30" s="4201">
        <v>100</v>
      </c>
      <c r="E30" s="4205"/>
      <c r="F30" s="4201">
        <f>SUMIF(98:98,E31,99:99)-SUMIF(98:98,C31,99:99)+100</f>
        <v>100</v>
      </c>
      <c r="G30" s="4205"/>
      <c r="H30" s="4201">
        <f>SUMIF(98:98,G31,99:99)-SUMIF(98:98,C31,99:99)+100</f>
        <v>100</v>
      </c>
      <c r="I30" s="4207"/>
      <c r="J30" s="4201">
        <f>SUMIF(98:98,I31,99:99)-SUMIF(98:98,C31,99:99)+100</f>
        <v>100</v>
      </c>
      <c r="K30" s="4169"/>
      <c r="L30" s="4179"/>
      <c r="M30" s="4097"/>
      <c r="N30" s="4097"/>
      <c r="O30" s="4171"/>
      <c r="P30" s="4202"/>
      <c r="Q30" s="4191" t="str">
        <f t="shared" si="8"/>
        <v>毗邻道路的类型与等级</v>
      </c>
      <c r="R30" s="4192" t="s">
        <v>7</v>
      </c>
      <c r="S30" s="4193">
        <f t="shared" si="9"/>
        <v>100</v>
      </c>
      <c r="T30" s="4192" t="s">
        <v>7</v>
      </c>
      <c r="U30" s="4193">
        <f t="shared" si="10"/>
        <v>100</v>
      </c>
      <c r="V30" s="4192" t="s">
        <v>7</v>
      </c>
      <c r="W30" s="4193">
        <f t="shared" si="11"/>
        <v>100</v>
      </c>
      <c r="X30" s="4103"/>
      <c r="Y30" s="4202"/>
      <c r="Z30" s="4194" t="str">
        <f t="shared" si="12"/>
        <v>毗邻道路的类型与等级</v>
      </c>
      <c r="AA30" s="4195">
        <f t="shared" si="3"/>
        <v>1</v>
      </c>
      <c r="AB30" s="4195">
        <f t="shared" si="4"/>
        <v>1</v>
      </c>
      <c r="AC30" s="4195">
        <f t="shared" si="5"/>
        <v>1</v>
      </c>
    </row>
    <row r="31" spans="1:29" ht="15">
      <c r="A31" s="4196"/>
      <c r="B31" s="4213"/>
      <c r="C31" s="4198"/>
      <c r="D31" s="4199"/>
      <c r="E31" s="4198"/>
      <c r="F31" s="4199"/>
      <c r="G31" s="4198"/>
      <c r="H31" s="4199"/>
      <c r="I31" s="4198"/>
      <c r="J31" s="4199"/>
      <c r="K31" s="4223"/>
      <c r="L31" s="4179"/>
      <c r="M31" s="4097"/>
      <c r="N31" s="4097"/>
      <c r="O31" s="4171"/>
      <c r="P31" s="4202"/>
      <c r="Q31" s="4191"/>
      <c r="R31" s="4192"/>
      <c r="S31" s="4193"/>
      <c r="T31" s="4192"/>
      <c r="U31" s="4193"/>
      <c r="V31" s="4192"/>
      <c r="W31" s="4193"/>
      <c r="X31" s="4103"/>
      <c r="Y31" s="4202"/>
      <c r="Z31" s="4194"/>
      <c r="AA31" s="4195">
        <v>1</v>
      </c>
      <c r="AB31" s="4195">
        <v>1</v>
      </c>
      <c r="AC31" s="4195">
        <v>1</v>
      </c>
    </row>
    <row r="32" spans="1:29" ht="15">
      <c r="A32" s="4196"/>
      <c r="B32" s="4224" t="s">
        <v>3513</v>
      </c>
      <c r="C32" s="4225" t="str">
        <f>[4]估价对象房地状况!G23</f>
        <v>六级</v>
      </c>
      <c r="D32" s="4178">
        <v>100</v>
      </c>
      <c r="E32" s="4221" t="s">
        <v>1151</v>
      </c>
      <c r="F32" s="4178">
        <f>SUMIF(100:100,E32,101:101)-SUMIF(100:100,C32,101:101)+100</f>
        <v>100</v>
      </c>
      <c r="G32" s="4221" t="s">
        <v>1151</v>
      </c>
      <c r="H32" s="4178">
        <f>SUMIF(100:100,G32,101:101)-SUMIF(100:100,C32,101:101)+100</f>
        <v>100</v>
      </c>
      <c r="I32" s="4221" t="s">
        <v>1154</v>
      </c>
      <c r="J32" s="4178">
        <f>SUMIF(100:100,I32,101:101)-SUMIF(100:100,C32,101:101)+100</f>
        <v>100</v>
      </c>
      <c r="K32" s="4226">
        <v>0</v>
      </c>
      <c r="L32" s="4179"/>
      <c r="M32" s="4097"/>
      <c r="N32" s="4097"/>
      <c r="O32" s="4171"/>
      <c r="P32" s="4202"/>
      <c r="Q32" s="4191" t="str">
        <f t="shared" si="8"/>
        <v>土地级别</v>
      </c>
      <c r="R32" s="4192" t="s">
        <v>7</v>
      </c>
      <c r="S32" s="4193">
        <f t="shared" si="9"/>
        <v>100</v>
      </c>
      <c r="T32" s="4192" t="s">
        <v>7</v>
      </c>
      <c r="U32" s="4193">
        <f t="shared" si="10"/>
        <v>100</v>
      </c>
      <c r="V32" s="4192" t="s">
        <v>7</v>
      </c>
      <c r="W32" s="4193">
        <f t="shared" si="11"/>
        <v>100</v>
      </c>
      <c r="X32" s="4103"/>
      <c r="Y32" s="4202"/>
      <c r="Z32" s="4194" t="str">
        <f t="shared" si="12"/>
        <v>土地级别</v>
      </c>
      <c r="AA32" s="4195">
        <f t="shared" si="3"/>
        <v>1</v>
      </c>
      <c r="AB32" s="4195">
        <f t="shared" si="4"/>
        <v>1</v>
      </c>
      <c r="AC32" s="4195">
        <f t="shared" si="5"/>
        <v>1</v>
      </c>
    </row>
    <row r="33" spans="1:29" ht="15">
      <c r="A33" s="4107"/>
      <c r="B33" s="4227">
        <v>111</v>
      </c>
      <c r="C33" s="4176"/>
      <c r="D33" s="4178">
        <v>100</v>
      </c>
      <c r="E33" s="4228"/>
      <c r="F33" s="4178">
        <f>SUMIF(102:102,E33,103:103)-SUMIF(102:102,C33,103:103)+100</f>
        <v>100</v>
      </c>
      <c r="G33" s="4228"/>
      <c r="H33" s="4178">
        <f>SUMIF(102:102,G33,103:103)-SUMIF(102:102,C33,103:103)+100</f>
        <v>100</v>
      </c>
      <c r="I33" s="4175"/>
      <c r="J33" s="4178">
        <f>SUMIF(102:102,I33,103:103)-SUMIF(102:102,C33,103:103)+100</f>
        <v>100</v>
      </c>
      <c r="K33" s="4223"/>
      <c r="L33" s="4179"/>
      <c r="M33" s="4097"/>
      <c r="N33" s="4097"/>
      <c r="O33" s="4171"/>
      <c r="P33" s="4202"/>
      <c r="Q33" s="4191">
        <f t="shared" si="8"/>
        <v>111</v>
      </c>
      <c r="R33" s="4192" t="s">
        <v>7</v>
      </c>
      <c r="S33" s="4193">
        <f t="shared" si="9"/>
        <v>100</v>
      </c>
      <c r="T33" s="4192" t="s">
        <v>7</v>
      </c>
      <c r="U33" s="4193">
        <f t="shared" si="10"/>
        <v>100</v>
      </c>
      <c r="V33" s="4192" t="s">
        <v>7</v>
      </c>
      <c r="W33" s="4193">
        <f t="shared" si="11"/>
        <v>100</v>
      </c>
      <c r="X33" s="4103"/>
      <c r="Y33" s="4202"/>
      <c r="Z33" s="4194">
        <f t="shared" si="12"/>
        <v>111</v>
      </c>
      <c r="AA33" s="4195">
        <f t="shared" si="3"/>
        <v>1</v>
      </c>
      <c r="AB33" s="4195">
        <f t="shared" si="4"/>
        <v>1</v>
      </c>
      <c r="AC33" s="4195">
        <f t="shared" si="5"/>
        <v>1</v>
      </c>
    </row>
    <row r="34" spans="1:29" ht="15">
      <c r="A34" s="4229"/>
      <c r="B34" s="4230">
        <v>111</v>
      </c>
      <c r="C34" s="4176"/>
      <c r="D34" s="4178">
        <v>100</v>
      </c>
      <c r="E34" s="4228"/>
      <c r="F34" s="4178">
        <f>SUMIF(104:104,E35,105:105)-SUMIF(104:104,C35,105:105)+100</f>
        <v>100</v>
      </c>
      <c r="G34" s="4228"/>
      <c r="H34" s="4178">
        <f>SUMIF(104:104,G34,105:105)-SUMIF(104:104,C34,105:105)+100</f>
        <v>100</v>
      </c>
      <c r="I34" s="4176"/>
      <c r="J34" s="4178">
        <f>SUMIF(104:104,I34,105:105)-SUMIF(104:104,C34,105:105)+100</f>
        <v>100</v>
      </c>
      <c r="K34" s="4223"/>
      <c r="L34" s="4179"/>
      <c r="M34" s="4097"/>
      <c r="N34" s="4097"/>
      <c r="O34" s="4171"/>
      <c r="P34" s="4231" t="s">
        <v>499</v>
      </c>
      <c r="Q34" s="4191">
        <f t="shared" si="8"/>
        <v>111</v>
      </c>
      <c r="R34" s="4192" t="s">
        <v>7</v>
      </c>
      <c r="S34" s="4193">
        <f t="shared" si="9"/>
        <v>100</v>
      </c>
      <c r="T34" s="4192" t="s">
        <v>7</v>
      </c>
      <c r="U34" s="4193">
        <f t="shared" si="10"/>
        <v>100</v>
      </c>
      <c r="V34" s="4192" t="s">
        <v>7</v>
      </c>
      <c r="W34" s="4193">
        <f t="shared" si="11"/>
        <v>100</v>
      </c>
      <c r="X34" s="4103"/>
      <c r="Y34" s="4232" t="s">
        <v>499</v>
      </c>
      <c r="Z34" s="4194">
        <f t="shared" si="12"/>
        <v>111</v>
      </c>
      <c r="AA34" s="4195">
        <f t="shared" si="3"/>
        <v>1</v>
      </c>
      <c r="AB34" s="4195">
        <f t="shared" si="4"/>
        <v>1</v>
      </c>
      <c r="AC34" s="4195">
        <f t="shared" si="5"/>
        <v>1</v>
      </c>
    </row>
    <row r="35" spans="1:29" s="4244" customFormat="1" ht="15.6" thickBot="1">
      <c r="A35" s="4233"/>
      <c r="B35" s="4234">
        <v>111</v>
      </c>
      <c r="C35" s="4235"/>
      <c r="D35" s="4236">
        <v>100</v>
      </c>
      <c r="E35" s="4237"/>
      <c r="F35" s="4183">
        <f>SUMIF(106:106,E35,107:107)-SUMIF(106:106,C35,107:107)+100</f>
        <v>100</v>
      </c>
      <c r="G35" s="4237"/>
      <c r="H35" s="4183">
        <f>SUMIF(106:106,G35,107:107)-SUMIF(106:106,C35,107:107)+100</f>
        <v>100</v>
      </c>
      <c r="I35" s="4235"/>
      <c r="J35" s="4183">
        <f>SUMIF(106:106,I35,107:107)-SUMIF(106:106,C35,107:107)+100</f>
        <v>100</v>
      </c>
      <c r="K35" s="4223"/>
      <c r="L35" s="4170"/>
      <c r="M35" s="4238"/>
      <c r="N35" s="4238"/>
      <c r="O35" s="4239"/>
      <c r="P35" s="4232"/>
      <c r="Q35" s="4191">
        <f t="shared" si="8"/>
        <v>111</v>
      </c>
      <c r="R35" s="4240" t="s">
        <v>7</v>
      </c>
      <c r="S35" s="4241">
        <f t="shared" si="9"/>
        <v>100</v>
      </c>
      <c r="T35" s="4240" t="s">
        <v>7</v>
      </c>
      <c r="U35" s="4241">
        <f t="shared" si="10"/>
        <v>100</v>
      </c>
      <c r="V35" s="4240" t="s">
        <v>7</v>
      </c>
      <c r="W35" s="4241">
        <f t="shared" si="11"/>
        <v>100</v>
      </c>
      <c r="X35" s="4242"/>
      <c r="Y35" s="4232"/>
      <c r="Z35" s="4243">
        <f t="shared" si="12"/>
        <v>111</v>
      </c>
      <c r="AA35" s="4195">
        <f t="shared" si="3"/>
        <v>1</v>
      </c>
      <c r="AB35" s="4195">
        <f t="shared" si="4"/>
        <v>1</v>
      </c>
      <c r="AC35" s="4195">
        <f t="shared" si="5"/>
        <v>1</v>
      </c>
    </row>
    <row r="36" spans="1:29" ht="15">
      <c r="A36" s="4245" t="s">
        <v>3514</v>
      </c>
      <c r="B36" s="4213" t="s">
        <v>541</v>
      </c>
      <c r="C36" s="4246">
        <f>'[4]数据-汇总表'!D3</f>
        <v>10738.85</v>
      </c>
      <c r="D36" s="4247">
        <v>100</v>
      </c>
      <c r="E36" s="4246">
        <f>'案例（企业）'!G3</f>
        <v>130380.53</v>
      </c>
      <c r="F36" s="4247">
        <f>LOOKUP(E36,109:109,110:110)-LOOKUP(C36,109:109,110:110)+100</f>
        <v>99</v>
      </c>
      <c r="G36" s="4246">
        <f>'案例（企业）'!G4</f>
        <v>30040.799999999999</v>
      </c>
      <c r="H36" s="4247">
        <f>LOOKUP(G36,109:109,110:110)-LOOKUP(C36,109:109,110:110)+100</f>
        <v>100</v>
      </c>
      <c r="I36" s="4248">
        <f>'案例（企业）'!G5</f>
        <v>22121.8</v>
      </c>
      <c r="J36" s="4247">
        <f>LOOKUP(I36,109:109,110:110)-LOOKUP(C36,109:109,110:110)+100</f>
        <v>100</v>
      </c>
      <c r="K36" s="4223"/>
      <c r="L36" s="4179"/>
      <c r="M36" s="4097"/>
      <c r="N36" s="4097"/>
      <c r="O36" s="4171"/>
      <c r="P36" s="4232"/>
      <c r="Q36" s="4191" t="str">
        <f>B36</f>
        <v>宗地面积</v>
      </c>
      <c r="R36" s="4192" t="s">
        <v>7</v>
      </c>
      <c r="S36" s="4193">
        <f t="shared" si="9"/>
        <v>99</v>
      </c>
      <c r="T36" s="4192" t="s">
        <v>7</v>
      </c>
      <c r="U36" s="4193">
        <f t="shared" si="10"/>
        <v>100</v>
      </c>
      <c r="V36" s="4192" t="s">
        <v>7</v>
      </c>
      <c r="W36" s="4193">
        <f t="shared" si="11"/>
        <v>100</v>
      </c>
      <c r="X36" s="4103"/>
      <c r="Y36" s="4232"/>
      <c r="Z36" s="4194" t="str">
        <f t="shared" si="12"/>
        <v>宗地面积</v>
      </c>
      <c r="AA36" s="4195">
        <f t="shared" si="3"/>
        <v>1.0101010101010102</v>
      </c>
      <c r="AB36" s="4195">
        <f t="shared" si="4"/>
        <v>1</v>
      </c>
      <c r="AC36" s="4195">
        <f t="shared" si="5"/>
        <v>1</v>
      </c>
    </row>
    <row r="37" spans="1:29" ht="15">
      <c r="A37" s="4249"/>
      <c r="B37" s="4224" t="s">
        <v>542</v>
      </c>
      <c r="C37" s="4250" t="s">
        <v>3631</v>
      </c>
      <c r="D37" s="4178">
        <v>100</v>
      </c>
      <c r="E37" s="4250" t="s">
        <v>3632</v>
      </c>
      <c r="F37" s="4178">
        <f>SUMIF(111:111,E37,112:112)-SUMIF(111:111,C37,112:112)+100</f>
        <v>103</v>
      </c>
      <c r="G37" s="4250" t="s">
        <v>3632</v>
      </c>
      <c r="H37" s="4178">
        <f>SUMIF(111:111,G37,112:112)-SUMIF(111:111,C37,112:112)+100</f>
        <v>103</v>
      </c>
      <c r="I37" s="4250" t="s">
        <v>3632</v>
      </c>
      <c r="J37" s="4178">
        <f>SUMIF(111:111,I37,112:112)-SUMIF(111:111,C37,112:112)+100</f>
        <v>103</v>
      </c>
      <c r="K37" s="4226">
        <v>3</v>
      </c>
      <c r="L37" s="4179"/>
      <c r="M37" s="4097"/>
      <c r="N37" s="4097"/>
      <c r="O37" s="4171"/>
      <c r="P37" s="4232"/>
      <c r="Q37" s="4191" t="str">
        <f t="shared" ref="Q37:Q42" si="13">B37</f>
        <v>宗地形状</v>
      </c>
      <c r="R37" s="4192" t="s">
        <v>7</v>
      </c>
      <c r="S37" s="4193">
        <f t="shared" si="9"/>
        <v>103</v>
      </c>
      <c r="T37" s="4192" t="s">
        <v>7</v>
      </c>
      <c r="U37" s="4193">
        <f t="shared" si="10"/>
        <v>103</v>
      </c>
      <c r="V37" s="4192" t="s">
        <v>7</v>
      </c>
      <c r="W37" s="4193">
        <f t="shared" si="11"/>
        <v>103</v>
      </c>
      <c r="X37" s="4103"/>
      <c r="Y37" s="4232"/>
      <c r="Z37" s="4194" t="str">
        <f t="shared" si="12"/>
        <v>宗地形状</v>
      </c>
      <c r="AA37" s="4195">
        <f t="shared" si="3"/>
        <v>0.970873786407767</v>
      </c>
      <c r="AB37" s="4195">
        <f t="shared" si="4"/>
        <v>0.970873786407767</v>
      </c>
      <c r="AC37" s="4195">
        <f t="shared" si="5"/>
        <v>0.970873786407767</v>
      </c>
    </row>
    <row r="38" spans="1:29" s="4145" customFormat="1" ht="15">
      <c r="A38" s="4251"/>
      <c r="B38" s="4252" t="s">
        <v>1776</v>
      </c>
      <c r="C38" s="4253" t="s">
        <v>3633</v>
      </c>
      <c r="D38" s="4160">
        <v>100</v>
      </c>
      <c r="E38" s="4253" t="s">
        <v>3633</v>
      </c>
      <c r="F38" s="4178">
        <f>SUMIF(113:113,E38,114:114)-SUMIF(113:113,C38,114:114)+100</f>
        <v>100</v>
      </c>
      <c r="G38" s="4253" t="s">
        <v>3633</v>
      </c>
      <c r="H38" s="4178">
        <f>SUMIF(113:113,G38,114:114)-SUMIF(113:113,C38,114:114)+100</f>
        <v>100</v>
      </c>
      <c r="I38" s="4253" t="s">
        <v>3634</v>
      </c>
      <c r="J38" s="4178">
        <f>SUMIF(113:113,I38,114:114)-SUMIF(113:113,C38,114:114)+100</f>
        <v>90</v>
      </c>
      <c r="K38" s="4226">
        <v>5</v>
      </c>
      <c r="L38" s="4136"/>
      <c r="M38" s="4137"/>
      <c r="N38" s="4137"/>
      <c r="O38" s="4153"/>
      <c r="P38" s="4232"/>
      <c r="Q38" s="4191" t="str">
        <f t="shared" si="13"/>
        <v>宗地开发程度</v>
      </c>
      <c r="R38" s="4140" t="s">
        <v>7</v>
      </c>
      <c r="S38" s="4141">
        <f t="shared" si="9"/>
        <v>100</v>
      </c>
      <c r="T38" s="4140" t="s">
        <v>7</v>
      </c>
      <c r="U38" s="4141">
        <f t="shared" si="10"/>
        <v>100</v>
      </c>
      <c r="V38" s="4140" t="s">
        <v>7</v>
      </c>
      <c r="W38" s="4141">
        <f t="shared" si="11"/>
        <v>90</v>
      </c>
      <c r="X38" s="4142"/>
      <c r="Y38" s="4232"/>
      <c r="Z38" s="4157" t="str">
        <f t="shared" si="12"/>
        <v>宗地开发程度</v>
      </c>
      <c r="AA38" s="4144">
        <f t="shared" si="3"/>
        <v>1</v>
      </c>
      <c r="AB38" s="4144">
        <f t="shared" si="4"/>
        <v>1</v>
      </c>
      <c r="AC38" s="4144">
        <f t="shared" si="5"/>
        <v>1.1111111111111112</v>
      </c>
    </row>
    <row r="39" spans="1:29" ht="15">
      <c r="A39" s="4249"/>
      <c r="B39" s="4224" t="s">
        <v>544</v>
      </c>
      <c r="C39" s="4250"/>
      <c r="D39" s="4178">
        <v>100</v>
      </c>
      <c r="E39" s="4250"/>
      <c r="F39" s="4178">
        <f>SUMIF(115:115,E39,116:116)-SUMIF(115:115,C39,116:116)+100</f>
        <v>100</v>
      </c>
      <c r="G39" s="4250"/>
      <c r="H39" s="4178">
        <f>SUMIF(115:115,G39,116:116)-SUMIF(115:115,C39,116:116)+100</f>
        <v>100</v>
      </c>
      <c r="I39" s="4250"/>
      <c r="J39" s="4178">
        <f>SUMIF(115:115,I39,116:116)-SUMIF(115:115,C39,116:116)+100</f>
        <v>100</v>
      </c>
      <c r="K39" s="4226"/>
      <c r="L39" s="4179"/>
      <c r="M39" s="4097"/>
      <c r="N39" s="4097"/>
      <c r="O39" s="4171"/>
      <c r="P39" s="4232" t="s">
        <v>499</v>
      </c>
      <c r="Q39" s="4191" t="str">
        <f t="shared" si="13"/>
        <v>工程地质条件</v>
      </c>
      <c r="R39" s="4192" t="s">
        <v>7</v>
      </c>
      <c r="S39" s="4193">
        <f t="shared" si="9"/>
        <v>100</v>
      </c>
      <c r="T39" s="4192" t="s">
        <v>7</v>
      </c>
      <c r="U39" s="4193">
        <f t="shared" si="10"/>
        <v>100</v>
      </c>
      <c r="V39" s="4192" t="s">
        <v>7</v>
      </c>
      <c r="W39" s="4193">
        <f t="shared" si="11"/>
        <v>100</v>
      </c>
      <c r="X39" s="4103"/>
      <c r="Y39" s="4232" t="s">
        <v>499</v>
      </c>
      <c r="Z39" s="4194" t="str">
        <f t="shared" si="12"/>
        <v>工程地质条件</v>
      </c>
      <c r="AA39" s="4195">
        <f t="shared" si="3"/>
        <v>1</v>
      </c>
      <c r="AB39" s="4195">
        <f t="shared" si="4"/>
        <v>1</v>
      </c>
      <c r="AC39" s="4195">
        <f t="shared" si="5"/>
        <v>1</v>
      </c>
    </row>
    <row r="40" spans="1:29" ht="15">
      <c r="A40" s="4249"/>
      <c r="B40" s="4230">
        <v>111</v>
      </c>
      <c r="C40" s="4176"/>
      <c r="D40" s="4178">
        <v>100</v>
      </c>
      <c r="E40" s="4176"/>
      <c r="F40" s="4178">
        <f>SUMIF(117:117,E40,118:118)-SUMIF(117:117,C40,118:118)+100</f>
        <v>100</v>
      </c>
      <c r="G40" s="4176"/>
      <c r="H40" s="4178">
        <f>SUMIF(117:117,G40,118:118)-SUMIF(117:117,C40,118:118)+100</f>
        <v>100</v>
      </c>
      <c r="I40" s="4175"/>
      <c r="J40" s="4178">
        <f>SUMIF(117:117,I40,118:118)-SUMIF(117:117,C40,118:118)+100</f>
        <v>100</v>
      </c>
      <c r="K40" s="4223"/>
      <c r="L40" s="4179"/>
      <c r="M40" s="4097"/>
      <c r="N40" s="4097"/>
      <c r="O40" s="4171"/>
      <c r="P40" s="4232"/>
      <c r="Q40" s="4191">
        <f t="shared" si="13"/>
        <v>111</v>
      </c>
      <c r="R40" s="4192" t="s">
        <v>7</v>
      </c>
      <c r="S40" s="4193">
        <f t="shared" si="9"/>
        <v>100</v>
      </c>
      <c r="T40" s="4192" t="s">
        <v>7</v>
      </c>
      <c r="U40" s="4193">
        <f t="shared" si="10"/>
        <v>100</v>
      </c>
      <c r="V40" s="4192" t="s">
        <v>7</v>
      </c>
      <c r="W40" s="4193">
        <f t="shared" si="11"/>
        <v>100</v>
      </c>
      <c r="X40" s="4103"/>
      <c r="Y40" s="4232"/>
      <c r="Z40" s="4194">
        <f t="shared" si="12"/>
        <v>111</v>
      </c>
      <c r="AA40" s="4195">
        <f t="shared" si="3"/>
        <v>1</v>
      </c>
      <c r="AB40" s="4195">
        <f t="shared" si="4"/>
        <v>1</v>
      </c>
      <c r="AC40" s="4195">
        <f t="shared" si="5"/>
        <v>1</v>
      </c>
    </row>
    <row r="41" spans="1:29" ht="15">
      <c r="A41" s="4249"/>
      <c r="B41" s="4230">
        <v>111</v>
      </c>
      <c r="C41" s="4176"/>
      <c r="D41" s="4178">
        <v>100</v>
      </c>
      <c r="E41" s="4176"/>
      <c r="F41" s="4178">
        <f>SUMIF(119:119,E41,120:120)-SUMIF(119:119,C41,120:120)+100</f>
        <v>100</v>
      </c>
      <c r="G41" s="4176"/>
      <c r="H41" s="4178">
        <f>SUMIF(119:119,G41,120:120)-SUMIF(119:119,C41,120:120)+100</f>
        <v>100</v>
      </c>
      <c r="I41" s="4175"/>
      <c r="J41" s="4178">
        <f>SUMIF(119:119,I41,120:120)-SUMIF(119:119,C41,120:120)+100</f>
        <v>100</v>
      </c>
      <c r="K41" s="4223"/>
      <c r="L41" s="4179"/>
      <c r="M41" s="4097"/>
      <c r="N41" s="4097"/>
      <c r="O41" s="4171"/>
      <c r="P41" s="4232"/>
      <c r="Q41" s="4191">
        <f t="shared" si="13"/>
        <v>111</v>
      </c>
      <c r="R41" s="4192" t="s">
        <v>7</v>
      </c>
      <c r="S41" s="4193">
        <f t="shared" si="9"/>
        <v>100</v>
      </c>
      <c r="T41" s="4192" t="s">
        <v>7</v>
      </c>
      <c r="U41" s="4193">
        <f t="shared" si="10"/>
        <v>100</v>
      </c>
      <c r="V41" s="4192" t="s">
        <v>7</v>
      </c>
      <c r="W41" s="4193">
        <f t="shared" si="11"/>
        <v>100</v>
      </c>
      <c r="X41" s="4103"/>
      <c r="Y41" s="4232"/>
      <c r="Z41" s="4194">
        <f t="shared" si="12"/>
        <v>111</v>
      </c>
      <c r="AA41" s="4195">
        <f t="shared" si="3"/>
        <v>1</v>
      </c>
      <c r="AB41" s="4195">
        <f t="shared" si="4"/>
        <v>1</v>
      </c>
      <c r="AC41" s="4195">
        <f t="shared" si="5"/>
        <v>1</v>
      </c>
    </row>
    <row r="42" spans="1:29" s="4244" customFormat="1" ht="15.6" thickBot="1">
      <c r="A42" s="4254"/>
      <c r="B42" s="4230">
        <v>111</v>
      </c>
      <c r="C42" s="4255"/>
      <c r="D42" s="4236">
        <v>100</v>
      </c>
      <c r="E42" s="4176"/>
      <c r="F42" s="4183">
        <f>SUMIF(121:121,E42,122:122)-SUMIF(121:121,C42,122:122)+100</f>
        <v>100</v>
      </c>
      <c r="G42" s="4176"/>
      <c r="H42" s="4183">
        <f>SUMIF(121:121,G42,122:122)-SUMIF(121:121,C42,122:122)+100</f>
        <v>100</v>
      </c>
      <c r="I42" s="4175"/>
      <c r="J42" s="4183">
        <f>SUMIF(121:121,I42,122:122)-SUMIF(121:121,C42,122:122)+100</f>
        <v>100</v>
      </c>
      <c r="K42" s="4256"/>
      <c r="L42" s="4170"/>
      <c r="M42" s="4238"/>
      <c r="N42" s="4238"/>
      <c r="O42" s="4239"/>
      <c r="P42" s="4232"/>
      <c r="Q42" s="4191">
        <f t="shared" si="13"/>
        <v>111</v>
      </c>
      <c r="R42" s="4240" t="s">
        <v>7</v>
      </c>
      <c r="S42" s="4241">
        <f t="shared" si="9"/>
        <v>100</v>
      </c>
      <c r="T42" s="4240" t="s">
        <v>7</v>
      </c>
      <c r="U42" s="4241">
        <f t="shared" si="10"/>
        <v>100</v>
      </c>
      <c r="V42" s="4240" t="s">
        <v>7</v>
      </c>
      <c r="W42" s="4241">
        <f t="shared" si="11"/>
        <v>100</v>
      </c>
      <c r="X42" s="4242"/>
      <c r="Y42" s="4232"/>
      <c r="Z42" s="4243">
        <f t="shared" si="12"/>
        <v>111</v>
      </c>
      <c r="AA42" s="4195">
        <f t="shared" si="3"/>
        <v>1</v>
      </c>
      <c r="AB42" s="4195">
        <f t="shared" si="4"/>
        <v>1</v>
      </c>
      <c r="AC42" s="4195">
        <f t="shared" si="5"/>
        <v>1</v>
      </c>
    </row>
    <row r="43" spans="1:29" ht="14.4">
      <c r="A43" s="4257" t="s">
        <v>505</v>
      </c>
      <c r="B43" s="4258" t="s">
        <v>2196</v>
      </c>
      <c r="C43" s="4259" t="s">
        <v>0</v>
      </c>
      <c r="D43" s="4260"/>
      <c r="E43" s="4261">
        <f>'案例（企业）'!K3</f>
        <v>9355</v>
      </c>
      <c r="F43" s="4262"/>
      <c r="G43" s="4263">
        <f>'案例（企业）'!K4</f>
        <v>6661</v>
      </c>
      <c r="H43" s="4264"/>
      <c r="I43" s="4261">
        <f>'案例（企业）'!K5</f>
        <v>4477</v>
      </c>
      <c r="J43" s="4264"/>
      <c r="K43" s="4265"/>
      <c r="L43" s="4266"/>
      <c r="M43" s="4097"/>
      <c r="N43" s="4097"/>
      <c r="O43" s="4267"/>
      <c r="P43" s="4154" t="str">
        <f>A43</f>
        <v>成交单价</v>
      </c>
      <c r="Q43" s="4154"/>
      <c r="R43" s="4102">
        <f>E43</f>
        <v>9355</v>
      </c>
      <c r="S43" s="4102"/>
      <c r="T43" s="4102">
        <f>G43</f>
        <v>6661</v>
      </c>
      <c r="U43" s="4102"/>
      <c r="V43" s="4102">
        <f>I43</f>
        <v>4477</v>
      </c>
      <c r="W43" s="4102"/>
      <c r="X43" s="4268"/>
      <c r="Y43" s="4269"/>
      <c r="Z43" s="4268"/>
      <c r="AA43" s="4268"/>
      <c r="AB43" s="4268"/>
      <c r="AC43" s="4268"/>
    </row>
    <row r="44" spans="1:29" ht="15" thickBot="1">
      <c r="A44" s="4270" t="s">
        <v>1974</v>
      </c>
      <c r="B44" s="4271"/>
      <c r="C44" s="4272">
        <f>R45</f>
        <v>7509</v>
      </c>
      <c r="D44" s="4273" t="s">
        <v>2260</v>
      </c>
      <c r="E44" s="4272">
        <f>R44</f>
        <v>10190</v>
      </c>
      <c r="F44" s="4274"/>
      <c r="G44" s="4275">
        <f>T44</f>
        <v>7457</v>
      </c>
      <c r="H44" s="4274"/>
      <c r="I44" s="4272">
        <f>V44</f>
        <v>4880</v>
      </c>
      <c r="J44" s="4274"/>
      <c r="K44" s="4276">
        <f>F44+H44+J44</f>
        <v>0</v>
      </c>
      <c r="L44" s="4266"/>
      <c r="M44" s="4097"/>
      <c r="N44" s="4097"/>
      <c r="O44" s="4267"/>
      <c r="P44" s="4154" t="str">
        <f>A44</f>
        <v>比较价格（元/平方米）</v>
      </c>
      <c r="Q44" s="4154"/>
      <c r="R44" s="4277">
        <f>ROUND(PRODUCT(R43,AA9:AA42),0)</f>
        <v>10190</v>
      </c>
      <c r="S44" s="4277"/>
      <c r="T44" s="4277">
        <f>ROUND(PRODUCT(T43,AB9:AB42),0)</f>
        <v>7457</v>
      </c>
      <c r="U44" s="4277"/>
      <c r="V44" s="4277">
        <f>ROUND(PRODUCT(V43,AC9:AC42),0)</f>
        <v>4880</v>
      </c>
      <c r="W44" s="4277"/>
      <c r="X44" s="4268"/>
      <c r="Y44" s="4268"/>
      <c r="Z44" s="4268"/>
      <c r="AA44" s="4268"/>
      <c r="AB44" s="4268"/>
      <c r="AC44" s="4268"/>
    </row>
    <row r="45" spans="1:29" ht="15" thickBot="1">
      <c r="A45" s="4278" t="s">
        <v>2197</v>
      </c>
      <c r="B45" s="4279"/>
      <c r="C45" s="4280">
        <f>R45</f>
        <v>7509</v>
      </c>
      <c r="D45" s="4280"/>
      <c r="E45" s="4280"/>
      <c r="F45" s="4280"/>
      <c r="G45" s="4280"/>
      <c r="H45" s="4280"/>
      <c r="I45" s="4280"/>
      <c r="J45" s="4280"/>
      <c r="K45" s="4281"/>
      <c r="L45" s="4266"/>
      <c r="M45" s="4097"/>
      <c r="N45" s="4097"/>
      <c r="O45" s="4267"/>
      <c r="P45" s="4282" t="str">
        <f>A45</f>
        <v>估价对象XX用房的比较价格（楼面单价，元/平方米）</v>
      </c>
      <c r="Q45" s="4283"/>
      <c r="R45" s="4284">
        <f>ROUND(IF(D44="简单平均",AVERAGE(R44:W44),R44*F44+T44*H44+V44*J44),0)</f>
        <v>7509</v>
      </c>
      <c r="S45" s="4284"/>
      <c r="T45" s="4284"/>
      <c r="U45" s="4284"/>
      <c r="V45" s="4284"/>
      <c r="W45" s="4284"/>
      <c r="X45" s="4268"/>
      <c r="Y45" s="4268"/>
      <c r="Z45" s="4268"/>
      <c r="AA45" s="4268"/>
      <c r="AB45" s="4268"/>
      <c r="AC45" s="4268"/>
    </row>
    <row r="46" spans="1:29">
      <c r="A46" s="4285"/>
      <c r="B46" s="4285"/>
      <c r="C46" s="4285"/>
      <c r="D46" s="4285"/>
      <c r="E46" s="4285"/>
      <c r="F46" s="4285"/>
      <c r="G46" s="4286"/>
      <c r="H46" s="4285"/>
      <c r="I46" s="4285"/>
      <c r="J46" s="4285"/>
      <c r="K46" s="4287"/>
      <c r="L46" s="4288"/>
      <c r="M46" s="4097"/>
      <c r="N46" s="4097"/>
      <c r="O46" s="4267"/>
      <c r="P46" s="4267"/>
      <c r="Q46" s="4267"/>
      <c r="R46" s="4267"/>
      <c r="S46" s="4267"/>
      <c r="T46" s="4267"/>
      <c r="U46" s="4267"/>
      <c r="V46" s="4267"/>
      <c r="W46" s="4267"/>
      <c r="X46" s="4267"/>
      <c r="Y46" s="4267"/>
      <c r="Z46" s="4267"/>
      <c r="AA46" s="4267"/>
      <c r="AB46" s="4267"/>
      <c r="AC46" s="4267"/>
    </row>
    <row r="47" spans="1:29">
      <c r="A47" s="4285"/>
      <c r="B47" s="4285"/>
      <c r="C47" s="4285"/>
      <c r="D47" s="4285"/>
      <c r="E47" s="4285"/>
      <c r="F47" s="4285"/>
      <c r="G47" s="4285"/>
      <c r="H47" s="4285"/>
      <c r="I47" s="4285"/>
      <c r="J47" s="4285"/>
      <c r="K47" s="4287"/>
      <c r="L47" s="4288"/>
      <c r="M47" s="4097"/>
      <c r="N47" s="4097"/>
      <c r="O47" s="4267"/>
      <c r="P47" s="4267"/>
      <c r="Q47" s="4267"/>
      <c r="R47" s="4267"/>
      <c r="S47" s="4267"/>
      <c r="T47" s="4267"/>
      <c r="U47" s="4267"/>
      <c r="V47" s="4267"/>
      <c r="W47" s="4267"/>
      <c r="X47" s="4267"/>
      <c r="Y47" s="4267"/>
      <c r="Z47" s="4267"/>
      <c r="AA47" s="4267"/>
      <c r="AB47" s="4267"/>
      <c r="AC47" s="4267"/>
    </row>
    <row r="48" spans="1:29" ht="13.5" customHeight="1">
      <c r="A48" s="4285"/>
      <c r="B48" s="4285"/>
      <c r="C48" s="4289" t="s">
        <v>3656</v>
      </c>
      <c r="D48" s="4290"/>
      <c r="E48" s="4291">
        <f>IF(E43&lt;E44,E44/E43-1,E43/E44-1)</f>
        <v>8.925708177445224E-2</v>
      </c>
      <c r="F48" s="4292" t="str">
        <f>IF(OR(E48&gt;=0.3,E48&lt;=-0.3),"超过30%","")</f>
        <v/>
      </c>
      <c r="G48" s="4291">
        <f>IF(G43&lt;G44,G44/G43-1,G43/G44-1)</f>
        <v>0.119501576339889</v>
      </c>
      <c r="H48" s="4292" t="str">
        <f>IF(OR(G48&gt;=0.3,G48&lt;=-0.3),"超过30%","")</f>
        <v/>
      </c>
      <c r="I48" s="4291">
        <f>IF(I43&lt;I44,I44/I43-1,I43/I44-1)</f>
        <v>9.0015635470180877E-2</v>
      </c>
      <c r="J48" s="4292" t="str">
        <f>IF(OR(I48&gt;=0.3,I48&lt;=-0.3),"超过30%","")</f>
        <v/>
      </c>
      <c r="K48" s="4287"/>
      <c r="L48" s="4288"/>
      <c r="M48" s="4097"/>
      <c r="N48" s="4097"/>
      <c r="O48" s="4267"/>
      <c r="P48" s="4267"/>
      <c r="Q48" s="4267"/>
      <c r="R48" s="4267"/>
      <c r="S48" s="4267"/>
      <c r="T48" s="4267"/>
      <c r="U48" s="4267"/>
      <c r="V48" s="4267"/>
      <c r="W48" s="4267"/>
      <c r="X48" s="4267"/>
      <c r="Y48" s="4267"/>
      <c r="Z48" s="4267"/>
      <c r="AA48" s="4267"/>
      <c r="AB48" s="4267"/>
      <c r="AC48" s="4267"/>
    </row>
    <row r="49" spans="1:29" ht="13.5" customHeight="1">
      <c r="A49" s="4285"/>
      <c r="B49" s="4285"/>
      <c r="C49" s="4289" t="s">
        <v>507</v>
      </c>
      <c r="D49" s="4293"/>
      <c r="E49" s="4291">
        <f>IF(E44&lt;G44,G44/E44-1,E44/G44-1)</f>
        <v>0.36650127397076582</v>
      </c>
      <c r="F49" s="4292" t="str">
        <f>IF(OR(E49&gt;=0.2,E49&lt;=-0.2),"超过20%","")</f>
        <v>超过20%</v>
      </c>
      <c r="G49" s="4291">
        <f>IF(G44&lt;I44,I44/G44-1,G44/I44-1)</f>
        <v>0.52807377049180326</v>
      </c>
      <c r="H49" s="4292" t="str">
        <f>IF(OR(G49&gt;=0.2,G49&lt;=-0.2),"超过20%","")</f>
        <v>超过20%</v>
      </c>
      <c r="I49" s="4291">
        <f>IF(I44&lt;E44,E44/I44-1,I44/E44-1)</f>
        <v>1.0881147540983607</v>
      </c>
      <c r="J49" s="4292" t="str">
        <f>IF(OR(I49&gt;=0.2,I49&lt;=-0.2),"超过20%","")</f>
        <v>超过20%</v>
      </c>
      <c r="K49" s="4287"/>
      <c r="L49" s="4288"/>
      <c r="M49" s="4267"/>
      <c r="N49" s="4267"/>
      <c r="O49" s="4267"/>
      <c r="P49" s="4267"/>
      <c r="Q49" s="4267"/>
      <c r="R49" s="4267"/>
      <c r="S49" s="4267"/>
      <c r="T49" s="4267"/>
      <c r="U49" s="4267"/>
      <c r="V49" s="4267"/>
      <c r="W49" s="4267"/>
      <c r="X49" s="4267"/>
      <c r="Y49" s="4267"/>
      <c r="Z49" s="4267"/>
      <c r="AA49" s="4267"/>
      <c r="AB49" s="4267"/>
      <c r="AC49" s="4267"/>
    </row>
    <row r="50" spans="1:29" s="4298" customFormat="1" ht="13.5" customHeight="1">
      <c r="A50" s="4294"/>
      <c r="B50" s="4294"/>
      <c r="C50" s="4289" t="s">
        <v>508</v>
      </c>
      <c r="D50" s="4293"/>
      <c r="E50" s="4291">
        <f>IF(E43&lt;G43,G43/E43-1,E43/G43-1)</f>
        <v>0.40444377721062907</v>
      </c>
      <c r="F50" s="4292" t="str">
        <f>IF(OR(E50&gt;=0.3,E50&lt;=-0.3),"超过30%","")</f>
        <v>超过30%</v>
      </c>
      <c r="G50" s="4291">
        <f>IF(G43&lt;I43,I43/G43-1,G43/I43-1)</f>
        <v>0.48782666964485144</v>
      </c>
      <c r="H50" s="4292" t="str">
        <f>IF(OR(G50&gt;=0.3,G50&lt;=-0.3),"超过30%","")</f>
        <v>超过30%</v>
      </c>
      <c r="I50" s="4291">
        <f>IF(I43&lt;E43,E43/I43-1,I43/E43-1)</f>
        <v>1.089568907750726</v>
      </c>
      <c r="J50" s="4292" t="str">
        <f>IF(OR(I50&gt;=0.3,I50&lt;=-0.3),"超过30%","")</f>
        <v>超过30%</v>
      </c>
      <c r="K50" s="4295"/>
      <c r="L50" s="4296"/>
      <c r="M50" s="4297"/>
      <c r="N50" s="4297"/>
      <c r="O50" s="4297"/>
      <c r="P50" s="4297"/>
      <c r="Q50" s="4297"/>
      <c r="R50" s="4297"/>
      <c r="S50" s="4297"/>
      <c r="T50" s="4297"/>
      <c r="U50" s="4297"/>
      <c r="V50" s="4297"/>
      <c r="W50" s="4297"/>
      <c r="X50" s="4297"/>
      <c r="Y50" s="4297"/>
      <c r="Z50" s="4297"/>
      <c r="AA50" s="4297"/>
      <c r="AB50" s="4297"/>
      <c r="AC50" s="4297"/>
    </row>
    <row r="51" spans="1:29" s="4298" customFormat="1" ht="14.4" thickBot="1">
      <c r="A51" s="4294"/>
      <c r="B51" s="4299"/>
      <c r="C51" s="4300"/>
      <c r="D51" s="4297"/>
      <c r="E51" s="4297"/>
      <c r="F51" s="4297"/>
      <c r="G51" s="4297"/>
      <c r="H51" s="4297"/>
      <c r="I51" s="4297"/>
      <c r="J51" s="4297"/>
      <c r="K51" s="4295"/>
      <c r="L51" s="4296"/>
      <c r="M51" s="4297"/>
      <c r="N51" s="4297"/>
      <c r="O51" s="4297"/>
      <c r="P51" s="4297"/>
      <c r="Q51" s="4297"/>
      <c r="R51" s="4297"/>
      <c r="S51" s="4297"/>
      <c r="T51" s="4297"/>
      <c r="U51" s="4297"/>
      <c r="V51" s="4297"/>
      <c r="W51" s="4297"/>
      <c r="X51" s="4297"/>
      <c r="Y51" s="4297"/>
      <c r="Z51" s="4297"/>
      <c r="AA51" s="4297"/>
      <c r="AB51" s="4297"/>
      <c r="AC51" s="4297"/>
    </row>
    <row r="52" spans="1:29" ht="28.8">
      <c r="A52" s="4301" t="s">
        <v>3657</v>
      </c>
      <c r="B52" s="4302" t="s">
        <v>3658</v>
      </c>
      <c r="C52" s="4303" t="s">
        <v>1252</v>
      </c>
      <c r="D52" s="4304" t="s">
        <v>1649</v>
      </c>
      <c r="E52" s="4305" t="s">
        <v>3659</v>
      </c>
      <c r="F52" s="4306" t="s">
        <v>3660</v>
      </c>
      <c r="G52" s="4307" t="s">
        <v>1641</v>
      </c>
      <c r="H52" s="4308"/>
      <c r="I52" s="4309" t="s">
        <v>1464</v>
      </c>
      <c r="J52" s="4310">
        <f>[4]项目基本情况!F41</f>
        <v>0</v>
      </c>
      <c r="K52" s="4311" t="s">
        <v>3661</v>
      </c>
      <c r="L52" s="4288"/>
      <c r="M52" s="4267"/>
      <c r="N52" s="4267"/>
      <c r="O52" s="4267"/>
      <c r="P52" s="4267"/>
      <c r="Q52" s="4267"/>
      <c r="R52" s="4267"/>
      <c r="S52" s="4267"/>
      <c r="T52" s="4267"/>
      <c r="U52" s="4267"/>
      <c r="V52" s="4267"/>
      <c r="W52" s="4267"/>
      <c r="X52" s="4267"/>
      <c r="Y52" s="4267"/>
      <c r="Z52" s="4267"/>
      <c r="AA52" s="4267"/>
      <c r="AB52" s="4267"/>
      <c r="AC52" s="4267"/>
    </row>
    <row r="53" spans="1:29" s="4321" customFormat="1" ht="13.2">
      <c r="A53" s="4312" t="s">
        <v>3662</v>
      </c>
      <c r="B53" s="602">
        <f>C45</f>
        <v>7509</v>
      </c>
      <c r="C53" s="4313">
        <v>1</v>
      </c>
      <c r="D53" s="4314">
        <v>1</v>
      </c>
      <c r="E53" s="4313">
        <f>'[4]数据-汇总表'!E8+'[4]数据-汇总表'!E9</f>
        <v>10738.85</v>
      </c>
      <c r="F53" s="1706">
        <f t="shared" ref="F53:F61" si="14">ROUND(B53*E53/10000,0)</f>
        <v>8064</v>
      </c>
      <c r="G53" s="4315"/>
      <c r="H53" s="4316"/>
      <c r="I53" s="4317">
        <v>1</v>
      </c>
      <c r="J53" s="4318">
        <v>1</v>
      </c>
      <c r="K53" s="4319"/>
      <c r="L53" s="4320"/>
      <c r="M53" s="4320"/>
      <c r="N53" s="4320"/>
      <c r="O53" s="4320"/>
      <c r="P53" s="4320"/>
      <c r="Q53" s="4320"/>
      <c r="R53" s="4320"/>
      <c r="S53" s="4320"/>
      <c r="T53" s="4320"/>
      <c r="U53" s="4320"/>
      <c r="V53" s="4320"/>
      <c r="W53" s="4320"/>
      <c r="X53" s="4320"/>
      <c r="Y53" s="4320"/>
      <c r="Z53" s="4320"/>
      <c r="AA53" s="4320"/>
      <c r="AB53" s="4320"/>
      <c r="AC53" s="4320"/>
    </row>
    <row r="54" spans="1:29" s="4321" customFormat="1" ht="13.2">
      <c r="A54" s="605" t="s">
        <v>3663</v>
      </c>
      <c r="B54" s="606">
        <f>ROUND($C$45*C54*D54,0)</f>
        <v>0</v>
      </c>
      <c r="C54" s="4322">
        <f t="shared" ref="C54:C61" si="15">IF($C$52="北京市系数",I54,J54)</f>
        <v>0</v>
      </c>
      <c r="D54" s="4323">
        <v>0.25</v>
      </c>
      <c r="E54" s="607"/>
      <c r="F54" s="1706">
        <f t="shared" si="14"/>
        <v>0</v>
      </c>
      <c r="G54" s="4324" t="s">
        <v>1642</v>
      </c>
      <c r="H54" s="4325">
        <f>[4]项目基本情况!B43</f>
        <v>0</v>
      </c>
      <c r="I54" s="4317">
        <f>SUMIF([4]修正!$A$57:$A$68,H54,[4]修正!B57:B68)</f>
        <v>0</v>
      </c>
      <c r="J54" s="4326"/>
      <c r="K54" s="4319"/>
      <c r="L54" s="4320"/>
      <c r="M54" s="4320"/>
      <c r="N54" s="4320"/>
      <c r="O54" s="4320"/>
      <c r="P54" s="4320"/>
      <c r="Q54" s="4320"/>
      <c r="R54" s="4320"/>
      <c r="S54" s="4320"/>
      <c r="T54" s="4320"/>
      <c r="U54" s="4320"/>
      <c r="V54" s="4320"/>
      <c r="W54" s="4320"/>
      <c r="X54" s="4320"/>
      <c r="Y54" s="4320"/>
      <c r="Z54" s="4320"/>
      <c r="AA54" s="4320"/>
      <c r="AB54" s="4320"/>
      <c r="AC54" s="4320"/>
    </row>
    <row r="55" spans="1:29" s="4321" customFormat="1" ht="13.2">
      <c r="A55" s="605" t="s">
        <v>3664</v>
      </c>
      <c r="B55" s="606">
        <f t="shared" ref="B55:B61" si="16">ROUND($C$45*C55*D55,0)</f>
        <v>0</v>
      </c>
      <c r="C55" s="4322">
        <f t="shared" si="15"/>
        <v>0</v>
      </c>
      <c r="D55" s="4323">
        <v>0.25</v>
      </c>
      <c r="E55" s="607"/>
      <c r="F55" s="1706">
        <f t="shared" si="14"/>
        <v>0</v>
      </c>
      <c r="G55" s="4327"/>
      <c r="H55" s="4328">
        <f>[4]项目基本情况!B43</f>
        <v>0</v>
      </c>
      <c r="I55" s="4317">
        <f>SUMIF([4]修正!$A$57:$A$68,H55,[4]修正!C57:C68)</f>
        <v>0</v>
      </c>
      <c r="J55" s="4326"/>
      <c r="K55" s="4319"/>
      <c r="L55" s="4320"/>
      <c r="M55" s="4320"/>
      <c r="N55" s="4320"/>
      <c r="O55" s="4320"/>
      <c r="P55" s="4320"/>
      <c r="Q55" s="4320"/>
      <c r="R55" s="4320"/>
      <c r="S55" s="4320"/>
      <c r="T55" s="4320"/>
      <c r="U55" s="4320"/>
      <c r="V55" s="4320"/>
      <c r="W55" s="4320"/>
      <c r="X55" s="4320"/>
      <c r="Y55" s="4320"/>
      <c r="Z55" s="4320"/>
      <c r="AA55" s="4320"/>
      <c r="AB55" s="4320"/>
      <c r="AC55" s="4320"/>
    </row>
    <row r="56" spans="1:29" s="4321" customFormat="1" ht="13.2">
      <c r="A56" s="605" t="s">
        <v>3665</v>
      </c>
      <c r="B56" s="606">
        <f t="shared" si="16"/>
        <v>0</v>
      </c>
      <c r="C56" s="4322">
        <f t="shared" si="15"/>
        <v>0</v>
      </c>
      <c r="D56" s="4323">
        <v>0.25</v>
      </c>
      <c r="E56" s="607"/>
      <c r="F56" s="1706">
        <f t="shared" si="14"/>
        <v>0</v>
      </c>
      <c r="G56" s="4327"/>
      <c r="H56" s="4328">
        <f>[4]项目基本情况!B43</f>
        <v>0</v>
      </c>
      <c r="I56" s="4317">
        <f>SUMIF([4]修正!$A$57:$A$68,H56,[4]修正!D57:D68)</f>
        <v>0</v>
      </c>
      <c r="J56" s="4326"/>
      <c r="K56" s="4319"/>
      <c r="L56" s="4320"/>
      <c r="M56" s="4320"/>
      <c r="N56" s="4320"/>
      <c r="O56" s="4320"/>
      <c r="P56" s="4320"/>
      <c r="Q56" s="4320"/>
      <c r="R56" s="4320"/>
      <c r="S56" s="4320"/>
      <c r="T56" s="4320"/>
      <c r="U56" s="4320"/>
      <c r="V56" s="4320"/>
      <c r="W56" s="4320"/>
      <c r="X56" s="4320"/>
      <c r="Y56" s="4320"/>
      <c r="Z56" s="4320"/>
      <c r="AA56" s="4320"/>
      <c r="AB56" s="4320"/>
      <c r="AC56" s="4320"/>
    </row>
    <row r="57" spans="1:29" s="4321" customFormat="1" ht="13.2">
      <c r="A57" s="2050" t="s">
        <v>3635</v>
      </c>
      <c r="B57" s="606">
        <f t="shared" si="16"/>
        <v>0</v>
      </c>
      <c r="C57" s="4322">
        <f t="shared" si="15"/>
        <v>0</v>
      </c>
      <c r="D57" s="4323">
        <v>0.25</v>
      </c>
      <c r="E57" s="609">
        <f>'[4]数据-汇总表'!E11</f>
        <v>0</v>
      </c>
      <c r="F57" s="1706">
        <f t="shared" si="14"/>
        <v>0</v>
      </c>
      <c r="G57" s="4329" t="s">
        <v>1643</v>
      </c>
      <c r="H57" s="4328">
        <f>[4]项目基本情况!C43</f>
        <v>0</v>
      </c>
      <c r="I57" s="4317">
        <f>SUMIF([4]修正!$A$57:$A$68,H57,[4]修正!E57:E68)</f>
        <v>0</v>
      </c>
      <c r="J57" s="4326"/>
      <c r="K57" s="4319"/>
      <c r="L57" s="4320"/>
      <c r="M57" s="4320"/>
      <c r="N57" s="4320"/>
      <c r="O57" s="4320"/>
      <c r="P57" s="4320"/>
      <c r="Q57" s="4320"/>
      <c r="R57" s="4320"/>
      <c r="S57" s="4320"/>
      <c r="T57" s="4320"/>
      <c r="U57" s="4320"/>
      <c r="V57" s="4320"/>
      <c r="W57" s="4320"/>
      <c r="X57" s="4320"/>
      <c r="Y57" s="4320"/>
      <c r="Z57" s="4320"/>
      <c r="AA57" s="4320"/>
      <c r="AB57" s="4320"/>
      <c r="AC57" s="4320"/>
    </row>
    <row r="58" spans="1:29" s="4321" customFormat="1" ht="13.2">
      <c r="A58" s="605" t="s">
        <v>3666</v>
      </c>
      <c r="B58" s="606">
        <f t="shared" si="16"/>
        <v>0</v>
      </c>
      <c r="C58" s="4322">
        <f t="shared" si="15"/>
        <v>0</v>
      </c>
      <c r="D58" s="4323">
        <v>0.25</v>
      </c>
      <c r="E58" s="609">
        <f>'[4]数据-汇总表'!E12</f>
        <v>0</v>
      </c>
      <c r="F58" s="1706">
        <f t="shared" si="14"/>
        <v>0</v>
      </c>
      <c r="G58" s="4330" t="s">
        <v>1211</v>
      </c>
      <c r="H58" s="4325">
        <f>IF(G58="商业",[4]项目基本情况!B43,IF(G58="办公",[4]项目基本情况!C43,IF(G58="住宅",[4]项目基本情况!D43,[4]项目基本情况!E43)))</f>
        <v>0</v>
      </c>
      <c r="I58" s="4317">
        <f>SUMIF([4]修正!$A$57:$A$68,H58,[4]修正!F57:F68)</f>
        <v>0</v>
      </c>
      <c r="J58" s="4326"/>
      <c r="K58" s="4319"/>
      <c r="L58" s="4320"/>
      <c r="M58" s="4320"/>
      <c r="N58" s="4320"/>
      <c r="O58" s="4320"/>
      <c r="P58" s="4320"/>
      <c r="Q58" s="4320"/>
      <c r="R58" s="4320"/>
      <c r="S58" s="4320"/>
      <c r="T58" s="4320"/>
      <c r="U58" s="4320"/>
      <c r="V58" s="4320"/>
      <c r="W58" s="4320"/>
      <c r="X58" s="4320"/>
      <c r="Y58" s="4320"/>
      <c r="Z58" s="4320"/>
      <c r="AA58" s="4320"/>
      <c r="AB58" s="4320"/>
      <c r="AC58" s="4320"/>
    </row>
    <row r="59" spans="1:29" s="4321" customFormat="1" ht="13.2">
      <c r="A59" s="605" t="s">
        <v>3667</v>
      </c>
      <c r="B59" s="606">
        <f t="shared" si="16"/>
        <v>0</v>
      </c>
      <c r="C59" s="4322">
        <f t="shared" si="15"/>
        <v>0</v>
      </c>
      <c r="D59" s="4323">
        <v>0.25</v>
      </c>
      <c r="E59" s="609">
        <f>'[4]数据-汇总表'!E13</f>
        <v>0</v>
      </c>
      <c r="F59" s="1706">
        <f t="shared" si="14"/>
        <v>0</v>
      </c>
      <c r="G59" s="4330" t="s">
        <v>850</v>
      </c>
      <c r="H59" s="4325">
        <f>IF(G59="商业",[4]项目基本情况!B43,IF(G59="办公",[4]项目基本情况!C43,IF(G59="住宅",[4]项目基本情况!D43,[4]项目基本情况!E43)))</f>
        <v>0</v>
      </c>
      <c r="I59" s="4317">
        <f>SUMIF([4]修正!$A$57:$A$68,H59,[4]修正!G57:G68)</f>
        <v>0</v>
      </c>
      <c r="J59" s="4326"/>
      <c r="K59" s="4319"/>
      <c r="L59" s="4320"/>
      <c r="M59" s="4320"/>
      <c r="N59" s="4320"/>
      <c r="O59" s="4320"/>
      <c r="P59" s="4320"/>
      <c r="Q59" s="4320"/>
      <c r="R59" s="4320"/>
      <c r="S59" s="4320"/>
      <c r="T59" s="4320"/>
      <c r="U59" s="4320"/>
      <c r="V59" s="4320"/>
      <c r="W59" s="4320"/>
      <c r="X59" s="4320"/>
      <c r="Y59" s="4320"/>
      <c r="Z59" s="4320"/>
      <c r="AA59" s="4320"/>
      <c r="AB59" s="4320"/>
      <c r="AC59" s="4320"/>
    </row>
    <row r="60" spans="1:29" s="4321" customFormat="1" ht="13.2">
      <c r="A60" s="605" t="s">
        <v>3668</v>
      </c>
      <c r="B60" s="606">
        <f t="shared" si="16"/>
        <v>0</v>
      </c>
      <c r="C60" s="4322">
        <f t="shared" si="15"/>
        <v>0</v>
      </c>
      <c r="D60" s="4323">
        <v>0.25</v>
      </c>
      <c r="E60" s="609">
        <f>'[4]数据-汇总表'!E14</f>
        <v>0</v>
      </c>
      <c r="F60" s="1706">
        <f t="shared" si="14"/>
        <v>0</v>
      </c>
      <c r="G60" s="4329" t="s">
        <v>1642</v>
      </c>
      <c r="H60" s="4328">
        <f>[4]项目基本情况!B43</f>
        <v>0</v>
      </c>
      <c r="I60" s="4317">
        <f>SUMIF([4]修正!$A$57:$A$68,H60,[4]修正!G57:G68)</f>
        <v>0</v>
      </c>
      <c r="J60" s="4326"/>
      <c r="K60" s="4319"/>
      <c r="L60" s="4320"/>
      <c r="M60" s="4320"/>
      <c r="N60" s="4320"/>
      <c r="O60" s="4320"/>
      <c r="P60" s="4320"/>
      <c r="Q60" s="4320"/>
      <c r="R60" s="4320"/>
      <c r="S60" s="4320"/>
      <c r="T60" s="4320"/>
      <c r="U60" s="4320"/>
      <c r="V60" s="4320"/>
      <c r="W60" s="4320"/>
      <c r="X60" s="4320"/>
      <c r="Y60" s="4320"/>
      <c r="Z60" s="4320"/>
      <c r="AA60" s="4320"/>
      <c r="AB60" s="4320"/>
      <c r="AC60" s="4320"/>
    </row>
    <row r="61" spans="1:29" s="4321" customFormat="1" thickBot="1">
      <c r="A61" s="605" t="s">
        <v>3669</v>
      </c>
      <c r="B61" s="606">
        <f t="shared" si="16"/>
        <v>0</v>
      </c>
      <c r="C61" s="4322">
        <f t="shared" si="15"/>
        <v>0</v>
      </c>
      <c r="D61" s="4323">
        <v>0.25</v>
      </c>
      <c r="E61" s="609">
        <f>'[4]数据-汇总表'!E15</f>
        <v>0</v>
      </c>
      <c r="F61" s="1706">
        <f t="shared" si="14"/>
        <v>0</v>
      </c>
      <c r="G61" s="4331" t="s">
        <v>1643</v>
      </c>
      <c r="H61" s="4332">
        <f>[4]项目基本情况!C43</f>
        <v>0</v>
      </c>
      <c r="I61" s="4317">
        <f>SUMIF([4]修正!$A$57:$A$68,H61,[4]修正!G57:G68)</f>
        <v>0</v>
      </c>
      <c r="J61" s="4326"/>
      <c r="K61" s="4319"/>
      <c r="L61" s="4320"/>
      <c r="M61" s="4320"/>
      <c r="N61" s="4320"/>
      <c r="O61" s="4320"/>
      <c r="P61" s="4320"/>
      <c r="Q61" s="4320"/>
      <c r="R61" s="4320"/>
      <c r="S61" s="4320"/>
      <c r="T61" s="4320"/>
      <c r="U61" s="4320"/>
      <c r="V61" s="4320"/>
      <c r="W61" s="4320"/>
      <c r="X61" s="4320"/>
      <c r="Y61" s="4320"/>
      <c r="Z61" s="4320"/>
      <c r="AA61" s="4320"/>
      <c r="AB61" s="4320"/>
      <c r="AC61" s="4320"/>
    </row>
    <row r="62" spans="1:29" s="4321" customFormat="1" thickBot="1">
      <c r="A62" s="610" t="s">
        <v>3670</v>
      </c>
      <c r="B62" s="4333" t="s">
        <v>3671</v>
      </c>
      <c r="C62" s="4333" t="s">
        <v>3671</v>
      </c>
      <c r="D62" s="4333" t="s">
        <v>3671</v>
      </c>
      <c r="E62" s="4333">
        <f>IF(B43="楼面地价",SUM(E53:E61),'[4]数据-汇总表'!D3)</f>
        <v>10738.85</v>
      </c>
      <c r="F62" s="4334">
        <f>IF(B43="楼面地价",SUM(F53:F61),ROUND(C45*E62/10000,0))</f>
        <v>8064</v>
      </c>
      <c r="G62" s="4335"/>
      <c r="H62" s="4335"/>
      <c r="I62" s="4335"/>
      <c r="J62" s="4335"/>
      <c r="K62" s="4336"/>
      <c r="L62" s="4320"/>
      <c r="M62" s="4320"/>
      <c r="N62" s="4320"/>
      <c r="O62" s="4320"/>
      <c r="P62" s="4320"/>
      <c r="Q62" s="4320"/>
      <c r="R62" s="4320"/>
      <c r="S62" s="4320"/>
      <c r="T62" s="4320"/>
      <c r="U62" s="4320"/>
      <c r="V62" s="4320"/>
      <c r="W62" s="4320"/>
      <c r="X62" s="4320"/>
      <c r="Y62" s="4320"/>
      <c r="Z62" s="4320"/>
      <c r="AA62" s="4320"/>
      <c r="AB62" s="4320"/>
      <c r="AC62" s="4320"/>
    </row>
    <row r="63" spans="1:29">
      <c r="A63" s="4267"/>
      <c r="B63" s="4337"/>
      <c r="C63" s="4300"/>
      <c r="D63" s="4267"/>
      <c r="E63" s="4267"/>
      <c r="F63" s="4267"/>
      <c r="G63" s="4267"/>
      <c r="H63" s="4267"/>
      <c r="I63" s="4267"/>
      <c r="J63" s="4267"/>
      <c r="K63" s="4338"/>
      <c r="L63" s="4288"/>
      <c r="M63" s="4267"/>
      <c r="N63" s="4267"/>
      <c r="O63" s="4267"/>
      <c r="P63" s="4267"/>
      <c r="Q63" s="4267"/>
      <c r="R63" s="4267"/>
      <c r="S63" s="4267"/>
      <c r="T63" s="4267"/>
      <c r="U63" s="4267"/>
      <c r="V63" s="4267"/>
      <c r="W63" s="4267"/>
      <c r="X63" s="4267"/>
      <c r="Y63" s="4267"/>
      <c r="Z63" s="4267"/>
      <c r="AA63" s="4267"/>
      <c r="AB63" s="4267"/>
      <c r="AC63" s="4267"/>
    </row>
    <row r="64" spans="1:29">
      <c r="A64" s="4267"/>
      <c r="B64" s="4337"/>
      <c r="C64" s="4339" t="str">
        <f>YEAR(C9)&amp;"-"&amp;MONTH(C9)&amp;"-1"</f>
        <v>2024-8-1</v>
      </c>
      <c r="D64" s="4340">
        <f>EDATE(C64,-3)</f>
        <v>45413</v>
      </c>
      <c r="E64" s="4340">
        <f t="shared" ref="E64:N64" si="17">EDATE(D64,-3)</f>
        <v>45323</v>
      </c>
      <c r="F64" s="4340">
        <f t="shared" si="17"/>
        <v>45231</v>
      </c>
      <c r="G64" s="4340">
        <f t="shared" si="17"/>
        <v>45139</v>
      </c>
      <c r="H64" s="4340">
        <f t="shared" si="17"/>
        <v>45047</v>
      </c>
      <c r="I64" s="4340">
        <f t="shared" si="17"/>
        <v>44958</v>
      </c>
      <c r="J64" s="4340">
        <f t="shared" si="17"/>
        <v>44866</v>
      </c>
      <c r="K64" s="4340">
        <f t="shared" si="17"/>
        <v>44774</v>
      </c>
      <c r="L64" s="4340">
        <f t="shared" si="17"/>
        <v>44682</v>
      </c>
      <c r="M64" s="4340">
        <f t="shared" si="17"/>
        <v>44593</v>
      </c>
      <c r="N64" s="4340">
        <f t="shared" si="17"/>
        <v>44501</v>
      </c>
      <c r="O64" s="4267"/>
      <c r="P64" s="4267"/>
      <c r="Q64" s="4267"/>
      <c r="R64" s="4267"/>
      <c r="S64" s="4267"/>
      <c r="T64" s="4267"/>
      <c r="U64" s="4267"/>
      <c r="V64" s="4267"/>
      <c r="W64" s="4267"/>
      <c r="X64" s="4267"/>
      <c r="Y64" s="4267"/>
      <c r="Z64" s="4267"/>
      <c r="AA64" s="4267"/>
      <c r="AB64" s="4267"/>
      <c r="AC64" s="4267"/>
    </row>
    <row r="65" spans="1:29" ht="22.2" thickBot="1">
      <c r="A65" s="4341" t="s">
        <v>522</v>
      </c>
      <c r="B65" s="4268"/>
      <c r="C65" s="4342"/>
      <c r="D65" s="4342"/>
      <c r="E65" s="4342"/>
      <c r="F65" s="4343"/>
      <c r="G65" s="4343"/>
      <c r="H65" s="4342"/>
      <c r="I65" s="4342"/>
      <c r="J65" s="4342"/>
      <c r="K65" s="4344"/>
      <c r="L65" s="4345"/>
      <c r="M65" s="4342"/>
      <c r="N65" s="4342"/>
      <c r="O65" s="4346"/>
      <c r="P65" s="4346"/>
      <c r="Q65" s="4347"/>
      <c r="R65" s="4267"/>
      <c r="S65" s="4267"/>
      <c r="T65" s="4267"/>
      <c r="U65" s="4267"/>
      <c r="V65" s="4267"/>
      <c r="W65" s="4267"/>
      <c r="X65" s="4267"/>
      <c r="Y65" s="4267"/>
      <c r="Z65" s="4267"/>
      <c r="AA65" s="4267"/>
      <c r="AB65" s="4267"/>
      <c r="AC65" s="4267"/>
    </row>
    <row r="66" spans="1:29" s="4354" customFormat="1" ht="14.4">
      <c r="A66" s="4348" t="s">
        <v>1815</v>
      </c>
      <c r="B66" s="4349"/>
      <c r="C66" s="4350" t="str">
        <f>YEAR(C64)&amp;"-"&amp;ROUNDUP(MONTH(C64)/3,0)</f>
        <v>2024-3</v>
      </c>
      <c r="D66" s="4350" t="str">
        <f t="shared" ref="D66:N66" si="18">YEAR(D64)&amp;"-"&amp;ROUNDUP(MONTH(D64)/3,0)</f>
        <v>2024-2</v>
      </c>
      <c r="E66" s="4350" t="str">
        <f t="shared" si="18"/>
        <v>2024-1</v>
      </c>
      <c r="F66" s="4350" t="str">
        <f t="shared" si="18"/>
        <v>2023-4</v>
      </c>
      <c r="G66" s="4350" t="str">
        <f t="shared" si="18"/>
        <v>2023-3</v>
      </c>
      <c r="H66" s="4350" t="str">
        <f t="shared" si="18"/>
        <v>2023-2</v>
      </c>
      <c r="I66" s="4350" t="str">
        <f t="shared" si="18"/>
        <v>2023-1</v>
      </c>
      <c r="J66" s="4350" t="str">
        <f t="shared" si="18"/>
        <v>2022-4</v>
      </c>
      <c r="K66" s="4350" t="str">
        <f t="shared" si="18"/>
        <v>2022-3</v>
      </c>
      <c r="L66" s="4350" t="str">
        <f t="shared" si="18"/>
        <v>2022-2</v>
      </c>
      <c r="M66" s="4350" t="str">
        <f t="shared" si="18"/>
        <v>2022-1</v>
      </c>
      <c r="N66" s="4350" t="str">
        <f t="shared" si="18"/>
        <v>2021-4</v>
      </c>
      <c r="O66" s="4351" t="s">
        <v>2286</v>
      </c>
      <c r="P66" s="4352" t="s">
        <v>3672</v>
      </c>
      <c r="Q66" s="4351" t="s">
        <v>3636</v>
      </c>
      <c r="R66" s="4352" t="s">
        <v>3637</v>
      </c>
      <c r="S66" s="4353" t="s">
        <v>2248</v>
      </c>
      <c r="T66" s="4353" t="s">
        <v>2247</v>
      </c>
      <c r="U66" s="4353" t="s">
        <v>3638</v>
      </c>
      <c r="V66" s="4353" t="s">
        <v>3639</v>
      </c>
      <c r="W66" s="4353" t="s">
        <v>2243</v>
      </c>
      <c r="X66" s="4353" t="s">
        <v>3673</v>
      </c>
      <c r="Y66" s="4353" t="s">
        <v>3640</v>
      </c>
      <c r="Z66" s="4353" t="s">
        <v>3641</v>
      </c>
      <c r="AA66" s="4353"/>
      <c r="AB66" s="4353"/>
      <c r="AC66" s="4353"/>
    </row>
    <row r="67" spans="1:29" s="4145" customFormat="1" ht="27.75" customHeight="1" thickBot="1">
      <c r="A67" s="4355" t="s">
        <v>775</v>
      </c>
      <c r="B67" s="4356" t="str">
        <f>"北京市平均增长率"&amp;TEXT([4]基准地价!P28,"0.00%")</f>
        <v>北京市平均增长率0.00%</v>
      </c>
      <c r="C67" s="4357">
        <v>100</v>
      </c>
      <c r="D67" s="4358">
        <f>ROUND(C67/(1+D68/100)/(1+C68/100),2)</f>
        <v>99.32</v>
      </c>
      <c r="E67" s="4358">
        <f>ROUND(D67/(1+E68/100),2)</f>
        <v>98.74</v>
      </c>
      <c r="F67" s="4358">
        <f t="shared" ref="F67:X67" si="19">ROUND(E67/(1+F68/100),2)</f>
        <v>98.14</v>
      </c>
      <c r="G67" s="4358">
        <f t="shared" si="19"/>
        <v>97.72</v>
      </c>
      <c r="H67" s="4358">
        <f t="shared" si="19"/>
        <v>97.26</v>
      </c>
      <c r="I67" s="4358">
        <f t="shared" si="19"/>
        <v>96.71</v>
      </c>
      <c r="J67" s="4358">
        <f t="shared" si="19"/>
        <v>96.6</v>
      </c>
      <c r="K67" s="4358">
        <f t="shared" si="19"/>
        <v>96.38</v>
      </c>
      <c r="L67" s="4358">
        <f t="shared" si="19"/>
        <v>96.37</v>
      </c>
      <c r="M67" s="4358">
        <f t="shared" si="19"/>
        <v>96.01</v>
      </c>
      <c r="N67" s="4358">
        <f t="shared" si="19"/>
        <v>95.94</v>
      </c>
      <c r="O67" s="4358">
        <f t="shared" si="19"/>
        <v>95.71</v>
      </c>
      <c r="P67" s="4358">
        <f t="shared" si="19"/>
        <v>95.32</v>
      </c>
      <c r="Q67" s="4358">
        <f t="shared" si="19"/>
        <v>95.56</v>
      </c>
      <c r="R67" s="4358">
        <f t="shared" si="19"/>
        <v>93.06</v>
      </c>
      <c r="S67" s="4358">
        <f t="shared" si="19"/>
        <v>92.62</v>
      </c>
      <c r="T67" s="4358">
        <f t="shared" si="19"/>
        <v>91.68</v>
      </c>
      <c r="U67" s="4358">
        <f t="shared" si="19"/>
        <v>90.55</v>
      </c>
      <c r="V67" s="4358">
        <f t="shared" si="19"/>
        <v>89.54</v>
      </c>
      <c r="W67" s="4358">
        <f t="shared" si="19"/>
        <v>88.4</v>
      </c>
      <c r="X67" s="4358">
        <f t="shared" si="19"/>
        <v>86.89</v>
      </c>
      <c r="Y67" s="4360"/>
      <c r="Z67" s="4360"/>
      <c r="AA67" s="4360"/>
      <c r="AB67" s="4360"/>
      <c r="AC67" s="4360"/>
    </row>
    <row r="68" spans="1:29" s="4145" customFormat="1" ht="15" thickBot="1">
      <c r="A68" s="4361" t="s">
        <v>3674</v>
      </c>
      <c r="B68" s="4362"/>
      <c r="C68" s="4508">
        <v>0.34</v>
      </c>
      <c r="D68" s="4364">
        <v>0.34</v>
      </c>
      <c r="E68" s="4365">
        <v>0.59</v>
      </c>
      <c r="F68" s="4365">
        <v>0.61</v>
      </c>
      <c r="G68" s="4365">
        <v>0.43</v>
      </c>
      <c r="H68" s="4365">
        <v>0.47</v>
      </c>
      <c r="I68" s="4365">
        <v>0.56999999999999995</v>
      </c>
      <c r="J68" s="4365">
        <v>0.11</v>
      </c>
      <c r="K68" s="4365">
        <v>0.23</v>
      </c>
      <c r="L68" s="4365">
        <v>0.01</v>
      </c>
      <c r="M68" s="4365">
        <v>0.37</v>
      </c>
      <c r="N68" s="4365">
        <v>7.0000000000000007E-2</v>
      </c>
      <c r="O68" s="4366">
        <v>0.24</v>
      </c>
      <c r="P68" s="4347">
        <v>0.41</v>
      </c>
      <c r="Q68" s="4347">
        <v>-0.25</v>
      </c>
      <c r="R68" s="4360">
        <v>2.69</v>
      </c>
      <c r="S68" s="4366">
        <v>0.48</v>
      </c>
      <c r="T68" s="4366">
        <v>1.03</v>
      </c>
      <c r="U68" s="4509">
        <v>1.25</v>
      </c>
      <c r="V68" s="4366">
        <v>1.1299999999999999</v>
      </c>
      <c r="W68" s="4509">
        <v>1.29</v>
      </c>
      <c r="X68" s="4366">
        <v>1.74</v>
      </c>
      <c r="Y68" s="4360"/>
      <c r="Z68" s="4360"/>
      <c r="AA68" s="4360"/>
      <c r="AB68" s="4360"/>
      <c r="AC68" s="4360"/>
    </row>
    <row r="69" spans="1:29" s="4145" customFormat="1" ht="14.4">
      <c r="A69" s="4367" t="s">
        <v>3675</v>
      </c>
      <c r="B69" s="4368"/>
      <c r="C69" s="4369" t="s">
        <v>3676</v>
      </c>
      <c r="D69" s="4510" t="s">
        <v>3677</v>
      </c>
      <c r="E69" s="4370"/>
      <c r="F69" s="4370"/>
      <c r="G69" s="4370"/>
      <c r="H69" s="4370"/>
      <c r="I69" s="4370"/>
      <c r="J69" s="4370"/>
      <c r="K69" s="4370"/>
      <c r="L69" s="4371"/>
      <c r="M69" s="4372"/>
      <c r="N69" s="4373"/>
      <c r="O69" s="4359"/>
      <c r="P69" s="4374"/>
      <c r="Q69" s="4347"/>
      <c r="R69" s="4360"/>
      <c r="S69" s="4360"/>
      <c r="T69" s="4360"/>
      <c r="U69" s="4360"/>
      <c r="V69" s="4360"/>
      <c r="W69" s="4360"/>
      <c r="X69" s="4360"/>
      <c r="Y69" s="4360"/>
      <c r="Z69" s="4360"/>
      <c r="AA69" s="4360"/>
      <c r="AB69" s="4360"/>
      <c r="AC69" s="4360"/>
    </row>
    <row r="70" spans="1:29" s="4145" customFormat="1" ht="14.4" thickBot="1">
      <c r="A70" s="4367"/>
      <c r="B70" s="4368"/>
      <c r="C70" s="4375">
        <v>100</v>
      </c>
      <c r="D70" s="4376">
        <v>100</v>
      </c>
      <c r="E70" s="4376"/>
      <c r="F70" s="4376"/>
      <c r="G70" s="4376"/>
      <c r="H70" s="4376"/>
      <c r="I70" s="4376"/>
      <c r="J70" s="4376"/>
      <c r="K70" s="4376"/>
      <c r="L70" s="4376"/>
      <c r="M70" s="4377"/>
      <c r="N70" s="4373"/>
      <c r="O70" s="4359"/>
      <c r="P70" s="4347"/>
      <c r="Q70" s="4347"/>
      <c r="R70" s="4360"/>
      <c r="S70" s="4360"/>
      <c r="T70" s="4360"/>
      <c r="U70" s="4360"/>
      <c r="V70" s="4360"/>
      <c r="W70" s="4360"/>
      <c r="X70" s="4360"/>
      <c r="Y70" s="4360"/>
      <c r="Z70" s="4360"/>
      <c r="AA70" s="4360"/>
      <c r="AB70" s="4360"/>
      <c r="AC70" s="4360"/>
    </row>
    <row r="71" spans="1:29" ht="14.4">
      <c r="A71" s="4378" t="s">
        <v>3678</v>
      </c>
      <c r="B71" s="4379" t="s">
        <v>3679</v>
      </c>
      <c r="C71" s="4511" t="s">
        <v>775</v>
      </c>
      <c r="D71" s="4248"/>
      <c r="E71" s="4248"/>
      <c r="F71" s="4248"/>
      <c r="G71" s="4248"/>
      <c r="H71" s="4248"/>
      <c r="I71" s="4248"/>
      <c r="J71" s="4248"/>
      <c r="K71" s="4380"/>
      <c r="L71" s="4381"/>
      <c r="M71" s="4382"/>
      <c r="N71" s="4383"/>
      <c r="O71" s="4384"/>
      <c r="P71" s="4385"/>
      <c r="Q71" s="4347"/>
      <c r="R71" s="4267"/>
      <c r="S71" s="4267"/>
      <c r="T71" s="4267"/>
      <c r="U71" s="4267"/>
      <c r="V71" s="4267"/>
      <c r="W71" s="4267"/>
      <c r="X71" s="4267"/>
      <c r="Y71" s="4267"/>
      <c r="Z71" s="4267"/>
      <c r="AA71" s="4267"/>
      <c r="AB71" s="4267"/>
      <c r="AC71" s="4267"/>
    </row>
    <row r="72" spans="1:29" ht="14.4" thickBot="1">
      <c r="A72" s="4386"/>
      <c r="B72" s="4387"/>
      <c r="C72" s="4388">
        <v>100</v>
      </c>
      <c r="D72" s="4388"/>
      <c r="E72" s="4388"/>
      <c r="F72" s="4388"/>
      <c r="G72" s="4388"/>
      <c r="H72" s="4388"/>
      <c r="I72" s="4388"/>
      <c r="J72" s="4388"/>
      <c r="K72" s="4388"/>
      <c r="L72" s="4388"/>
      <c r="M72" s="4389"/>
      <c r="N72" s="4390"/>
      <c r="O72" s="4391"/>
      <c r="P72" s="4385"/>
      <c r="Q72" s="4347"/>
      <c r="R72" s="4267"/>
      <c r="S72" s="4267"/>
      <c r="T72" s="4267"/>
      <c r="U72" s="4267"/>
      <c r="V72" s="4267"/>
      <c r="W72" s="4267"/>
      <c r="X72" s="4267"/>
      <c r="Y72" s="4267"/>
      <c r="Z72" s="4267"/>
      <c r="AA72" s="4267"/>
      <c r="AB72" s="4267"/>
      <c r="AC72" s="4267"/>
    </row>
    <row r="73" spans="1:29" ht="29.4" thickTop="1">
      <c r="A73" s="4386"/>
      <c r="B73" s="4392" t="s">
        <v>486</v>
      </c>
      <c r="C73" s="4393"/>
      <c r="D73" s="4393"/>
      <c r="E73" s="4393"/>
      <c r="F73" s="4393"/>
      <c r="G73" s="4393"/>
      <c r="H73" s="4393"/>
      <c r="I73" s="4393"/>
      <c r="J73" s="4393"/>
      <c r="K73" s="4394"/>
      <c r="L73" s="4395"/>
      <c r="M73" s="4396"/>
      <c r="N73" s="4383"/>
      <c r="O73" s="4384"/>
      <c r="P73" s="4385"/>
      <c r="Q73" s="4347"/>
      <c r="R73" s="4267"/>
      <c r="S73" s="4267"/>
      <c r="T73" s="4267"/>
      <c r="U73" s="4267"/>
      <c r="V73" s="4267"/>
      <c r="W73" s="4267"/>
      <c r="X73" s="4267"/>
      <c r="Y73" s="4267"/>
      <c r="Z73" s="4267"/>
      <c r="AA73" s="4267"/>
      <c r="AB73" s="4267"/>
      <c r="AC73" s="4267"/>
    </row>
    <row r="74" spans="1:29" ht="14.4" thickBot="1">
      <c r="A74" s="4386"/>
      <c r="B74" s="4397"/>
      <c r="C74" s="4398"/>
      <c r="D74" s="4398"/>
      <c r="E74" s="4398"/>
      <c r="F74" s="4398"/>
      <c r="G74" s="4398"/>
      <c r="H74" s="4398"/>
      <c r="I74" s="4398"/>
      <c r="J74" s="4398"/>
      <c r="K74" s="4398"/>
      <c r="L74" s="4398"/>
      <c r="M74" s="4399"/>
      <c r="N74" s="4390"/>
      <c r="O74" s="4391"/>
      <c r="P74" s="4385"/>
      <c r="Q74" s="4347"/>
      <c r="R74" s="4267"/>
      <c r="S74" s="4267"/>
      <c r="T74" s="4267"/>
      <c r="U74" s="4267"/>
      <c r="V74" s="4267"/>
      <c r="W74" s="4267"/>
      <c r="X74" s="4267"/>
      <c r="Y74" s="4267"/>
      <c r="Z74" s="4267"/>
      <c r="AA74" s="4267"/>
      <c r="AB74" s="4267"/>
      <c r="AC74" s="4267"/>
    </row>
    <row r="75" spans="1:29" ht="15" thickTop="1">
      <c r="A75" s="4386"/>
      <c r="B75" s="4400" t="s">
        <v>487</v>
      </c>
      <c r="C75" s="4401" t="str">
        <f>C76&amp;"（含）"&amp;"-"&amp;D76</f>
        <v>0（含）-1</v>
      </c>
      <c r="D75" s="4401" t="str">
        <f t="shared" ref="D75:L75" si="20">D76&amp;"（含）"&amp;"-"&amp;E76</f>
        <v>1（含）-</v>
      </c>
      <c r="E75" s="4401" t="str">
        <f t="shared" si="20"/>
        <v>（含）-</v>
      </c>
      <c r="F75" s="4401" t="str">
        <f t="shared" si="20"/>
        <v>（含）-</v>
      </c>
      <c r="G75" s="4401" t="str">
        <f t="shared" si="20"/>
        <v>（含）-</v>
      </c>
      <c r="H75" s="4401" t="str">
        <f t="shared" si="20"/>
        <v>（含）-</v>
      </c>
      <c r="I75" s="4401" t="str">
        <f t="shared" si="20"/>
        <v>（含）-</v>
      </c>
      <c r="J75" s="4401" t="str">
        <f t="shared" si="20"/>
        <v>（含）-</v>
      </c>
      <c r="K75" s="4401" t="str">
        <f t="shared" si="20"/>
        <v>（含）-</v>
      </c>
      <c r="L75" s="4401" t="str">
        <f t="shared" si="20"/>
        <v>（含）-</v>
      </c>
      <c r="M75" s="4199" t="str">
        <f>M76&amp;"（含）"&amp;"-"&amp;P76</f>
        <v>（含）-</v>
      </c>
      <c r="N75" s="4390"/>
      <c r="O75" s="4391"/>
      <c r="P75" s="4385"/>
      <c r="Q75" s="4347"/>
      <c r="R75" s="4267"/>
      <c r="S75" s="4267"/>
      <c r="T75" s="4267"/>
      <c r="U75" s="4267"/>
      <c r="V75" s="4267"/>
      <c r="W75" s="4267"/>
      <c r="X75" s="4267"/>
      <c r="Y75" s="4267"/>
      <c r="Z75" s="4267"/>
      <c r="AA75" s="4267"/>
      <c r="AB75" s="4267"/>
      <c r="AC75" s="4267"/>
    </row>
    <row r="76" spans="1:29">
      <c r="A76" s="4386"/>
      <c r="B76" s="4402"/>
      <c r="C76" s="4175">
        <v>0</v>
      </c>
      <c r="D76" s="4175">
        <v>1</v>
      </c>
      <c r="E76" s="4175"/>
      <c r="F76" s="4175"/>
      <c r="G76" s="4175"/>
      <c r="H76" s="4175"/>
      <c r="I76" s="4175"/>
      <c r="J76" s="4175"/>
      <c r="K76" s="4403"/>
      <c r="L76" s="4404"/>
      <c r="M76" s="4405"/>
      <c r="N76" s="4383"/>
      <c r="O76" s="4384"/>
      <c r="P76" s="4385"/>
      <c r="Q76" s="4347"/>
      <c r="R76" s="4267"/>
      <c r="S76" s="4267"/>
      <c r="T76" s="4267"/>
      <c r="U76" s="4267"/>
      <c r="V76" s="4267"/>
      <c r="W76" s="4267"/>
      <c r="X76" s="4267"/>
      <c r="Y76" s="4267"/>
      <c r="Z76" s="4267"/>
      <c r="AA76" s="4267"/>
      <c r="AB76" s="4267"/>
      <c r="AC76" s="4267"/>
    </row>
    <row r="77" spans="1:29" ht="14.4" thickBot="1">
      <c r="A77" s="4386"/>
      <c r="B77" s="4387"/>
      <c r="C77" s="4398">
        <v>100</v>
      </c>
      <c r="D77" s="4398">
        <f t="shared" ref="D77:M77" si="21">IF($B$43="单位面积地价",C77+$K13,C77-$K13)</f>
        <v>100</v>
      </c>
      <c r="E77" s="4398">
        <f t="shared" si="21"/>
        <v>100</v>
      </c>
      <c r="F77" s="4398">
        <f t="shared" si="21"/>
        <v>100</v>
      </c>
      <c r="G77" s="4398">
        <f t="shared" si="21"/>
        <v>100</v>
      </c>
      <c r="H77" s="4398">
        <f t="shared" si="21"/>
        <v>100</v>
      </c>
      <c r="I77" s="4398">
        <f t="shared" si="21"/>
        <v>100</v>
      </c>
      <c r="J77" s="4398">
        <f t="shared" si="21"/>
        <v>100</v>
      </c>
      <c r="K77" s="4398">
        <f t="shared" si="21"/>
        <v>100</v>
      </c>
      <c r="L77" s="4398">
        <f t="shared" si="21"/>
        <v>100</v>
      </c>
      <c r="M77" s="4398">
        <f t="shared" si="21"/>
        <v>100</v>
      </c>
      <c r="N77" s="4390"/>
      <c r="O77" s="4391"/>
      <c r="P77" s="4385"/>
      <c r="Q77" s="4347"/>
      <c r="R77" s="4267"/>
      <c r="S77" s="4267"/>
      <c r="T77" s="4267"/>
      <c r="U77" s="4267"/>
      <c r="V77" s="4267"/>
      <c r="W77" s="4267"/>
      <c r="X77" s="4267"/>
      <c r="Y77" s="4267"/>
      <c r="Z77" s="4267"/>
      <c r="AA77" s="4267"/>
      <c r="AB77" s="4267"/>
      <c r="AC77" s="4267"/>
    </row>
    <row r="78" spans="1:29" s="4244" customFormat="1" ht="14.4" thickTop="1">
      <c r="A78" s="4406"/>
      <c r="B78" s="4392">
        <f>B14</f>
        <v>111</v>
      </c>
      <c r="C78" s="4407"/>
      <c r="D78" s="4407"/>
      <c r="E78" s="4407"/>
      <c r="F78" s="4407"/>
      <c r="G78" s="4407"/>
      <c r="H78" s="4408"/>
      <c r="I78" s="4408"/>
      <c r="J78" s="4408"/>
      <c r="K78" s="4408"/>
      <c r="L78" s="4409"/>
      <c r="M78" s="4410"/>
      <c r="N78" s="4411"/>
      <c r="O78" s="4412"/>
      <c r="P78" s="4413"/>
      <c r="Q78" s="4414"/>
      <c r="R78" s="4415"/>
      <c r="S78" s="4415"/>
      <c r="T78" s="4415"/>
      <c r="U78" s="4415"/>
      <c r="V78" s="4415"/>
      <c r="W78" s="4415"/>
      <c r="X78" s="4415"/>
      <c r="Y78" s="4415"/>
      <c r="Z78" s="4415"/>
      <c r="AA78" s="4415"/>
      <c r="AB78" s="4415"/>
      <c r="AC78" s="4415"/>
    </row>
    <row r="79" spans="1:29" s="4244" customFormat="1" ht="14.4" thickBot="1">
      <c r="A79" s="4406"/>
      <c r="B79" s="4397"/>
      <c r="C79" s="4416"/>
      <c r="D79" s="4388"/>
      <c r="E79" s="4388"/>
      <c r="F79" s="4388"/>
      <c r="G79" s="4388"/>
      <c r="H79" s="4388"/>
      <c r="I79" s="4388"/>
      <c r="J79" s="4388"/>
      <c r="K79" s="4388"/>
      <c r="L79" s="4388"/>
      <c r="M79" s="4389"/>
      <c r="N79" s="4390"/>
      <c r="O79" s="4391"/>
      <c r="P79" s="4413"/>
      <c r="Q79" s="4414"/>
      <c r="R79" s="4415"/>
      <c r="S79" s="4415"/>
      <c r="T79" s="4415"/>
      <c r="U79" s="4415"/>
      <c r="V79" s="4415"/>
      <c r="W79" s="4415"/>
      <c r="X79" s="4415"/>
      <c r="Y79" s="4415"/>
      <c r="Z79" s="4415"/>
      <c r="AA79" s="4415"/>
      <c r="AB79" s="4415"/>
      <c r="AC79" s="4415"/>
    </row>
    <row r="80" spans="1:29" s="4244" customFormat="1" ht="14.4" thickTop="1">
      <c r="A80" s="4406"/>
      <c r="B80" s="4392">
        <f>B15</f>
        <v>111</v>
      </c>
      <c r="C80" s="4407"/>
      <c r="D80" s="4407"/>
      <c r="E80" s="4407"/>
      <c r="F80" s="4407"/>
      <c r="G80" s="4407"/>
      <c r="H80" s="4408"/>
      <c r="I80" s="4408"/>
      <c r="J80" s="4408"/>
      <c r="K80" s="4408"/>
      <c r="L80" s="4409"/>
      <c r="M80" s="4410"/>
      <c r="N80" s="4411"/>
      <c r="O80" s="4412"/>
      <c r="P80" s="4238"/>
      <c r="Q80" s="4417"/>
      <c r="R80" s="4415"/>
      <c r="S80" s="4415"/>
      <c r="T80" s="4415"/>
      <c r="U80" s="4415"/>
      <c r="V80" s="4415"/>
      <c r="W80" s="4415"/>
      <c r="X80" s="4415"/>
      <c r="Y80" s="4415"/>
      <c r="Z80" s="4415"/>
      <c r="AA80" s="4415"/>
      <c r="AB80" s="4415"/>
      <c r="AC80" s="4415"/>
    </row>
    <row r="81" spans="1:29" s="4244" customFormat="1" ht="14.4" thickBot="1">
      <c r="A81" s="4406"/>
      <c r="B81" s="4397"/>
      <c r="C81" s="4416"/>
      <c r="D81" s="4416"/>
      <c r="E81" s="4416"/>
      <c r="F81" s="4416"/>
      <c r="G81" s="4416"/>
      <c r="H81" s="4418"/>
      <c r="I81" s="4418"/>
      <c r="J81" s="4418"/>
      <c r="K81" s="4418"/>
      <c r="L81" s="4418"/>
      <c r="M81" s="4419"/>
      <c r="N81" s="4411"/>
      <c r="O81" s="4412"/>
      <c r="P81" s="4413"/>
      <c r="Q81" s="4414"/>
      <c r="R81" s="4415"/>
      <c r="S81" s="4415"/>
      <c r="T81" s="4415"/>
      <c r="U81" s="4415"/>
      <c r="V81" s="4415"/>
      <c r="W81" s="4415"/>
      <c r="X81" s="4415"/>
      <c r="Y81" s="4415"/>
      <c r="Z81" s="4415"/>
      <c r="AA81" s="4415"/>
      <c r="AB81" s="4415"/>
      <c r="AC81" s="4415"/>
    </row>
    <row r="82" spans="1:29" s="4244" customFormat="1" ht="14.4" thickTop="1">
      <c r="A82" s="4406"/>
      <c r="B82" s="4400">
        <f>B16</f>
        <v>111</v>
      </c>
      <c r="C82" s="4370"/>
      <c r="D82" s="4370"/>
      <c r="E82" s="4370"/>
      <c r="F82" s="4370"/>
      <c r="G82" s="4370"/>
      <c r="H82" s="4420"/>
      <c r="I82" s="4420"/>
      <c r="J82" s="4420"/>
      <c r="K82" s="4420"/>
      <c r="L82" s="4421"/>
      <c r="M82" s="4422"/>
      <c r="N82" s="4411"/>
      <c r="O82" s="4412"/>
      <c r="P82" s="4423"/>
      <c r="Q82" s="4414"/>
      <c r="R82" s="4415"/>
      <c r="S82" s="4415"/>
      <c r="T82" s="4415"/>
      <c r="U82" s="4415"/>
      <c r="V82" s="4415"/>
      <c r="W82" s="4415"/>
      <c r="X82" s="4415"/>
      <c r="Y82" s="4415"/>
      <c r="Z82" s="4415"/>
      <c r="AA82" s="4415"/>
      <c r="AB82" s="4415"/>
      <c r="AC82" s="4415"/>
    </row>
    <row r="83" spans="1:29" s="4244" customFormat="1" ht="14.4" thickBot="1">
      <c r="A83" s="4424"/>
      <c r="B83" s="4425"/>
      <c r="C83" s="4426"/>
      <c r="D83" s="4426"/>
      <c r="E83" s="4426"/>
      <c r="F83" s="4426"/>
      <c r="G83" s="4426"/>
      <c r="H83" s="4427"/>
      <c r="I83" s="4427"/>
      <c r="J83" s="4427"/>
      <c r="K83" s="4427"/>
      <c r="L83" s="4427"/>
      <c r="M83" s="4428"/>
      <c r="N83" s="4411"/>
      <c r="O83" s="4412"/>
      <c r="P83" s="4413"/>
      <c r="Q83" s="4414"/>
      <c r="R83" s="4415"/>
      <c r="S83" s="4415"/>
      <c r="T83" s="4415"/>
      <c r="U83" s="4415"/>
      <c r="V83" s="4415"/>
      <c r="W83" s="4415"/>
      <c r="X83" s="4415"/>
      <c r="Y83" s="4415"/>
      <c r="Z83" s="4415"/>
      <c r="AA83" s="4415"/>
      <c r="AB83" s="4415"/>
      <c r="AC83" s="4415"/>
    </row>
    <row r="84" spans="1:29" ht="14.4">
      <c r="A84" s="4378" t="s">
        <v>3680</v>
      </c>
      <c r="B84" s="4379" t="s">
        <v>549</v>
      </c>
      <c r="C84" s="4429" t="s">
        <v>527</v>
      </c>
      <c r="D84" s="4429" t="s">
        <v>528</v>
      </c>
      <c r="E84" s="4429" t="s">
        <v>3681</v>
      </c>
      <c r="F84" s="4429" t="s">
        <v>530</v>
      </c>
      <c r="G84" s="4429" t="s">
        <v>531</v>
      </c>
      <c r="H84" s="4430"/>
      <c r="I84" s="4430"/>
      <c r="J84" s="4430"/>
      <c r="K84" s="4431"/>
      <c r="L84" s="4432"/>
      <c r="M84" s="4433"/>
      <c r="N84" s="4383"/>
      <c r="O84" s="4384"/>
      <c r="P84" s="4434"/>
      <c r="Q84" s="4347"/>
      <c r="R84" s="4267"/>
      <c r="S84" s="4267"/>
      <c r="T84" s="4267"/>
      <c r="U84" s="4267"/>
      <c r="V84" s="4267"/>
      <c r="W84" s="4267"/>
      <c r="X84" s="4267"/>
      <c r="Y84" s="4267"/>
      <c r="Z84" s="4267"/>
      <c r="AA84" s="4267"/>
      <c r="AB84" s="4267"/>
      <c r="AC84" s="4267"/>
    </row>
    <row r="85" spans="1:29" ht="14.4" thickBot="1">
      <c r="A85" s="4386"/>
      <c r="B85" s="4397"/>
      <c r="C85" s="4398">
        <v>100</v>
      </c>
      <c r="D85" s="4398">
        <f>C85-$K17</f>
        <v>95</v>
      </c>
      <c r="E85" s="4398">
        <f>D85-$K17</f>
        <v>90</v>
      </c>
      <c r="F85" s="4398">
        <f>E85-$K17</f>
        <v>85</v>
      </c>
      <c r="G85" s="4398">
        <f>F85-$K17</f>
        <v>80</v>
      </c>
      <c r="H85" s="4398"/>
      <c r="I85" s="4398"/>
      <c r="J85" s="4398"/>
      <c r="K85" s="4398"/>
      <c r="L85" s="4398"/>
      <c r="M85" s="4399"/>
      <c r="N85" s="4390"/>
      <c r="O85" s="4391"/>
      <c r="P85" s="4385"/>
      <c r="Q85" s="4347"/>
      <c r="R85" s="4267"/>
      <c r="S85" s="4267"/>
      <c r="T85" s="4267"/>
      <c r="U85" s="4267"/>
      <c r="V85" s="4267"/>
      <c r="W85" s="4267"/>
      <c r="X85" s="4267"/>
      <c r="Y85" s="4267"/>
      <c r="Z85" s="4267"/>
      <c r="AA85" s="4267"/>
      <c r="AB85" s="4267"/>
      <c r="AC85" s="4267"/>
    </row>
    <row r="86" spans="1:29" ht="15" thickTop="1">
      <c r="A86" s="4386"/>
      <c r="B86" s="4392" t="s">
        <v>534</v>
      </c>
      <c r="C86" s="4435" t="s">
        <v>527</v>
      </c>
      <c r="D86" s="4435" t="s">
        <v>528</v>
      </c>
      <c r="E86" s="4435" t="s">
        <v>529</v>
      </c>
      <c r="F86" s="4435" t="s">
        <v>3682</v>
      </c>
      <c r="G86" s="4435" t="s">
        <v>3683</v>
      </c>
      <c r="H86" s="4393"/>
      <c r="I86" s="4393"/>
      <c r="J86" s="4393"/>
      <c r="K86" s="4394"/>
      <c r="L86" s="4395"/>
      <c r="M86" s="4396"/>
      <c r="N86" s="4383"/>
      <c r="O86" s="4384"/>
      <c r="P86" s="4385"/>
      <c r="Q86" s="4347"/>
      <c r="R86" s="4267"/>
      <c r="S86" s="4267"/>
      <c r="T86" s="4267"/>
      <c r="U86" s="4267"/>
      <c r="V86" s="4267"/>
      <c r="W86" s="4267"/>
      <c r="X86" s="4267"/>
      <c r="Y86" s="4267"/>
      <c r="Z86" s="4267"/>
      <c r="AA86" s="4267"/>
      <c r="AB86" s="4267"/>
      <c r="AC86" s="4267"/>
    </row>
    <row r="87" spans="1:29" ht="14.4" thickBot="1">
      <c r="A87" s="4386"/>
      <c r="B87" s="4397"/>
      <c r="C87" s="4398">
        <v>100</v>
      </c>
      <c r="D87" s="4398">
        <f>C87-$K19</f>
        <v>97</v>
      </c>
      <c r="E87" s="4398">
        <f>D87-$K19</f>
        <v>94</v>
      </c>
      <c r="F87" s="4398">
        <f>E87-$K19</f>
        <v>91</v>
      </c>
      <c r="G87" s="4398">
        <f>F87-$K19</f>
        <v>88</v>
      </c>
      <c r="H87" s="4398"/>
      <c r="I87" s="4398"/>
      <c r="J87" s="4398"/>
      <c r="K87" s="4398"/>
      <c r="L87" s="4398"/>
      <c r="M87" s="4399"/>
      <c r="N87" s="4390"/>
      <c r="O87" s="4391"/>
      <c r="P87" s="4385"/>
      <c r="Q87" s="4347"/>
      <c r="R87" s="4267"/>
      <c r="S87" s="4267"/>
      <c r="T87" s="4267"/>
      <c r="U87" s="4267"/>
      <c r="V87" s="4267"/>
      <c r="W87" s="4267"/>
      <c r="X87" s="4267"/>
      <c r="Y87" s="4267"/>
      <c r="Z87" s="4267"/>
      <c r="AA87" s="4267"/>
      <c r="AB87" s="4267"/>
      <c r="AC87" s="4267"/>
    </row>
    <row r="88" spans="1:29" s="4145" customFormat="1" ht="29.4" thickTop="1">
      <c r="A88" s="4436"/>
      <c r="B88" s="4392" t="s">
        <v>535</v>
      </c>
      <c r="C88" s="4435" t="s">
        <v>527</v>
      </c>
      <c r="D88" s="4435" t="s">
        <v>528</v>
      </c>
      <c r="E88" s="4435" t="s">
        <v>529</v>
      </c>
      <c r="F88" s="4435" t="s">
        <v>530</v>
      </c>
      <c r="G88" s="4435" t="s">
        <v>531</v>
      </c>
      <c r="H88" s="4435"/>
      <c r="I88" s="4435"/>
      <c r="J88" s="4435"/>
      <c r="K88" s="4435"/>
      <c r="L88" s="4437"/>
      <c r="M88" s="4438"/>
      <c r="N88" s="4373"/>
      <c r="O88" s="4359"/>
      <c r="P88" s="4385"/>
      <c r="Q88" s="4347"/>
      <c r="R88" s="4360"/>
      <c r="S88" s="4360"/>
      <c r="T88" s="4360"/>
      <c r="U88" s="4360"/>
      <c r="V88" s="4360"/>
      <c r="W88" s="4360"/>
      <c r="X88" s="4360"/>
      <c r="Y88" s="4360"/>
      <c r="Z88" s="4360"/>
      <c r="AA88" s="4360"/>
      <c r="AB88" s="4360"/>
      <c r="AC88" s="4360"/>
    </row>
    <row r="89" spans="1:29" s="4145" customFormat="1" ht="14.4" thickBot="1">
      <c r="A89" s="4436"/>
      <c r="B89" s="4397"/>
      <c r="C89" s="4439">
        <v>100</v>
      </c>
      <c r="D89" s="4398">
        <f>C89-$K21</f>
        <v>100</v>
      </c>
      <c r="E89" s="4398">
        <f>D89-$K21</f>
        <v>100</v>
      </c>
      <c r="F89" s="4398">
        <f>E89-$K21</f>
        <v>100</v>
      </c>
      <c r="G89" s="4398">
        <f>F89-$K21</f>
        <v>100</v>
      </c>
      <c r="H89" s="4398"/>
      <c r="I89" s="4398"/>
      <c r="J89" s="4398"/>
      <c r="K89" s="4398"/>
      <c r="L89" s="4398"/>
      <c r="M89" s="4399"/>
      <c r="N89" s="4390"/>
      <c r="O89" s="4391"/>
      <c r="P89" s="4385"/>
      <c r="Q89" s="4347"/>
      <c r="R89" s="4360"/>
      <c r="S89" s="4360"/>
      <c r="T89" s="4360"/>
      <c r="U89" s="4360"/>
      <c r="V89" s="4360"/>
      <c r="W89" s="4360"/>
      <c r="X89" s="4360"/>
      <c r="Y89" s="4360"/>
      <c r="Z89" s="4360"/>
      <c r="AA89" s="4360"/>
      <c r="AB89" s="4360"/>
      <c r="AC89" s="4360"/>
    </row>
    <row r="90" spans="1:29" s="4145" customFormat="1" ht="29.4" thickTop="1">
      <c r="A90" s="4436"/>
      <c r="B90" s="4392" t="s">
        <v>536</v>
      </c>
      <c r="C90" s="4429" t="s">
        <v>3642</v>
      </c>
      <c r="D90" s="4429" t="s">
        <v>528</v>
      </c>
      <c r="E90" s="4429" t="s">
        <v>529</v>
      </c>
      <c r="F90" s="4429" t="s">
        <v>530</v>
      </c>
      <c r="G90" s="4429" t="s">
        <v>3684</v>
      </c>
      <c r="H90" s="4435"/>
      <c r="I90" s="4435"/>
      <c r="J90" s="4435"/>
      <c r="K90" s="4435"/>
      <c r="L90" s="4435"/>
      <c r="M90" s="4438"/>
      <c r="N90" s="4373"/>
      <c r="O90" s="4359"/>
      <c r="P90" s="4385"/>
      <c r="Q90" s="4347"/>
      <c r="R90" s="4360"/>
      <c r="S90" s="4360"/>
      <c r="T90" s="4360"/>
      <c r="U90" s="4360"/>
      <c r="V90" s="4360"/>
      <c r="W90" s="4360"/>
      <c r="X90" s="4360"/>
      <c r="Y90" s="4360"/>
      <c r="Z90" s="4360"/>
      <c r="AA90" s="4360"/>
      <c r="AB90" s="4360"/>
      <c r="AC90" s="4360"/>
    </row>
    <row r="91" spans="1:29" s="4145" customFormat="1" ht="14.4" thickBot="1">
      <c r="A91" s="4436"/>
      <c r="B91" s="4397"/>
      <c r="C91" s="4398">
        <v>100</v>
      </c>
      <c r="D91" s="4398">
        <f>C91-$K23</f>
        <v>98</v>
      </c>
      <c r="E91" s="4398">
        <f>D91-$K23</f>
        <v>96</v>
      </c>
      <c r="F91" s="4398">
        <f>E91-$K23</f>
        <v>94</v>
      </c>
      <c r="G91" s="4398">
        <f>F91-$K23</f>
        <v>92</v>
      </c>
      <c r="H91" s="4398"/>
      <c r="I91" s="4398"/>
      <c r="J91" s="4398"/>
      <c r="K91" s="4398"/>
      <c r="L91" s="4398"/>
      <c r="M91" s="4399"/>
      <c r="N91" s="4390"/>
      <c r="O91" s="4391"/>
      <c r="P91" s="4385"/>
      <c r="Q91" s="4347"/>
      <c r="R91" s="4360"/>
      <c r="S91" s="4360"/>
      <c r="T91" s="4360"/>
      <c r="U91" s="4360"/>
      <c r="V91" s="4360"/>
      <c r="W91" s="4360"/>
      <c r="X91" s="4360"/>
      <c r="Y91" s="4360"/>
      <c r="Z91" s="4360"/>
      <c r="AA91" s="4360"/>
      <c r="AB91" s="4360"/>
      <c r="AC91" s="4360"/>
    </row>
    <row r="92" spans="1:29" s="4244" customFormat="1" ht="15" thickTop="1">
      <c r="A92" s="4406"/>
      <c r="B92" s="4440" t="s">
        <v>3685</v>
      </c>
      <c r="C92" s="4429" t="s">
        <v>527</v>
      </c>
      <c r="D92" s="4429" t="s">
        <v>528</v>
      </c>
      <c r="E92" s="4429" t="s">
        <v>529</v>
      </c>
      <c r="F92" s="4429" t="s">
        <v>530</v>
      </c>
      <c r="G92" s="4429" t="s">
        <v>531</v>
      </c>
      <c r="H92" s="4441"/>
      <c r="I92" s="4441"/>
      <c r="J92" s="4441"/>
      <c r="K92" s="4441"/>
      <c r="L92" s="4442"/>
      <c r="M92" s="4443"/>
      <c r="N92" s="4411"/>
      <c r="O92" s="4412"/>
      <c r="P92" s="4413"/>
      <c r="Q92" s="4414"/>
      <c r="R92" s="4415"/>
      <c r="S92" s="4415"/>
      <c r="T92" s="4415"/>
      <c r="U92" s="4415"/>
      <c r="V92" s="4415"/>
      <c r="W92" s="4415"/>
      <c r="X92" s="4415"/>
      <c r="Y92" s="4415"/>
      <c r="Z92" s="4415"/>
      <c r="AA92" s="4415"/>
      <c r="AB92" s="4415"/>
      <c r="AC92" s="4415"/>
    </row>
    <row r="93" spans="1:29" s="4244" customFormat="1" ht="14.4" thickBot="1">
      <c r="A93" s="4406"/>
      <c r="B93" s="4397"/>
      <c r="C93" s="4398">
        <v>100</v>
      </c>
      <c r="D93" s="4398">
        <f>C93-$K25</f>
        <v>98</v>
      </c>
      <c r="E93" s="4398">
        <f>D93-$K25</f>
        <v>96</v>
      </c>
      <c r="F93" s="4398">
        <f>E93-$K25</f>
        <v>94</v>
      </c>
      <c r="G93" s="4398">
        <f>F93-$K25</f>
        <v>92</v>
      </c>
      <c r="H93" s="4444"/>
      <c r="I93" s="4444"/>
      <c r="J93" s="4444"/>
      <c r="K93" s="4444"/>
      <c r="L93" s="4444"/>
      <c r="M93" s="4445"/>
      <c r="N93" s="4411"/>
      <c r="O93" s="4412"/>
      <c r="P93" s="4413"/>
      <c r="Q93" s="4414"/>
      <c r="R93" s="4415"/>
      <c r="S93" s="4415"/>
      <c r="T93" s="4415"/>
      <c r="U93" s="4415"/>
      <c r="V93" s="4415"/>
      <c r="W93" s="4415"/>
      <c r="X93" s="4415"/>
      <c r="Y93" s="4415"/>
      <c r="Z93" s="4415"/>
      <c r="AA93" s="4415"/>
      <c r="AB93" s="4415"/>
      <c r="AC93" s="4415"/>
    </row>
    <row r="94" spans="1:29" s="4244" customFormat="1" ht="15" thickTop="1">
      <c r="A94" s="4406"/>
      <c r="B94" s="4446" t="s">
        <v>3510</v>
      </c>
      <c r="C94" s="4447" t="s">
        <v>1501</v>
      </c>
      <c r="D94" s="4447" t="s">
        <v>1500</v>
      </c>
      <c r="E94" s="4447" t="s">
        <v>1499</v>
      </c>
      <c r="F94" s="4447" t="s">
        <v>1498</v>
      </c>
      <c r="G94" s="4447" t="s">
        <v>1497</v>
      </c>
      <c r="H94" s="4441"/>
      <c r="I94" s="4441"/>
      <c r="J94" s="4441"/>
      <c r="K94" s="4441"/>
      <c r="L94" s="4441"/>
      <c r="M94" s="4443"/>
      <c r="N94" s="4411"/>
      <c r="O94" s="4412"/>
      <c r="P94" s="4413"/>
      <c r="Q94" s="4414"/>
      <c r="R94" s="4415"/>
      <c r="S94" s="4415"/>
      <c r="T94" s="4415"/>
      <c r="U94" s="4415"/>
      <c r="V94" s="4415"/>
      <c r="W94" s="4415"/>
      <c r="X94" s="4415"/>
      <c r="Y94" s="4415"/>
      <c r="Z94" s="4415"/>
      <c r="AA94" s="4415"/>
      <c r="AB94" s="4415"/>
      <c r="AC94" s="4415"/>
    </row>
    <row r="95" spans="1:29" s="4244" customFormat="1" ht="14.4" thickBot="1">
      <c r="A95" s="4406"/>
      <c r="B95" s="4400"/>
      <c r="C95" s="4398">
        <v>100</v>
      </c>
      <c r="D95" s="4398">
        <f>C95-$K27</f>
        <v>100</v>
      </c>
      <c r="E95" s="4398">
        <f>D95-$K27</f>
        <v>100</v>
      </c>
      <c r="F95" s="4398">
        <f>E95-$K27</f>
        <v>100</v>
      </c>
      <c r="G95" s="4398">
        <f>F95-$K27</f>
        <v>100</v>
      </c>
      <c r="H95" s="4402"/>
      <c r="I95" s="4402"/>
      <c r="J95" s="4402"/>
      <c r="K95" s="4402"/>
      <c r="L95" s="4402"/>
      <c r="M95" s="4448"/>
      <c r="N95" s="4411"/>
      <c r="O95" s="4412"/>
      <c r="P95" s="4413"/>
      <c r="Q95" s="4414"/>
      <c r="R95" s="4415"/>
      <c r="S95" s="4415"/>
      <c r="T95" s="4415"/>
      <c r="U95" s="4415"/>
      <c r="V95" s="4415"/>
      <c r="W95" s="4415"/>
      <c r="X95" s="4415"/>
      <c r="Y95" s="4415"/>
      <c r="Z95" s="4415"/>
      <c r="AA95" s="4415"/>
      <c r="AB95" s="4415"/>
      <c r="AC95" s="4415"/>
    </row>
    <row r="96" spans="1:29" ht="15" thickTop="1">
      <c r="A96" s="4386"/>
      <c r="B96" s="4392" t="str">
        <f>B29</f>
        <v>临街状况</v>
      </c>
      <c r="C96" s="4393" t="s">
        <v>3686</v>
      </c>
      <c r="D96" s="4393" t="s">
        <v>3687</v>
      </c>
      <c r="E96" s="4393" t="s">
        <v>3688</v>
      </c>
      <c r="F96" s="4393" t="s">
        <v>3689</v>
      </c>
      <c r="G96" s="4393"/>
      <c r="H96" s="4393"/>
      <c r="I96" s="4393"/>
      <c r="J96" s="4393"/>
      <c r="K96" s="4394"/>
      <c r="L96" s="4395"/>
      <c r="M96" s="4396"/>
      <c r="N96" s="4383"/>
      <c r="O96" s="4384"/>
      <c r="P96" s="4385"/>
      <c r="Q96" s="4347"/>
      <c r="R96" s="4267"/>
      <c r="S96" s="4267"/>
      <c r="T96" s="4267"/>
      <c r="U96" s="4267"/>
      <c r="V96" s="4267"/>
      <c r="W96" s="4267"/>
      <c r="X96" s="4267"/>
      <c r="Y96" s="4267"/>
      <c r="Z96" s="4267"/>
      <c r="AA96" s="4267"/>
      <c r="AB96" s="4267"/>
      <c r="AC96" s="4267"/>
    </row>
    <row r="97" spans="1:29" ht="14.4" thickBot="1">
      <c r="A97" s="4386"/>
      <c r="B97" s="4397"/>
      <c r="C97" s="4398">
        <v>100</v>
      </c>
      <c r="D97" s="4398">
        <f t="shared" ref="D97:M97" si="22">C97-$K29</f>
        <v>100</v>
      </c>
      <c r="E97" s="4398">
        <f t="shared" si="22"/>
        <v>100</v>
      </c>
      <c r="F97" s="4398">
        <f t="shared" si="22"/>
        <v>100</v>
      </c>
      <c r="G97" s="4398">
        <f t="shared" si="22"/>
        <v>100</v>
      </c>
      <c r="H97" s="4398">
        <f t="shared" si="22"/>
        <v>100</v>
      </c>
      <c r="I97" s="4398">
        <f t="shared" si="22"/>
        <v>100</v>
      </c>
      <c r="J97" s="4398">
        <f t="shared" si="22"/>
        <v>100</v>
      </c>
      <c r="K97" s="4398">
        <f t="shared" si="22"/>
        <v>100</v>
      </c>
      <c r="L97" s="4398">
        <f t="shared" si="22"/>
        <v>100</v>
      </c>
      <c r="M97" s="4398">
        <f t="shared" si="22"/>
        <v>100</v>
      </c>
      <c r="N97" s="4390"/>
      <c r="O97" s="4391"/>
      <c r="P97" s="4385"/>
      <c r="Q97" s="4347"/>
      <c r="R97" s="4267"/>
      <c r="S97" s="4267"/>
      <c r="T97" s="4267"/>
      <c r="U97" s="4267"/>
      <c r="V97" s="4267"/>
      <c r="W97" s="4267"/>
      <c r="X97" s="4267"/>
      <c r="Y97" s="4267"/>
      <c r="Z97" s="4267"/>
      <c r="AA97" s="4267"/>
      <c r="AB97" s="4267"/>
      <c r="AC97" s="4267"/>
    </row>
    <row r="98" spans="1:29" ht="29.4" thickTop="1">
      <c r="A98" s="4386"/>
      <c r="B98" s="4392" t="s">
        <v>724</v>
      </c>
      <c r="C98" s="4407"/>
      <c r="D98" s="4407"/>
      <c r="E98" s="4407"/>
      <c r="F98" s="4407"/>
      <c r="G98" s="4407"/>
      <c r="H98" s="4450"/>
      <c r="I98" s="4450"/>
      <c r="J98" s="4450"/>
      <c r="K98" s="4451"/>
      <c r="L98" s="4452"/>
      <c r="M98" s="4453"/>
      <c r="N98" s="4383"/>
      <c r="O98" s="4384"/>
      <c r="P98" s="4385"/>
      <c r="Q98" s="4347"/>
      <c r="R98" s="4267"/>
      <c r="S98" s="4267"/>
      <c r="T98" s="4267"/>
      <c r="U98" s="4267"/>
      <c r="V98" s="4267"/>
      <c r="W98" s="4267"/>
      <c r="X98" s="4267"/>
      <c r="Y98" s="4267"/>
      <c r="Z98" s="4267"/>
      <c r="AA98" s="4267"/>
      <c r="AB98" s="4267"/>
      <c r="AC98" s="4267"/>
    </row>
    <row r="99" spans="1:29" ht="14.4" thickBot="1">
      <c r="A99" s="4386"/>
      <c r="B99" s="4397"/>
      <c r="C99" s="4398">
        <v>100</v>
      </c>
      <c r="D99" s="4398">
        <f t="shared" ref="D99:M99" si="23">C99-$K30</f>
        <v>100</v>
      </c>
      <c r="E99" s="4398">
        <f t="shared" si="23"/>
        <v>100</v>
      </c>
      <c r="F99" s="4398">
        <f t="shared" si="23"/>
        <v>100</v>
      </c>
      <c r="G99" s="4398">
        <f t="shared" si="23"/>
        <v>100</v>
      </c>
      <c r="H99" s="4398">
        <f t="shared" si="23"/>
        <v>100</v>
      </c>
      <c r="I99" s="4398">
        <f t="shared" si="23"/>
        <v>100</v>
      </c>
      <c r="J99" s="4398">
        <f t="shared" si="23"/>
        <v>100</v>
      </c>
      <c r="K99" s="4398">
        <f t="shared" si="23"/>
        <v>100</v>
      </c>
      <c r="L99" s="4398">
        <f t="shared" si="23"/>
        <v>100</v>
      </c>
      <c r="M99" s="4398">
        <f t="shared" si="23"/>
        <v>100</v>
      </c>
      <c r="N99" s="4390"/>
      <c r="O99" s="4391"/>
      <c r="P99" s="4385"/>
      <c r="Q99" s="4347"/>
      <c r="R99" s="4267"/>
      <c r="S99" s="4267"/>
      <c r="T99" s="4267"/>
      <c r="U99" s="4267"/>
      <c r="V99" s="4267"/>
      <c r="W99" s="4267"/>
      <c r="X99" s="4267"/>
      <c r="Y99" s="4267"/>
      <c r="Z99" s="4267"/>
      <c r="AA99" s="4267"/>
      <c r="AB99" s="4267"/>
      <c r="AC99" s="4267"/>
    </row>
    <row r="100" spans="1:29" ht="15" thickTop="1">
      <c r="A100" s="4386"/>
      <c r="B100" s="4392" t="s">
        <v>3513</v>
      </c>
      <c r="C100" s="4454" t="s">
        <v>2171</v>
      </c>
      <c r="D100" s="4454" t="s">
        <v>2172</v>
      </c>
      <c r="E100" s="4454" t="s">
        <v>2173</v>
      </c>
      <c r="F100" s="4454" t="s">
        <v>2174</v>
      </c>
      <c r="G100" s="4450"/>
      <c r="H100" s="4450"/>
      <c r="I100" s="4450"/>
      <c r="J100" s="4450"/>
      <c r="K100" s="4451"/>
      <c r="L100" s="4452"/>
      <c r="M100" s="4453"/>
      <c r="N100" s="4383"/>
      <c r="O100" s="4384"/>
      <c r="P100" s="4385"/>
      <c r="Q100" s="4347"/>
      <c r="R100" s="4267"/>
      <c r="S100" s="4267"/>
      <c r="T100" s="4267"/>
      <c r="U100" s="4267"/>
      <c r="V100" s="4267"/>
      <c r="W100" s="4267"/>
      <c r="X100" s="4267"/>
      <c r="Y100" s="4267"/>
      <c r="Z100" s="4267"/>
      <c r="AA100" s="4267"/>
      <c r="AB100" s="4267"/>
      <c r="AC100" s="4267"/>
    </row>
    <row r="101" spans="1:29" ht="14.4" thickBot="1">
      <c r="A101" s="4386"/>
      <c r="B101" s="4397"/>
      <c r="C101" s="4398">
        <v>100</v>
      </c>
      <c r="D101" s="4398">
        <f t="shared" ref="D101:M101" si="24">C101-$K32</f>
        <v>100</v>
      </c>
      <c r="E101" s="4398">
        <f t="shared" si="24"/>
        <v>100</v>
      </c>
      <c r="F101" s="4398">
        <f t="shared" si="24"/>
        <v>100</v>
      </c>
      <c r="G101" s="4398">
        <f t="shared" si="24"/>
        <v>100</v>
      </c>
      <c r="H101" s="4398">
        <f t="shared" si="24"/>
        <v>100</v>
      </c>
      <c r="I101" s="4398">
        <f t="shared" si="24"/>
        <v>100</v>
      </c>
      <c r="J101" s="4398">
        <f t="shared" si="24"/>
        <v>100</v>
      </c>
      <c r="K101" s="4398">
        <f t="shared" si="24"/>
        <v>100</v>
      </c>
      <c r="L101" s="4398">
        <f t="shared" si="24"/>
        <v>100</v>
      </c>
      <c r="M101" s="4398">
        <f t="shared" si="24"/>
        <v>100</v>
      </c>
      <c r="N101" s="4390"/>
      <c r="O101" s="4391"/>
      <c r="P101" s="4385"/>
      <c r="Q101" s="4347"/>
      <c r="R101" s="4267"/>
      <c r="S101" s="4267"/>
      <c r="T101" s="4267"/>
      <c r="U101" s="4267"/>
      <c r="V101" s="4267"/>
      <c r="W101" s="4267"/>
      <c r="X101" s="4267"/>
      <c r="Y101" s="4267"/>
      <c r="Z101" s="4267"/>
      <c r="AA101" s="4267"/>
      <c r="AB101" s="4267"/>
      <c r="AC101" s="4267"/>
    </row>
    <row r="102" spans="1:29" ht="14.4" thickTop="1">
      <c r="A102" s="4386"/>
      <c r="B102" s="4400">
        <f>B33</f>
        <v>111</v>
      </c>
      <c r="C102" s="4407"/>
      <c r="D102" s="4407"/>
      <c r="E102" s="4407"/>
      <c r="F102" s="4407"/>
      <c r="G102" s="4455"/>
      <c r="H102" s="4455"/>
      <c r="I102" s="4455"/>
      <c r="J102" s="4455"/>
      <c r="K102" s="4456"/>
      <c r="L102" s="4457"/>
      <c r="M102" s="4458"/>
      <c r="N102" s="4383"/>
      <c r="O102" s="4384"/>
      <c r="P102" s="4385"/>
      <c r="Q102" s="4347"/>
      <c r="R102" s="4267"/>
      <c r="S102" s="4267"/>
      <c r="T102" s="4267"/>
      <c r="U102" s="4267"/>
      <c r="V102" s="4267"/>
      <c r="W102" s="4267"/>
      <c r="X102" s="4267"/>
      <c r="Y102" s="4267"/>
      <c r="Z102" s="4267"/>
      <c r="AA102" s="4267"/>
      <c r="AB102" s="4267"/>
      <c r="AC102" s="4267"/>
    </row>
    <row r="103" spans="1:29" ht="14.4" thickBot="1">
      <c r="A103" s="4386"/>
      <c r="B103" s="4425"/>
      <c r="C103" s="4416"/>
      <c r="D103" s="4388"/>
      <c r="E103" s="4388"/>
      <c r="F103" s="4388"/>
      <c r="G103" s="4459"/>
      <c r="H103" s="4459"/>
      <c r="I103" s="4459"/>
      <c r="J103" s="4459"/>
      <c r="K103" s="4459"/>
      <c r="L103" s="4459"/>
      <c r="M103" s="4460"/>
      <c r="N103" s="4390"/>
      <c r="O103" s="4391"/>
      <c r="P103" s="4385"/>
      <c r="Q103" s="4347"/>
      <c r="R103" s="4267"/>
      <c r="S103" s="4267"/>
      <c r="T103" s="4267"/>
      <c r="U103" s="4267"/>
      <c r="V103" s="4267"/>
      <c r="W103" s="4267"/>
      <c r="X103" s="4267"/>
      <c r="Y103" s="4267"/>
      <c r="Z103" s="4267"/>
      <c r="AA103" s="4267"/>
      <c r="AB103" s="4267"/>
      <c r="AC103" s="4267"/>
    </row>
    <row r="104" spans="1:29" ht="14.4" thickTop="1">
      <c r="A104" s="4229"/>
      <c r="B104" s="4392">
        <f>B34</f>
        <v>111</v>
      </c>
      <c r="C104" s="4407"/>
      <c r="D104" s="4407"/>
      <c r="E104" s="4407"/>
      <c r="F104" s="4407"/>
      <c r="G104" s="4450"/>
      <c r="H104" s="4450"/>
      <c r="I104" s="4450"/>
      <c r="J104" s="4450"/>
      <c r="K104" s="4451"/>
      <c r="L104" s="4452"/>
      <c r="M104" s="4453"/>
      <c r="N104" s="4383"/>
      <c r="O104" s="4384"/>
      <c r="P104" s="4385"/>
      <c r="Q104" s="4347"/>
      <c r="R104" s="4267"/>
      <c r="S104" s="4267"/>
      <c r="T104" s="4267"/>
      <c r="U104" s="4267"/>
      <c r="V104" s="4267"/>
      <c r="W104" s="4267"/>
      <c r="X104" s="4267"/>
      <c r="Y104" s="4267"/>
      <c r="Z104" s="4267"/>
      <c r="AA104" s="4267"/>
      <c r="AB104" s="4267"/>
      <c r="AC104" s="4267"/>
    </row>
    <row r="105" spans="1:29" ht="14.4" thickBot="1">
      <c r="A105" s="4386"/>
      <c r="B105" s="4397"/>
      <c r="C105" s="4416"/>
      <c r="D105" s="4416"/>
      <c r="E105" s="4416"/>
      <c r="F105" s="4416"/>
      <c r="G105" s="4388"/>
      <c r="H105" s="4388"/>
      <c r="I105" s="4388"/>
      <c r="J105" s="4388"/>
      <c r="K105" s="4388"/>
      <c r="L105" s="4388"/>
      <c r="M105" s="4389"/>
      <c r="N105" s="4390"/>
      <c r="O105" s="4391"/>
      <c r="P105" s="4385"/>
      <c r="Q105" s="4347"/>
      <c r="R105" s="4267"/>
      <c r="S105" s="4267"/>
      <c r="T105" s="4267"/>
      <c r="U105" s="4267"/>
      <c r="V105" s="4267"/>
      <c r="W105" s="4267"/>
      <c r="X105" s="4267"/>
      <c r="Y105" s="4267"/>
      <c r="Z105" s="4267"/>
      <c r="AA105" s="4267"/>
      <c r="AB105" s="4267"/>
      <c r="AC105" s="4267"/>
    </row>
    <row r="106" spans="1:29" s="4244" customFormat="1" ht="14.4" thickTop="1">
      <c r="A106" s="4461"/>
      <c r="B106" s="4462">
        <f>B35</f>
        <v>111</v>
      </c>
      <c r="C106" s="4370"/>
      <c r="D106" s="4370"/>
      <c r="E106" s="4370"/>
      <c r="F106" s="4370"/>
      <c r="G106" s="4358"/>
      <c r="H106" s="4358"/>
      <c r="I106" s="4358"/>
      <c r="J106" s="4463"/>
      <c r="K106" s="4463"/>
      <c r="L106" s="4464"/>
      <c r="M106" s="4465"/>
      <c r="N106" s="4411"/>
      <c r="O106" s="4412"/>
      <c r="P106" s="4413"/>
      <c r="Q106" s="4414"/>
      <c r="R106" s="4415"/>
      <c r="S106" s="4415"/>
      <c r="T106" s="4415"/>
      <c r="U106" s="4415"/>
      <c r="V106" s="4415"/>
      <c r="W106" s="4415"/>
      <c r="X106" s="4415"/>
      <c r="Y106" s="4415"/>
      <c r="Z106" s="4415"/>
      <c r="AA106" s="4415"/>
      <c r="AB106" s="4415"/>
      <c r="AC106" s="4415"/>
    </row>
    <row r="107" spans="1:29" s="4244" customFormat="1" ht="14.4" thickBot="1">
      <c r="A107" s="4406"/>
      <c r="B107" s="4400"/>
      <c r="C107" s="4426"/>
      <c r="D107" s="4426"/>
      <c r="E107" s="4426"/>
      <c r="F107" s="4426"/>
      <c r="G107" s="4466"/>
      <c r="H107" s="4466"/>
      <c r="I107" s="4466"/>
      <c r="J107" s="4466"/>
      <c r="K107" s="4466"/>
      <c r="L107" s="4466"/>
      <c r="M107" s="4467"/>
      <c r="N107" s="4390"/>
      <c r="O107" s="4391"/>
      <c r="P107" s="4413"/>
      <c r="Q107" s="4414"/>
      <c r="R107" s="4415"/>
      <c r="S107" s="4415"/>
      <c r="T107" s="4415"/>
      <c r="U107" s="4415"/>
      <c r="V107" s="4415"/>
      <c r="W107" s="4415"/>
      <c r="X107" s="4415"/>
      <c r="Y107" s="4415"/>
      <c r="Z107" s="4415"/>
      <c r="AA107" s="4415"/>
      <c r="AB107" s="4415"/>
      <c r="AC107" s="4415"/>
    </row>
    <row r="108" spans="1:29" ht="27.6">
      <c r="A108" s="4378" t="s">
        <v>500</v>
      </c>
      <c r="B108" s="4379" t="s">
        <v>541</v>
      </c>
      <c r="C108" s="4430" t="str">
        <f t="shared" ref="C108:L108" si="25">C109&amp;"(含)"&amp;"-"&amp;D109</f>
        <v>0(含)-100000</v>
      </c>
      <c r="D108" s="4430" t="str">
        <f t="shared" si="25"/>
        <v>100000(含)-150000</v>
      </c>
      <c r="E108" s="4430" t="str">
        <f t="shared" si="25"/>
        <v>150000(含)-</v>
      </c>
      <c r="F108" s="4430" t="str">
        <f t="shared" si="25"/>
        <v>(含)-</v>
      </c>
      <c r="G108" s="4430" t="str">
        <f t="shared" si="25"/>
        <v>(含)-</v>
      </c>
      <c r="H108" s="4430" t="str">
        <f t="shared" si="25"/>
        <v>(含)-</v>
      </c>
      <c r="I108" s="4430" t="str">
        <f t="shared" si="25"/>
        <v>(含)-</v>
      </c>
      <c r="J108" s="4430" t="str">
        <f t="shared" si="25"/>
        <v>(含)-</v>
      </c>
      <c r="K108" s="4468" t="str">
        <f t="shared" si="25"/>
        <v>(含)-</v>
      </c>
      <c r="L108" s="4469" t="str">
        <f t="shared" si="25"/>
        <v>(含)-</v>
      </c>
      <c r="M108" s="4470" t="str">
        <f>M109&amp;"(含)"&amp;"-"&amp;P109</f>
        <v>(含)-</v>
      </c>
      <c r="N108" s="4383"/>
      <c r="O108" s="4384"/>
      <c r="P108" s="4385"/>
      <c r="Q108" s="4347"/>
      <c r="R108" s="4267"/>
      <c r="S108" s="4267"/>
      <c r="T108" s="4267"/>
      <c r="U108" s="4267"/>
      <c r="V108" s="4267"/>
      <c r="W108" s="4267"/>
      <c r="X108" s="4267"/>
      <c r="Y108" s="4267"/>
      <c r="Z108" s="4267"/>
      <c r="AA108" s="4267"/>
      <c r="AB108" s="4267"/>
      <c r="AC108" s="4267"/>
    </row>
    <row r="109" spans="1:29">
      <c r="A109" s="4386"/>
      <c r="B109" s="4400"/>
      <c r="C109" s="4358">
        <v>0</v>
      </c>
      <c r="D109" s="4358">
        <v>100000</v>
      </c>
      <c r="E109" s="4358">
        <v>150000</v>
      </c>
      <c r="F109" s="4358"/>
      <c r="G109" s="4358"/>
      <c r="H109" s="4358"/>
      <c r="I109" s="4358"/>
      <c r="J109" s="4463"/>
      <c r="K109" s="4463"/>
      <c r="L109" s="4464"/>
      <c r="M109" s="4465"/>
      <c r="N109" s="4383"/>
      <c r="O109" s="4384"/>
      <c r="P109" s="4385"/>
      <c r="Q109" s="4347"/>
      <c r="R109" s="4267"/>
      <c r="S109" s="4267"/>
      <c r="T109" s="4267"/>
      <c r="U109" s="4267"/>
      <c r="V109" s="4267"/>
      <c r="W109" s="4267"/>
      <c r="X109" s="4267"/>
      <c r="Y109" s="4267"/>
      <c r="Z109" s="4267"/>
      <c r="AA109" s="4267"/>
      <c r="AB109" s="4267"/>
      <c r="AC109" s="4267"/>
    </row>
    <row r="110" spans="1:29" ht="14.4" thickBot="1">
      <c r="A110" s="4386"/>
      <c r="B110" s="4397"/>
      <c r="C110" s="4426">
        <v>100</v>
      </c>
      <c r="D110" s="4459">
        <v>99</v>
      </c>
      <c r="E110" s="4459">
        <v>98</v>
      </c>
      <c r="F110" s="4459"/>
      <c r="G110" s="4459"/>
      <c r="H110" s="4459"/>
      <c r="I110" s="4459"/>
      <c r="J110" s="4459"/>
      <c r="K110" s="4459"/>
      <c r="L110" s="4459"/>
      <c r="M110" s="4460"/>
      <c r="N110" s="4390"/>
      <c r="O110" s="4391"/>
      <c r="P110" s="4385"/>
      <c r="Q110" s="4347"/>
      <c r="R110" s="4267"/>
      <c r="S110" s="4267"/>
      <c r="T110" s="4267"/>
      <c r="U110" s="4267"/>
      <c r="V110" s="4267"/>
      <c r="W110" s="4267"/>
      <c r="X110" s="4267"/>
      <c r="Y110" s="4267"/>
      <c r="Z110" s="4267"/>
      <c r="AA110" s="4267"/>
      <c r="AB110" s="4267"/>
      <c r="AC110" s="4267"/>
    </row>
    <row r="111" spans="1:29" ht="15" thickTop="1">
      <c r="A111" s="4471"/>
      <c r="B111" s="4392" t="s">
        <v>542</v>
      </c>
      <c r="C111" s="4454" t="s">
        <v>3690</v>
      </c>
      <c r="D111" s="4454" t="s">
        <v>3643</v>
      </c>
      <c r="E111" s="4450"/>
      <c r="F111" s="4450"/>
      <c r="G111" s="4450"/>
      <c r="H111" s="4450"/>
      <c r="I111" s="4450"/>
      <c r="J111" s="4450"/>
      <c r="K111" s="4451"/>
      <c r="L111" s="4452"/>
      <c r="M111" s="4453"/>
      <c r="N111" s="4383"/>
      <c r="O111" s="4384"/>
      <c r="P111" s="4385"/>
      <c r="Q111" s="4347"/>
      <c r="R111" s="4267"/>
      <c r="S111" s="4267"/>
      <c r="T111" s="4267"/>
      <c r="U111" s="4267"/>
      <c r="V111" s="4267"/>
      <c r="W111" s="4267"/>
      <c r="X111" s="4267"/>
      <c r="Y111" s="4267"/>
      <c r="Z111" s="4267"/>
      <c r="AA111" s="4267"/>
      <c r="AB111" s="4267"/>
      <c r="AC111" s="4267"/>
    </row>
    <row r="112" spans="1:29" ht="14.4" thickBot="1">
      <c r="A112" s="4386"/>
      <c r="B112" s="4397"/>
      <c r="C112" s="4398">
        <v>100</v>
      </c>
      <c r="D112" s="4398">
        <f t="shared" ref="D112:M112" si="26">C112-$K37</f>
        <v>97</v>
      </c>
      <c r="E112" s="4398">
        <f t="shared" si="26"/>
        <v>94</v>
      </c>
      <c r="F112" s="4398">
        <f t="shared" si="26"/>
        <v>91</v>
      </c>
      <c r="G112" s="4398">
        <f t="shared" si="26"/>
        <v>88</v>
      </c>
      <c r="H112" s="4398">
        <f t="shared" si="26"/>
        <v>85</v>
      </c>
      <c r="I112" s="4398">
        <f t="shared" si="26"/>
        <v>82</v>
      </c>
      <c r="J112" s="4398">
        <f t="shared" si="26"/>
        <v>79</v>
      </c>
      <c r="K112" s="4398">
        <f t="shared" si="26"/>
        <v>76</v>
      </c>
      <c r="L112" s="4398">
        <f t="shared" si="26"/>
        <v>73</v>
      </c>
      <c r="M112" s="4399">
        <f t="shared" si="26"/>
        <v>70</v>
      </c>
      <c r="N112" s="4390"/>
      <c r="O112" s="4391"/>
      <c r="P112" s="4385"/>
      <c r="Q112" s="4347"/>
      <c r="R112" s="4267"/>
      <c r="S112" s="4267"/>
      <c r="T112" s="4267"/>
      <c r="U112" s="4267"/>
      <c r="V112" s="4267"/>
      <c r="W112" s="4267"/>
      <c r="X112" s="4267"/>
      <c r="Y112" s="4267"/>
      <c r="Z112" s="4267"/>
      <c r="AA112" s="4267"/>
      <c r="AB112" s="4267"/>
      <c r="AC112" s="4267"/>
    </row>
    <row r="113" spans="1:29" s="4244" customFormat="1" ht="15" thickTop="1">
      <c r="A113" s="4461"/>
      <c r="B113" s="4440" t="s">
        <v>3691</v>
      </c>
      <c r="C113" s="4472" t="s">
        <v>3644</v>
      </c>
      <c r="D113" s="4472" t="s">
        <v>3645</v>
      </c>
      <c r="E113" s="4472" t="s">
        <v>3646</v>
      </c>
      <c r="F113" s="4472"/>
      <c r="G113" s="4472"/>
      <c r="H113" s="4450"/>
      <c r="I113" s="4450"/>
      <c r="J113" s="4450"/>
      <c r="K113" s="4451"/>
      <c r="L113" s="4452"/>
      <c r="M113" s="4453"/>
      <c r="N113" s="4411"/>
      <c r="O113" s="4412"/>
      <c r="P113" s="4413"/>
      <c r="Q113" s="4414"/>
      <c r="R113" s="4415"/>
      <c r="S113" s="4415"/>
      <c r="T113" s="4415"/>
      <c r="U113" s="4415"/>
      <c r="V113" s="4415"/>
      <c r="W113" s="4415"/>
      <c r="X113" s="4415"/>
      <c r="Y113" s="4415"/>
      <c r="Z113" s="4415"/>
      <c r="AA113" s="4415"/>
      <c r="AB113" s="4415"/>
      <c r="AC113" s="4415"/>
    </row>
    <row r="114" spans="1:29" s="4244" customFormat="1" ht="14.4" thickBot="1">
      <c r="A114" s="4406"/>
      <c r="B114" s="4397"/>
      <c r="C114" s="4398">
        <v>100</v>
      </c>
      <c r="D114" s="4398">
        <f t="shared" ref="D114:M114" si="27">C114-$K38</f>
        <v>95</v>
      </c>
      <c r="E114" s="4398">
        <f t="shared" si="27"/>
        <v>90</v>
      </c>
      <c r="F114" s="4398">
        <f t="shared" si="27"/>
        <v>85</v>
      </c>
      <c r="G114" s="4398">
        <f t="shared" si="27"/>
        <v>80</v>
      </c>
      <c r="H114" s="4398">
        <f t="shared" si="27"/>
        <v>75</v>
      </c>
      <c r="I114" s="4398">
        <f t="shared" si="27"/>
        <v>70</v>
      </c>
      <c r="J114" s="4398">
        <f t="shared" si="27"/>
        <v>65</v>
      </c>
      <c r="K114" s="4398">
        <f t="shared" si="27"/>
        <v>60</v>
      </c>
      <c r="L114" s="4398">
        <f t="shared" si="27"/>
        <v>55</v>
      </c>
      <c r="M114" s="4399">
        <f t="shared" si="27"/>
        <v>50</v>
      </c>
      <c r="N114" s="4411"/>
      <c r="O114" s="4412"/>
      <c r="P114" s="4413"/>
      <c r="Q114" s="4414"/>
      <c r="R114" s="4415"/>
      <c r="S114" s="4415"/>
      <c r="T114" s="4415"/>
      <c r="U114" s="4415"/>
      <c r="V114" s="4415"/>
      <c r="W114" s="4415"/>
      <c r="X114" s="4415"/>
      <c r="Y114" s="4415"/>
      <c r="Z114" s="4415"/>
      <c r="AA114" s="4415"/>
      <c r="AB114" s="4415"/>
      <c r="AC114" s="4415"/>
    </row>
    <row r="115" spans="1:29" ht="15" thickTop="1">
      <c r="A115" s="4471"/>
      <c r="B115" s="4392" t="s">
        <v>544</v>
      </c>
      <c r="C115" s="4449" t="s">
        <v>3647</v>
      </c>
      <c r="D115" s="4407"/>
      <c r="E115" s="4450"/>
      <c r="F115" s="4450"/>
      <c r="G115" s="4450"/>
      <c r="H115" s="4450"/>
      <c r="I115" s="4450"/>
      <c r="J115" s="4450"/>
      <c r="K115" s="4451"/>
      <c r="L115" s="4452"/>
      <c r="M115" s="4453"/>
      <c r="N115" s="4383"/>
      <c r="O115" s="4384"/>
      <c r="P115" s="4385"/>
      <c r="Q115" s="4347"/>
      <c r="R115" s="4267"/>
      <c r="S115" s="4267"/>
      <c r="T115" s="4267"/>
      <c r="U115" s="4267"/>
      <c r="V115" s="4267"/>
      <c r="W115" s="4267"/>
      <c r="X115" s="4267"/>
      <c r="Y115" s="4267"/>
      <c r="Z115" s="4267"/>
      <c r="AA115" s="4267"/>
      <c r="AB115" s="4267"/>
      <c r="AC115" s="4267"/>
    </row>
    <row r="116" spans="1:29" ht="14.4" thickBot="1">
      <c r="A116" s="4386"/>
      <c r="B116" s="4397"/>
      <c r="C116" s="4398">
        <v>100</v>
      </c>
      <c r="D116" s="4398">
        <f t="shared" ref="D116:M116" si="28">C116-$K39</f>
        <v>100</v>
      </c>
      <c r="E116" s="4398">
        <f t="shared" si="28"/>
        <v>100</v>
      </c>
      <c r="F116" s="4398">
        <f t="shared" si="28"/>
        <v>100</v>
      </c>
      <c r="G116" s="4398">
        <f t="shared" si="28"/>
        <v>100</v>
      </c>
      <c r="H116" s="4398">
        <f t="shared" si="28"/>
        <v>100</v>
      </c>
      <c r="I116" s="4398">
        <f t="shared" si="28"/>
        <v>100</v>
      </c>
      <c r="J116" s="4398">
        <f t="shared" si="28"/>
        <v>100</v>
      </c>
      <c r="K116" s="4398">
        <f t="shared" si="28"/>
        <v>100</v>
      </c>
      <c r="L116" s="4398">
        <f t="shared" si="28"/>
        <v>100</v>
      </c>
      <c r="M116" s="4399">
        <f t="shared" si="28"/>
        <v>100</v>
      </c>
      <c r="N116" s="4390"/>
      <c r="O116" s="4391"/>
      <c r="P116" s="4385"/>
      <c r="Q116" s="4347"/>
      <c r="R116" s="4267"/>
      <c r="S116" s="4267"/>
      <c r="T116" s="4267"/>
      <c r="U116" s="4267"/>
      <c r="V116" s="4267"/>
      <c r="W116" s="4267"/>
      <c r="X116" s="4267"/>
      <c r="Y116" s="4267"/>
      <c r="Z116" s="4267"/>
      <c r="AA116" s="4267"/>
      <c r="AB116" s="4267"/>
      <c r="AC116" s="4267"/>
    </row>
    <row r="117" spans="1:29" ht="14.4" thickTop="1">
      <c r="A117" s="4471"/>
      <c r="B117" s="4392">
        <f>B40</f>
        <v>111</v>
      </c>
      <c r="C117" s="4407"/>
      <c r="D117" s="4407"/>
      <c r="E117" s="4407"/>
      <c r="F117" s="4407"/>
      <c r="G117" s="4407"/>
      <c r="H117" s="4450"/>
      <c r="I117" s="4450"/>
      <c r="J117" s="4450"/>
      <c r="K117" s="4451"/>
      <c r="L117" s="4452"/>
      <c r="M117" s="4453"/>
      <c r="N117" s="4383"/>
      <c r="O117" s="4384"/>
      <c r="P117" s="4385"/>
      <c r="Q117" s="4347"/>
      <c r="R117" s="4267"/>
      <c r="S117" s="4267"/>
      <c r="T117" s="4267"/>
      <c r="U117" s="4267"/>
      <c r="V117" s="4267"/>
      <c r="W117" s="4267"/>
      <c r="X117" s="4267"/>
      <c r="Y117" s="4267"/>
      <c r="Z117" s="4267"/>
      <c r="AA117" s="4267"/>
      <c r="AB117" s="4267"/>
      <c r="AC117" s="4267"/>
    </row>
    <row r="118" spans="1:29" ht="14.4" thickBot="1">
      <c r="A118" s="4386"/>
      <c r="B118" s="4397"/>
      <c r="C118" s="4416"/>
      <c r="D118" s="4388"/>
      <c r="E118" s="4388"/>
      <c r="F118" s="4388"/>
      <c r="G118" s="4388"/>
      <c r="H118" s="4388"/>
      <c r="I118" s="4388"/>
      <c r="J118" s="4388"/>
      <c r="K118" s="4388"/>
      <c r="L118" s="4388"/>
      <c r="M118" s="4389"/>
      <c r="N118" s="4390"/>
      <c r="O118" s="4391"/>
      <c r="P118" s="4385"/>
      <c r="Q118" s="4347"/>
      <c r="R118" s="4267"/>
      <c r="S118" s="4267"/>
      <c r="T118" s="4267"/>
      <c r="U118" s="4267"/>
      <c r="V118" s="4267"/>
      <c r="W118" s="4267"/>
      <c r="X118" s="4267"/>
      <c r="Y118" s="4267"/>
      <c r="Z118" s="4267"/>
      <c r="AA118" s="4267"/>
      <c r="AB118" s="4267"/>
      <c r="AC118" s="4267"/>
    </row>
    <row r="119" spans="1:29" ht="14.4" thickTop="1">
      <c r="A119" s="4471"/>
      <c r="B119" s="4392">
        <f>B41</f>
        <v>111</v>
      </c>
      <c r="C119" s="4407"/>
      <c r="D119" s="4407"/>
      <c r="E119" s="4407"/>
      <c r="F119" s="4407"/>
      <c r="G119" s="4450"/>
      <c r="H119" s="4450"/>
      <c r="I119" s="4450"/>
      <c r="J119" s="4450"/>
      <c r="K119" s="4451"/>
      <c r="L119" s="4452"/>
      <c r="M119" s="4453"/>
      <c r="N119" s="4383"/>
      <c r="O119" s="4384"/>
      <c r="P119" s="4385"/>
      <c r="Q119" s="4347"/>
      <c r="R119" s="4267"/>
      <c r="S119" s="4267"/>
      <c r="T119" s="4267"/>
      <c r="U119" s="4267"/>
      <c r="V119" s="4267"/>
      <c r="W119" s="4267"/>
      <c r="X119" s="4267"/>
      <c r="Y119" s="4267"/>
      <c r="Z119" s="4267"/>
      <c r="AA119" s="4267"/>
      <c r="AB119" s="4267"/>
      <c r="AC119" s="4267"/>
    </row>
    <row r="120" spans="1:29" ht="14.4" thickBot="1">
      <c r="A120" s="4386"/>
      <c r="B120" s="4397"/>
      <c r="C120" s="4416"/>
      <c r="D120" s="4416"/>
      <c r="E120" s="4416"/>
      <c r="F120" s="4416"/>
      <c r="G120" s="4388"/>
      <c r="H120" s="4388"/>
      <c r="I120" s="4388"/>
      <c r="J120" s="4388"/>
      <c r="K120" s="4388"/>
      <c r="L120" s="4388"/>
      <c r="M120" s="4389"/>
      <c r="N120" s="4390"/>
      <c r="O120" s="4391"/>
      <c r="P120" s="4385"/>
      <c r="Q120" s="4347"/>
      <c r="R120" s="4267"/>
      <c r="S120" s="4267"/>
      <c r="T120" s="4267"/>
      <c r="U120" s="4267"/>
      <c r="V120" s="4267"/>
      <c r="W120" s="4267"/>
      <c r="X120" s="4267"/>
      <c r="Y120" s="4267"/>
      <c r="Z120" s="4267"/>
      <c r="AA120" s="4267"/>
      <c r="AB120" s="4267"/>
      <c r="AC120" s="4267"/>
    </row>
    <row r="121" spans="1:29" s="4244" customFormat="1" ht="14.4" thickTop="1">
      <c r="A121" s="4461"/>
      <c r="B121" s="4392">
        <f>B42</f>
        <v>111</v>
      </c>
      <c r="C121" s="4370"/>
      <c r="D121" s="4370"/>
      <c r="E121" s="4370"/>
      <c r="F121" s="4370"/>
      <c r="G121" s="4408"/>
      <c r="H121" s="4408"/>
      <c r="I121" s="4408"/>
      <c r="J121" s="4408"/>
      <c r="K121" s="4408"/>
      <c r="L121" s="4409"/>
      <c r="M121" s="4410"/>
      <c r="N121" s="4411"/>
      <c r="O121" s="4412"/>
      <c r="P121" s="4413"/>
      <c r="Q121" s="4414"/>
      <c r="R121" s="4415"/>
      <c r="S121" s="4415"/>
      <c r="T121" s="4415"/>
      <c r="U121" s="4415"/>
      <c r="V121" s="4415"/>
      <c r="W121" s="4415"/>
      <c r="X121" s="4415"/>
      <c r="Y121" s="4415"/>
      <c r="Z121" s="4415"/>
      <c r="AA121" s="4415"/>
      <c r="AB121" s="4415"/>
      <c r="AC121" s="4415"/>
    </row>
    <row r="122" spans="1:29" s="4244" customFormat="1" ht="14.4" thickBot="1">
      <c r="A122" s="4424"/>
      <c r="B122" s="4473"/>
      <c r="C122" s="4426"/>
      <c r="D122" s="4426"/>
      <c r="E122" s="4426"/>
      <c r="F122" s="4426"/>
      <c r="G122" s="4459"/>
      <c r="H122" s="4459"/>
      <c r="I122" s="4459"/>
      <c r="J122" s="4459"/>
      <c r="K122" s="4459"/>
      <c r="L122" s="4459"/>
      <c r="M122" s="4460"/>
      <c r="N122" s="4411"/>
      <c r="O122" s="4412"/>
      <c r="P122" s="4413"/>
      <c r="Q122" s="4414"/>
      <c r="R122" s="4415"/>
      <c r="S122" s="4415"/>
      <c r="T122" s="4415"/>
      <c r="U122" s="4415"/>
      <c r="V122" s="4415"/>
      <c r="W122" s="4415"/>
      <c r="X122" s="4415"/>
      <c r="Y122" s="4415"/>
      <c r="Z122" s="4415"/>
      <c r="AA122" s="4415"/>
      <c r="AB122" s="4415"/>
      <c r="AC122" s="4415"/>
    </row>
    <row r="123" spans="1:29">
      <c r="A123" s="4474"/>
      <c r="B123" s="4474"/>
      <c r="C123" s="4474"/>
      <c r="D123" s="4474"/>
      <c r="E123" s="4474"/>
      <c r="F123" s="4474"/>
      <c r="G123" s="4474"/>
      <c r="H123" s="4474"/>
      <c r="I123" s="4474"/>
      <c r="J123" s="4474"/>
      <c r="K123" s="4475"/>
      <c r="L123" s="4476"/>
      <c r="M123" s="4474"/>
      <c r="N123" s="4474"/>
      <c r="O123" s="4474"/>
      <c r="P123" s="4474"/>
      <c r="Q123" s="4474"/>
      <c r="R123" s="4474"/>
      <c r="S123" s="4474"/>
      <c r="T123" s="4474"/>
      <c r="U123" s="4474"/>
      <c r="V123" s="4474"/>
      <c r="W123" s="4474"/>
      <c r="X123" s="4474"/>
      <c r="Y123" s="4474"/>
      <c r="Z123" s="4474"/>
      <c r="AA123" s="4474"/>
      <c r="AB123" s="4474"/>
      <c r="AC123" s="4474"/>
    </row>
    <row r="124" spans="1:29">
      <c r="A124" s="4474"/>
      <c r="B124" s="4474"/>
      <c r="C124" s="4474"/>
      <c r="D124" s="4474"/>
      <c r="E124" s="4474"/>
      <c r="F124" s="4474"/>
      <c r="G124" s="4474"/>
      <c r="H124" s="4474"/>
      <c r="I124" s="4474"/>
      <c r="J124" s="4474"/>
      <c r="K124" s="4475"/>
      <c r="L124" s="4476"/>
      <c r="M124" s="4474"/>
      <c r="N124" s="4474"/>
      <c r="O124" s="4474"/>
      <c r="P124" s="4474"/>
      <c r="Q124" s="4474"/>
      <c r="R124" s="4474"/>
      <c r="S124" s="4474"/>
      <c r="T124" s="4474"/>
      <c r="U124" s="4474"/>
      <c r="V124" s="4474"/>
      <c r="W124" s="4474"/>
      <c r="X124" s="4474"/>
      <c r="Y124" s="4474"/>
      <c r="Z124" s="4474"/>
      <c r="AA124" s="4474"/>
      <c r="AB124" s="4474"/>
      <c r="AC124" s="4474"/>
    </row>
    <row r="125" spans="1:29">
      <c r="A125" s="4474"/>
      <c r="B125" s="4474"/>
      <c r="C125" s="4474"/>
      <c r="D125" s="4474"/>
      <c r="E125" s="4474"/>
      <c r="F125" s="4474"/>
      <c r="G125" s="4474"/>
      <c r="H125" s="4474"/>
      <c r="I125" s="4474"/>
      <c r="J125" s="4474"/>
      <c r="K125" s="4475"/>
      <c r="L125" s="4476"/>
      <c r="M125" s="4474"/>
      <c r="N125" s="4474"/>
      <c r="O125" s="4474"/>
      <c r="P125" s="4474"/>
      <c r="Q125" s="4474"/>
      <c r="R125" s="4474"/>
      <c r="S125" s="4474"/>
      <c r="T125" s="4474"/>
      <c r="U125" s="4474"/>
      <c r="V125" s="4474"/>
      <c r="W125" s="4474"/>
      <c r="X125" s="4474"/>
      <c r="Y125" s="4474"/>
      <c r="Z125" s="4474"/>
      <c r="AA125" s="4474"/>
      <c r="AB125" s="4474"/>
      <c r="AC125" s="4474"/>
    </row>
    <row r="126" spans="1:29">
      <c r="A126" s="4474"/>
      <c r="B126" s="4474"/>
      <c r="C126" s="4474"/>
      <c r="D126" s="4474"/>
      <c r="E126" s="4474"/>
      <c r="F126" s="4474"/>
      <c r="G126" s="4474"/>
      <c r="H126" s="4474"/>
      <c r="I126" s="4474"/>
      <c r="J126" s="4474"/>
      <c r="K126" s="4475"/>
      <c r="L126" s="4476"/>
      <c r="M126" s="4474"/>
      <c r="N126" s="4474"/>
      <c r="O126" s="4474"/>
      <c r="P126" s="4474"/>
      <c r="Q126" s="4474"/>
      <c r="R126" s="4474"/>
      <c r="S126" s="4474"/>
      <c r="T126" s="4474"/>
      <c r="U126" s="4474"/>
      <c r="V126" s="4474"/>
      <c r="W126" s="4474"/>
      <c r="X126" s="4474"/>
      <c r="Y126" s="4474"/>
      <c r="Z126" s="4474"/>
      <c r="AA126" s="4474"/>
      <c r="AB126" s="4474"/>
      <c r="AC126" s="4474"/>
    </row>
    <row r="127" spans="1:29">
      <c r="A127" s="4474"/>
      <c r="B127" s="4474"/>
      <c r="C127" s="4474"/>
      <c r="D127" s="4474"/>
      <c r="E127" s="4474"/>
      <c r="F127" s="4474"/>
      <c r="G127" s="4474"/>
      <c r="H127" s="4474"/>
      <c r="I127" s="4474"/>
      <c r="J127" s="4474"/>
      <c r="K127" s="4475"/>
      <c r="L127" s="4476"/>
      <c r="M127" s="4474"/>
      <c r="N127" s="4474"/>
      <c r="O127" s="4474"/>
      <c r="P127" s="4474"/>
      <c r="Q127" s="4474"/>
      <c r="R127" s="4474"/>
      <c r="S127" s="4474"/>
      <c r="T127" s="4474"/>
      <c r="U127" s="4474"/>
      <c r="V127" s="4474"/>
      <c r="W127" s="4474"/>
      <c r="X127" s="4474"/>
      <c r="Y127" s="4474"/>
      <c r="Z127" s="4474"/>
      <c r="AA127" s="4474"/>
      <c r="AB127" s="4474"/>
      <c r="AC127" s="4474"/>
    </row>
    <row r="128" spans="1:29">
      <c r="A128" s="4474"/>
      <c r="B128" s="4474"/>
      <c r="C128" s="4474"/>
      <c r="D128" s="4474"/>
      <c r="E128" s="4474"/>
      <c r="F128" s="4474"/>
      <c r="G128" s="4474"/>
      <c r="H128" s="4474"/>
      <c r="I128" s="4474"/>
      <c r="J128" s="4474"/>
      <c r="K128" s="4475"/>
      <c r="L128" s="4476"/>
      <c r="M128" s="4474"/>
      <c r="N128" s="4474"/>
      <c r="O128" s="4474"/>
      <c r="P128" s="4474"/>
      <c r="Q128" s="4474"/>
      <c r="R128" s="4474"/>
      <c r="S128" s="4474"/>
      <c r="T128" s="4474"/>
      <c r="U128" s="4474"/>
      <c r="V128" s="4474"/>
      <c r="W128" s="4474"/>
      <c r="X128" s="4474"/>
      <c r="Y128" s="4474"/>
      <c r="Z128" s="4474"/>
      <c r="AA128" s="4474"/>
      <c r="AB128" s="4474"/>
      <c r="AC128" s="4474"/>
    </row>
    <row r="129" spans="1:29">
      <c r="A129" s="4474"/>
      <c r="B129" s="4474"/>
      <c r="C129" s="4474"/>
      <c r="D129" s="4474"/>
      <c r="E129" s="4474"/>
      <c r="F129" s="4474"/>
      <c r="G129" s="4474"/>
      <c r="H129" s="4474"/>
      <c r="I129" s="4474"/>
      <c r="J129" s="4474"/>
      <c r="K129" s="4475"/>
      <c r="L129" s="4476"/>
      <c r="M129" s="4474"/>
      <c r="N129" s="4474"/>
      <c r="O129" s="4474"/>
      <c r="P129" s="4474"/>
      <c r="Q129" s="4474"/>
      <c r="R129" s="4474"/>
      <c r="S129" s="4474"/>
      <c r="T129" s="4474"/>
      <c r="U129" s="4474"/>
      <c r="V129" s="4474"/>
      <c r="W129" s="4474"/>
      <c r="X129" s="4474"/>
      <c r="Y129" s="4474"/>
      <c r="Z129" s="4474"/>
      <c r="AA129" s="4474"/>
      <c r="AB129" s="4474"/>
      <c r="AC129" s="4474"/>
    </row>
    <row r="130" spans="1:29">
      <c r="A130" s="4474"/>
      <c r="B130" s="4474"/>
      <c r="C130" s="4474"/>
      <c r="D130" s="4474"/>
      <c r="E130" s="4474"/>
      <c r="F130" s="4474"/>
      <c r="G130" s="4474"/>
      <c r="H130" s="4474"/>
      <c r="I130" s="4474"/>
      <c r="J130" s="4474"/>
      <c r="K130" s="4475"/>
      <c r="L130" s="4476"/>
      <c r="M130" s="4474"/>
      <c r="N130" s="4474"/>
      <c r="O130" s="4474"/>
      <c r="P130" s="4474"/>
      <c r="Q130" s="4474"/>
      <c r="R130" s="4474"/>
      <c r="S130" s="4474"/>
      <c r="T130" s="4474"/>
      <c r="U130" s="4474"/>
      <c r="V130" s="4474"/>
      <c r="W130" s="4474"/>
      <c r="X130" s="4474"/>
      <c r="Y130" s="4474"/>
      <c r="Z130" s="4474"/>
      <c r="AA130" s="4474"/>
      <c r="AB130" s="4474"/>
      <c r="AC130" s="4474"/>
    </row>
    <row r="131" spans="1:29">
      <c r="A131" s="4474"/>
      <c r="B131" s="4474"/>
      <c r="C131" s="4474"/>
      <c r="D131" s="4474"/>
      <c r="E131" s="4474"/>
      <c r="F131" s="4474"/>
      <c r="G131" s="4474"/>
      <c r="H131" s="4474"/>
      <c r="I131" s="4474"/>
      <c r="J131" s="4474"/>
      <c r="K131" s="4475"/>
      <c r="L131" s="4476"/>
      <c r="M131" s="4474"/>
      <c r="N131" s="4474"/>
      <c r="O131" s="4474"/>
      <c r="P131" s="4474"/>
      <c r="Q131" s="4474"/>
      <c r="R131" s="4474"/>
      <c r="S131" s="4474"/>
      <c r="T131" s="4474"/>
      <c r="U131" s="4474"/>
      <c r="V131" s="4474"/>
      <c r="W131" s="4474"/>
      <c r="X131" s="4474"/>
      <c r="Y131" s="4474"/>
      <c r="Z131" s="4474"/>
      <c r="AA131" s="4474"/>
      <c r="AB131" s="4474"/>
      <c r="AC131" s="4474"/>
    </row>
    <row r="132" spans="1:29">
      <c r="A132" s="4474"/>
      <c r="B132" s="4474"/>
      <c r="C132" s="4474"/>
      <c r="D132" s="4474"/>
      <c r="E132" s="4474"/>
      <c r="F132" s="4474"/>
      <c r="G132" s="4474"/>
      <c r="H132" s="4474"/>
      <c r="I132" s="4474"/>
      <c r="J132" s="4474"/>
      <c r="K132" s="4475"/>
      <c r="L132" s="4476"/>
      <c r="M132" s="4474"/>
      <c r="N132" s="4474"/>
      <c r="O132" s="4474"/>
      <c r="P132" s="4474"/>
      <c r="Q132" s="4474"/>
      <c r="R132" s="4474"/>
      <c r="S132" s="4474"/>
      <c r="T132" s="4474"/>
      <c r="U132" s="4474"/>
      <c r="V132" s="4474"/>
      <c r="W132" s="4474"/>
      <c r="X132" s="4474"/>
      <c r="Y132" s="4474"/>
      <c r="Z132" s="4474"/>
      <c r="AA132" s="4474"/>
      <c r="AB132" s="4474"/>
      <c r="AC132" s="4474"/>
    </row>
    <row r="133" spans="1:29">
      <c r="A133" s="4474"/>
      <c r="B133" s="4474"/>
      <c r="C133" s="4474"/>
      <c r="D133" s="4474"/>
      <c r="E133" s="4474"/>
      <c r="F133" s="4474"/>
      <c r="G133" s="4474"/>
      <c r="H133" s="4474"/>
      <c r="I133" s="4474"/>
      <c r="J133" s="4474"/>
      <c r="K133" s="4475"/>
      <c r="L133" s="4476"/>
      <c r="M133" s="4474"/>
      <c r="N133" s="4474"/>
      <c r="O133" s="4474"/>
      <c r="P133" s="4474"/>
      <c r="Q133" s="4474"/>
      <c r="R133" s="4474"/>
      <c r="S133" s="4474"/>
      <c r="T133" s="4474"/>
      <c r="U133" s="4474"/>
      <c r="V133" s="4474"/>
      <c r="W133" s="4474"/>
      <c r="X133" s="4474"/>
      <c r="Y133" s="4474"/>
      <c r="Z133" s="4474"/>
      <c r="AA133" s="4474"/>
      <c r="AB133" s="4474"/>
      <c r="AC133" s="4474"/>
    </row>
    <row r="134" spans="1:29">
      <c r="A134" s="4474"/>
      <c r="B134" s="4474"/>
      <c r="C134" s="4474"/>
      <c r="D134" s="4474"/>
      <c r="E134" s="4474"/>
      <c r="F134" s="4474"/>
      <c r="G134" s="4474"/>
      <c r="H134" s="4474"/>
      <c r="I134" s="4474"/>
      <c r="J134" s="4474"/>
      <c r="K134" s="4475"/>
      <c r="L134" s="4476"/>
      <c r="M134" s="4474"/>
      <c r="N134" s="4474"/>
      <c r="O134" s="4474"/>
      <c r="P134" s="4474"/>
      <c r="Q134" s="4474"/>
      <c r="R134" s="4474"/>
      <c r="S134" s="4474"/>
      <c r="T134" s="4474"/>
      <c r="U134" s="4474"/>
      <c r="V134" s="4474"/>
      <c r="W134" s="4474"/>
      <c r="X134" s="4474"/>
      <c r="Y134" s="4474"/>
      <c r="Z134" s="4474"/>
      <c r="AA134" s="4474"/>
      <c r="AB134" s="4474"/>
      <c r="AC134" s="4474"/>
    </row>
    <row r="135" spans="1:29">
      <c r="A135" s="4474"/>
      <c r="B135" s="4474"/>
      <c r="C135" s="4474"/>
      <c r="D135" s="4474"/>
      <c r="E135" s="4474"/>
      <c r="F135" s="4474"/>
      <c r="G135" s="4474"/>
      <c r="H135" s="4474"/>
      <c r="I135" s="4474"/>
      <c r="J135" s="4474"/>
      <c r="K135" s="4475"/>
      <c r="L135" s="4476"/>
      <c r="M135" s="4474"/>
      <c r="N135" s="4474"/>
      <c r="O135" s="4474"/>
      <c r="P135" s="4474"/>
      <c r="Q135" s="4474"/>
      <c r="R135" s="4474"/>
      <c r="S135" s="4474"/>
      <c r="T135" s="4474"/>
      <c r="U135" s="4474"/>
      <c r="V135" s="4474"/>
      <c r="W135" s="4474"/>
      <c r="X135" s="4474"/>
      <c r="Y135" s="4474"/>
      <c r="Z135" s="4474"/>
      <c r="AA135" s="4474"/>
      <c r="AB135" s="4474"/>
      <c r="AC135" s="4474"/>
    </row>
    <row r="136" spans="1:29">
      <c r="A136" s="4474"/>
      <c r="B136" s="4474"/>
      <c r="C136" s="4474"/>
      <c r="D136" s="4474"/>
      <c r="E136" s="4474"/>
      <c r="F136" s="4474"/>
      <c r="G136" s="4474"/>
      <c r="H136" s="4474"/>
      <c r="I136" s="4474"/>
      <c r="J136" s="4474"/>
      <c r="K136" s="4475"/>
      <c r="L136" s="4476"/>
      <c r="M136" s="4474"/>
      <c r="N136" s="4474"/>
      <c r="O136" s="4474"/>
      <c r="P136" s="4474"/>
      <c r="Q136" s="4474"/>
      <c r="R136" s="4474"/>
      <c r="S136" s="4474"/>
      <c r="T136" s="4474"/>
      <c r="U136" s="4474"/>
      <c r="V136" s="4474"/>
      <c r="W136" s="4474"/>
      <c r="X136" s="4474"/>
      <c r="Y136" s="4474"/>
      <c r="Z136" s="4474"/>
      <c r="AA136" s="4474"/>
      <c r="AB136" s="4474"/>
      <c r="AC136" s="4474"/>
    </row>
    <row r="137" spans="1:29">
      <c r="A137" s="4474"/>
      <c r="B137" s="4474"/>
      <c r="C137" s="4474"/>
      <c r="D137" s="4474"/>
      <c r="E137" s="4474"/>
      <c r="F137" s="4474"/>
      <c r="G137" s="4474"/>
      <c r="H137" s="4474"/>
      <c r="I137" s="4474"/>
      <c r="J137" s="4474"/>
      <c r="K137" s="4475"/>
      <c r="L137" s="4476"/>
      <c r="M137" s="4474"/>
      <c r="N137" s="4474"/>
      <c r="O137" s="4474"/>
      <c r="P137" s="4474"/>
      <c r="Q137" s="4474"/>
      <c r="R137" s="4474"/>
      <c r="S137" s="4474"/>
      <c r="T137" s="4474"/>
      <c r="U137" s="4474"/>
      <c r="V137" s="4474"/>
      <c r="W137" s="4474"/>
      <c r="X137" s="4474"/>
      <c r="Y137" s="4474"/>
      <c r="Z137" s="4474"/>
      <c r="AA137" s="4474"/>
      <c r="AB137" s="4474"/>
      <c r="AC137" s="4474"/>
    </row>
    <row r="138" spans="1:29">
      <c r="A138" s="4474"/>
      <c r="B138" s="4474"/>
      <c r="C138" s="4474"/>
      <c r="D138" s="4474"/>
      <c r="E138" s="4474"/>
      <c r="F138" s="4474"/>
      <c r="G138" s="4474"/>
      <c r="H138" s="4474"/>
      <c r="I138" s="4474"/>
      <c r="J138" s="4474"/>
      <c r="K138" s="4475"/>
      <c r="L138" s="4476"/>
      <c r="M138" s="4474"/>
      <c r="N138" s="4474"/>
      <c r="O138" s="4474"/>
      <c r="P138" s="4474"/>
      <c r="Q138" s="4474"/>
      <c r="R138" s="4474"/>
      <c r="S138" s="4474"/>
      <c r="T138" s="4474"/>
      <c r="U138" s="4474"/>
      <c r="V138" s="4474"/>
      <c r="W138" s="4474"/>
      <c r="X138" s="4474"/>
      <c r="Y138" s="4474"/>
      <c r="Z138" s="4474"/>
      <c r="AA138" s="4474"/>
      <c r="AB138" s="4474"/>
      <c r="AC138" s="4474"/>
    </row>
    <row r="139" spans="1:29">
      <c r="A139" s="4474"/>
      <c r="B139" s="4474"/>
      <c r="C139" s="4474"/>
      <c r="D139" s="4474"/>
      <c r="E139" s="4474"/>
      <c r="F139" s="4474"/>
      <c r="G139" s="4474"/>
      <c r="H139" s="4474"/>
      <c r="I139" s="4474"/>
      <c r="J139" s="4474"/>
      <c r="K139" s="4475"/>
      <c r="L139" s="4476"/>
      <c r="M139" s="4474"/>
      <c r="N139" s="4474"/>
      <c r="O139" s="4474"/>
      <c r="P139" s="4474"/>
      <c r="Q139" s="4474"/>
      <c r="R139" s="4474"/>
      <c r="S139" s="4474"/>
      <c r="T139" s="4474"/>
      <c r="U139" s="4474"/>
      <c r="V139" s="4474"/>
      <c r="W139" s="4474"/>
      <c r="X139" s="4474"/>
      <c r="Y139" s="4474"/>
      <c r="Z139" s="4474"/>
      <c r="AA139" s="4474"/>
      <c r="AB139" s="4474"/>
      <c r="AC139" s="4474"/>
    </row>
    <row r="140" spans="1:29">
      <c r="A140" s="4474"/>
      <c r="B140" s="4474"/>
      <c r="C140" s="4474"/>
      <c r="D140" s="4474"/>
      <c r="E140" s="4474"/>
      <c r="F140" s="4474"/>
      <c r="G140" s="4474"/>
      <c r="H140" s="4474"/>
      <c r="I140" s="4474"/>
      <c r="J140" s="4474"/>
      <c r="K140" s="4475"/>
      <c r="L140" s="4476"/>
      <c r="M140" s="4474"/>
      <c r="N140" s="4474"/>
      <c r="O140" s="4474"/>
      <c r="P140" s="4474"/>
      <c r="Q140" s="4474"/>
      <c r="R140" s="4474"/>
      <c r="S140" s="4474"/>
      <c r="T140" s="4474"/>
      <c r="U140" s="4474"/>
      <c r="V140" s="4474"/>
      <c r="W140" s="4474"/>
      <c r="X140" s="4474"/>
      <c r="Y140" s="4474"/>
      <c r="Z140" s="4474"/>
      <c r="AA140" s="4474"/>
      <c r="AB140" s="4474"/>
      <c r="AC140" s="4474"/>
    </row>
    <row r="141" spans="1:29">
      <c r="A141" s="4474"/>
      <c r="B141" s="4474"/>
      <c r="C141" s="4474"/>
      <c r="D141" s="4474"/>
      <c r="E141" s="4474"/>
      <c r="F141" s="4474"/>
      <c r="G141" s="4474"/>
      <c r="H141" s="4474"/>
      <c r="I141" s="4474"/>
      <c r="J141" s="4474"/>
      <c r="K141" s="4475"/>
      <c r="L141" s="4476"/>
      <c r="M141" s="4474"/>
      <c r="N141" s="4474"/>
      <c r="O141" s="4474"/>
      <c r="P141" s="4474"/>
      <c r="Q141" s="4474"/>
      <c r="R141" s="4474"/>
      <c r="S141" s="4474"/>
      <c r="T141" s="4474"/>
      <c r="U141" s="4474"/>
      <c r="V141" s="4474"/>
      <c r="W141" s="4474"/>
      <c r="X141" s="4474"/>
      <c r="Y141" s="4474"/>
      <c r="Z141" s="4474"/>
      <c r="AA141" s="4474"/>
      <c r="AB141" s="4474"/>
      <c r="AC141" s="4474"/>
    </row>
    <row r="142" spans="1:29">
      <c r="A142" s="4474"/>
      <c r="B142" s="4474"/>
      <c r="C142" s="4474"/>
      <c r="D142" s="4474"/>
      <c r="E142" s="4474"/>
      <c r="F142" s="4474"/>
      <c r="G142" s="4474"/>
      <c r="H142" s="4474"/>
      <c r="I142" s="4474"/>
      <c r="J142" s="4474"/>
      <c r="K142" s="4475"/>
      <c r="L142" s="4476"/>
      <c r="M142" s="4474"/>
      <c r="N142" s="4474"/>
      <c r="O142" s="4474"/>
      <c r="P142" s="4474"/>
      <c r="Q142" s="4474"/>
      <c r="R142" s="4474"/>
      <c r="S142" s="4474"/>
      <c r="T142" s="4474"/>
      <c r="U142" s="4474"/>
      <c r="V142" s="4474"/>
      <c r="W142" s="4474"/>
      <c r="X142" s="4474"/>
      <c r="Y142" s="4474"/>
      <c r="Z142" s="4474"/>
      <c r="AA142" s="4474"/>
      <c r="AB142" s="4474"/>
      <c r="AC142" s="4474"/>
    </row>
    <row r="143" spans="1:29">
      <c r="A143" s="4474"/>
      <c r="B143" s="4474"/>
      <c r="C143" s="4474"/>
      <c r="D143" s="4474"/>
      <c r="E143" s="4474"/>
      <c r="F143" s="4474"/>
      <c r="G143" s="4474"/>
      <c r="H143" s="4474"/>
      <c r="I143" s="4474"/>
      <c r="J143" s="4474"/>
      <c r="K143" s="4475"/>
      <c r="L143" s="4476"/>
      <c r="M143" s="4474"/>
      <c r="N143" s="4474"/>
      <c r="O143" s="4474"/>
      <c r="P143" s="4474"/>
      <c r="Q143" s="4474"/>
      <c r="R143" s="4474"/>
      <c r="S143" s="4474"/>
      <c r="T143" s="4474"/>
      <c r="U143" s="4474"/>
      <c r="V143" s="4474"/>
      <c r="W143" s="4474"/>
      <c r="X143" s="4474"/>
      <c r="Y143" s="4474"/>
      <c r="Z143" s="4474"/>
      <c r="AA143" s="4474"/>
      <c r="AB143" s="4474"/>
      <c r="AC143" s="4474"/>
    </row>
    <row r="144" spans="1:29">
      <c r="A144" s="4474"/>
      <c r="B144" s="4474"/>
      <c r="C144" s="4474"/>
      <c r="D144" s="4474"/>
      <c r="E144" s="4474"/>
      <c r="F144" s="4474"/>
      <c r="G144" s="4474"/>
      <c r="H144" s="4474"/>
      <c r="I144" s="4474"/>
      <c r="J144" s="4474"/>
      <c r="K144" s="4475"/>
      <c r="L144" s="4476"/>
      <c r="M144" s="4474"/>
      <c r="N144" s="4474"/>
      <c r="O144" s="4474"/>
      <c r="P144" s="4474"/>
      <c r="Q144" s="4474"/>
      <c r="R144" s="4474"/>
      <c r="S144" s="4474"/>
      <c r="T144" s="4474"/>
      <c r="U144" s="4474"/>
      <c r="V144" s="4474"/>
      <c r="W144" s="4474"/>
      <c r="X144" s="4474"/>
      <c r="Y144" s="4474"/>
      <c r="Z144" s="4474"/>
      <c r="AA144" s="4474"/>
      <c r="AB144" s="4474"/>
      <c r="AC144" s="4474"/>
    </row>
    <row r="145" spans="1:29">
      <c r="A145" s="4474"/>
      <c r="B145" s="4474"/>
      <c r="C145" s="4474"/>
      <c r="D145" s="4474"/>
      <c r="E145" s="4474"/>
      <c r="F145" s="4474"/>
      <c r="G145" s="4474"/>
      <c r="H145" s="4474"/>
      <c r="I145" s="4474"/>
      <c r="J145" s="4474"/>
      <c r="K145" s="4475"/>
      <c r="L145" s="4476"/>
      <c r="M145" s="4474"/>
      <c r="N145" s="4474"/>
      <c r="O145" s="4474"/>
      <c r="P145" s="4474"/>
      <c r="Q145" s="4474"/>
      <c r="R145" s="4474"/>
      <c r="S145" s="4474"/>
      <c r="T145" s="4474"/>
      <c r="U145" s="4474"/>
      <c r="V145" s="4474"/>
      <c r="W145" s="4474"/>
      <c r="X145" s="4474"/>
      <c r="Y145" s="4474"/>
      <c r="Z145" s="4474"/>
      <c r="AA145" s="4474"/>
      <c r="AB145" s="4474"/>
      <c r="AC145" s="4474"/>
    </row>
    <row r="146" spans="1:29">
      <c r="A146" s="4474"/>
      <c r="B146" s="4474"/>
      <c r="C146" s="4474"/>
      <c r="D146" s="4474"/>
      <c r="E146" s="4474"/>
      <c r="F146" s="4474"/>
      <c r="G146" s="4474"/>
      <c r="H146" s="4474"/>
      <c r="I146" s="4474"/>
      <c r="J146" s="4474"/>
      <c r="K146" s="4475"/>
      <c r="L146" s="4476"/>
      <c r="M146" s="4474"/>
      <c r="N146" s="4474"/>
      <c r="O146" s="4474"/>
      <c r="P146" s="4474"/>
      <c r="Q146" s="4474"/>
      <c r="R146" s="4474"/>
      <c r="S146" s="4474"/>
      <c r="T146" s="4474"/>
      <c r="U146" s="4474"/>
      <c r="V146" s="4474"/>
      <c r="W146" s="4474"/>
      <c r="X146" s="4474"/>
      <c r="Y146" s="4474"/>
      <c r="Z146" s="4474"/>
      <c r="AA146" s="4474"/>
      <c r="AB146" s="4474"/>
      <c r="AC146" s="4474"/>
    </row>
    <row r="147" spans="1:29">
      <c r="A147" s="4474"/>
      <c r="B147" s="4474"/>
      <c r="C147" s="4474"/>
      <c r="D147" s="4474"/>
      <c r="E147" s="4474"/>
      <c r="F147" s="4474"/>
      <c r="G147" s="4474"/>
      <c r="H147" s="4474"/>
      <c r="I147" s="4474"/>
      <c r="J147" s="4474"/>
      <c r="K147" s="4475"/>
      <c r="L147" s="4476"/>
      <c r="M147" s="4474"/>
      <c r="N147" s="4474"/>
      <c r="O147" s="4474"/>
      <c r="P147" s="4474"/>
      <c r="Q147" s="4474"/>
      <c r="R147" s="4474"/>
      <c r="S147" s="4474"/>
      <c r="T147" s="4474"/>
      <c r="U147" s="4474"/>
      <c r="V147" s="4474"/>
      <c r="W147" s="4474"/>
      <c r="X147" s="4474"/>
      <c r="Y147" s="4474"/>
      <c r="Z147" s="4474"/>
      <c r="AA147" s="4474"/>
      <c r="AB147" s="4474"/>
      <c r="AC147" s="4474"/>
    </row>
    <row r="148" spans="1:29">
      <c r="A148" s="4474"/>
      <c r="B148" s="4474"/>
      <c r="C148" s="4474"/>
      <c r="D148" s="4474"/>
      <c r="E148" s="4474"/>
      <c r="F148" s="4474"/>
      <c r="G148" s="4474"/>
      <c r="H148" s="4474"/>
      <c r="I148" s="4474"/>
      <c r="J148" s="4474"/>
      <c r="K148" s="4475"/>
      <c r="L148" s="4476"/>
      <c r="M148" s="4474"/>
      <c r="N148" s="4474"/>
      <c r="O148" s="4474"/>
      <c r="P148" s="4474"/>
      <c r="Q148" s="4474"/>
      <c r="R148" s="4474"/>
      <c r="S148" s="4474"/>
      <c r="T148" s="4474"/>
      <c r="U148" s="4474"/>
      <c r="V148" s="4474"/>
      <c r="W148" s="4474"/>
      <c r="X148" s="4474"/>
      <c r="Y148" s="4474"/>
      <c r="Z148" s="4474"/>
      <c r="AA148" s="4474"/>
      <c r="AB148" s="4474"/>
      <c r="AC148" s="4474"/>
    </row>
    <row r="149" spans="1:29">
      <c r="A149" s="4474"/>
      <c r="B149" s="4474"/>
      <c r="C149" s="4474"/>
      <c r="D149" s="4474"/>
      <c r="E149" s="4474"/>
      <c r="F149" s="4474"/>
      <c r="G149" s="4474"/>
      <c r="H149" s="4474"/>
      <c r="I149" s="4474"/>
      <c r="J149" s="4474"/>
      <c r="K149" s="4475"/>
      <c r="L149" s="4476"/>
      <c r="M149" s="4474"/>
      <c r="N149" s="4474"/>
      <c r="O149" s="4474"/>
      <c r="P149" s="4474"/>
      <c r="Q149" s="4474"/>
      <c r="R149" s="4474"/>
      <c r="S149" s="4474"/>
      <c r="T149" s="4474"/>
      <c r="U149" s="4474"/>
      <c r="V149" s="4474"/>
      <c r="W149" s="4474"/>
      <c r="X149" s="4474"/>
      <c r="Y149" s="4474"/>
      <c r="Z149" s="4474"/>
      <c r="AA149" s="4474"/>
      <c r="AB149" s="4474"/>
      <c r="AC149" s="4474"/>
    </row>
    <row r="150" spans="1:29">
      <c r="A150" s="4474"/>
      <c r="B150" s="4474"/>
      <c r="C150" s="4474"/>
      <c r="D150" s="4474"/>
      <c r="E150" s="4474"/>
      <c r="F150" s="4474"/>
      <c r="G150" s="4474"/>
      <c r="H150" s="4474"/>
      <c r="I150" s="4474"/>
      <c r="J150" s="4474"/>
      <c r="K150" s="4475"/>
      <c r="L150" s="4476"/>
      <c r="M150" s="4474"/>
      <c r="N150" s="4474"/>
      <c r="O150" s="4474"/>
      <c r="P150" s="4474"/>
      <c r="Q150" s="4474"/>
      <c r="R150" s="4474"/>
      <c r="S150" s="4474"/>
      <c r="T150" s="4474"/>
      <c r="U150" s="4474"/>
      <c r="V150" s="4474"/>
      <c r="W150" s="4474"/>
      <c r="X150" s="4474"/>
      <c r="Y150" s="4474"/>
      <c r="Z150" s="4474"/>
      <c r="AA150" s="4474"/>
      <c r="AB150" s="4474"/>
      <c r="AC150" s="4474"/>
    </row>
    <row r="151" spans="1:29">
      <c r="A151" s="4474"/>
      <c r="B151" s="4474"/>
      <c r="C151" s="4474"/>
      <c r="D151" s="4474"/>
      <c r="E151" s="4474"/>
      <c r="F151" s="4474"/>
      <c r="G151" s="4474"/>
      <c r="H151" s="4474"/>
      <c r="I151" s="4474"/>
      <c r="J151" s="4474"/>
      <c r="K151" s="4475"/>
      <c r="L151" s="4476"/>
      <c r="M151" s="4474"/>
      <c r="N151" s="4474"/>
      <c r="O151" s="4474"/>
      <c r="P151" s="4474"/>
      <c r="Q151" s="4474"/>
      <c r="R151" s="4474"/>
      <c r="S151" s="4474"/>
      <c r="T151" s="4474"/>
      <c r="U151" s="4474"/>
      <c r="V151" s="4474"/>
      <c r="W151" s="4474"/>
      <c r="X151" s="4474"/>
      <c r="Y151" s="4474"/>
      <c r="Z151" s="4474"/>
      <c r="AA151" s="4474"/>
      <c r="AB151" s="4474"/>
      <c r="AC151" s="4474"/>
    </row>
    <row r="152" spans="1:29">
      <c r="A152" s="4474"/>
      <c r="B152" s="4474"/>
      <c r="C152" s="4474"/>
      <c r="D152" s="4474"/>
      <c r="E152" s="4474"/>
      <c r="F152" s="4474"/>
      <c r="G152" s="4474"/>
      <c r="H152" s="4474"/>
      <c r="I152" s="4474"/>
      <c r="J152" s="4474"/>
      <c r="K152" s="4475"/>
      <c r="L152" s="4476"/>
      <c r="M152" s="4474"/>
      <c r="N152" s="4474"/>
      <c r="O152" s="4474"/>
      <c r="P152" s="4474"/>
      <c r="Q152" s="4474"/>
      <c r="R152" s="4474"/>
      <c r="S152" s="4474"/>
      <c r="T152" s="4474"/>
      <c r="U152" s="4474"/>
      <c r="V152" s="4474"/>
      <c r="W152" s="4474"/>
      <c r="X152" s="4474"/>
      <c r="Y152" s="4474"/>
      <c r="Z152" s="4474"/>
      <c r="AA152" s="4474"/>
      <c r="AB152" s="4474"/>
      <c r="AC152" s="4474"/>
    </row>
    <row r="153" spans="1:29">
      <c r="A153" s="4474"/>
      <c r="B153" s="4474"/>
      <c r="C153" s="4474"/>
      <c r="D153" s="4474"/>
      <c r="E153" s="4474"/>
      <c r="F153" s="4474"/>
      <c r="G153" s="4474"/>
      <c r="H153" s="4474"/>
      <c r="I153" s="4474"/>
      <c r="J153" s="4474"/>
      <c r="K153" s="4475"/>
      <c r="L153" s="4476"/>
      <c r="M153" s="4474"/>
      <c r="N153" s="4474"/>
      <c r="O153" s="4474"/>
      <c r="P153" s="4474"/>
      <c r="Q153" s="4474"/>
      <c r="R153" s="4474"/>
      <c r="S153" s="4474"/>
      <c r="T153" s="4474"/>
      <c r="U153" s="4474"/>
      <c r="V153" s="4474"/>
      <c r="W153" s="4474"/>
      <c r="X153" s="4474"/>
      <c r="Y153" s="4474"/>
      <c r="Z153" s="4474"/>
      <c r="AA153" s="4474"/>
      <c r="AB153" s="4474"/>
      <c r="AC153" s="4474"/>
    </row>
    <row r="154" spans="1:29">
      <c r="A154" s="4474"/>
      <c r="B154" s="4474"/>
      <c r="C154" s="4474"/>
      <c r="D154" s="4474"/>
      <c r="E154" s="4474"/>
      <c r="F154" s="4474"/>
      <c r="G154" s="4474"/>
      <c r="H154" s="4474"/>
      <c r="I154" s="4474"/>
      <c r="J154" s="4474"/>
      <c r="K154" s="4475"/>
      <c r="L154" s="4476"/>
      <c r="M154" s="4474"/>
      <c r="N154" s="4474"/>
      <c r="O154" s="4474"/>
      <c r="P154" s="4474"/>
      <c r="Q154" s="4474"/>
      <c r="R154" s="4474"/>
      <c r="S154" s="4474"/>
      <c r="T154" s="4474"/>
      <c r="U154" s="4474"/>
      <c r="V154" s="4474"/>
      <c r="W154" s="4474"/>
      <c r="X154" s="4474"/>
      <c r="Y154" s="4474"/>
      <c r="Z154" s="4474"/>
      <c r="AA154" s="4474"/>
      <c r="AB154" s="4474"/>
      <c r="AC154" s="4474"/>
    </row>
    <row r="155" spans="1:29">
      <c r="A155" s="4474"/>
      <c r="B155" s="4474"/>
      <c r="C155" s="4474"/>
      <c r="D155" s="4474"/>
      <c r="E155" s="4474"/>
      <c r="F155" s="4474"/>
      <c r="G155" s="4474"/>
      <c r="H155" s="4474"/>
      <c r="I155" s="4474"/>
      <c r="J155" s="4474"/>
      <c r="K155" s="4475"/>
      <c r="L155" s="4476"/>
      <c r="M155" s="4474"/>
      <c r="N155" s="4474"/>
      <c r="O155" s="4474"/>
      <c r="P155" s="4474"/>
      <c r="Q155" s="4474"/>
      <c r="R155" s="4474"/>
      <c r="S155" s="4474"/>
      <c r="T155" s="4474"/>
      <c r="U155" s="4474"/>
      <c r="V155" s="4474"/>
      <c r="W155" s="4474"/>
      <c r="X155" s="4474"/>
      <c r="Y155" s="4474"/>
      <c r="Z155" s="4474"/>
      <c r="AA155" s="4474"/>
      <c r="AB155" s="4474"/>
      <c r="AC155" s="4474"/>
    </row>
    <row r="156" spans="1:29">
      <c r="A156" s="4474"/>
      <c r="B156" s="4474"/>
      <c r="C156" s="4474"/>
      <c r="D156" s="4474"/>
      <c r="E156" s="4474"/>
      <c r="F156" s="4474"/>
      <c r="G156" s="4474"/>
      <c r="H156" s="4474"/>
      <c r="I156" s="4474"/>
      <c r="J156" s="4474"/>
      <c r="K156" s="4475"/>
      <c r="L156" s="4476"/>
      <c r="M156" s="4474"/>
      <c r="N156" s="4474"/>
      <c r="O156" s="4474"/>
      <c r="P156" s="4474"/>
      <c r="Q156" s="4474"/>
      <c r="R156" s="4474"/>
      <c r="S156" s="4474"/>
      <c r="T156" s="4474"/>
      <c r="U156" s="4474"/>
      <c r="V156" s="4474"/>
      <c r="W156" s="4474"/>
      <c r="X156" s="4474"/>
      <c r="Y156" s="4474"/>
      <c r="Z156" s="4474"/>
      <c r="AA156" s="4474"/>
      <c r="AB156" s="4474"/>
      <c r="AC156" s="4474"/>
    </row>
    <row r="157" spans="1:29">
      <c r="A157" s="4474"/>
      <c r="B157" s="4474"/>
      <c r="C157" s="4474"/>
      <c r="D157" s="4474"/>
      <c r="E157" s="4474"/>
      <c r="F157" s="4474"/>
      <c r="G157" s="4474"/>
      <c r="H157" s="4474"/>
      <c r="I157" s="4474"/>
      <c r="J157" s="4474"/>
      <c r="K157" s="4475"/>
      <c r="L157" s="4476"/>
      <c r="M157" s="4474"/>
      <c r="N157" s="4474"/>
      <c r="O157" s="4474"/>
      <c r="P157" s="4474"/>
      <c r="Q157" s="4474"/>
      <c r="R157" s="4474"/>
      <c r="S157" s="4474"/>
      <c r="T157" s="4474"/>
      <c r="U157" s="4474"/>
      <c r="V157" s="4474"/>
      <c r="W157" s="4474"/>
      <c r="X157" s="4474"/>
      <c r="Y157" s="4474"/>
      <c r="Z157" s="4474"/>
      <c r="AA157" s="4474"/>
      <c r="AB157" s="4474"/>
      <c r="AC157" s="4474"/>
    </row>
    <row r="158" spans="1:29">
      <c r="A158" s="4474"/>
      <c r="B158" s="4474"/>
      <c r="C158" s="4474"/>
      <c r="D158" s="4474"/>
      <c r="E158" s="4474"/>
      <c r="F158" s="4474"/>
      <c r="G158" s="4474"/>
      <c r="H158" s="4474"/>
      <c r="I158" s="4474"/>
      <c r="J158" s="4474"/>
      <c r="K158" s="4475"/>
      <c r="L158" s="4476"/>
      <c r="M158" s="4474"/>
      <c r="N158" s="4474"/>
      <c r="O158" s="4474"/>
      <c r="P158" s="4474"/>
      <c r="Q158" s="4474"/>
      <c r="R158" s="4474"/>
      <c r="S158" s="4474"/>
      <c r="T158" s="4474"/>
      <c r="U158" s="4474"/>
      <c r="V158" s="4474"/>
      <c r="W158" s="4474"/>
      <c r="X158" s="4474"/>
      <c r="Y158" s="4474"/>
      <c r="Z158" s="4474"/>
      <c r="AA158" s="4474"/>
      <c r="AB158" s="4474"/>
      <c r="AC158" s="4474"/>
    </row>
    <row r="159" spans="1:29">
      <c r="A159" s="4474"/>
      <c r="B159" s="4474"/>
      <c r="C159" s="4474"/>
      <c r="D159" s="4474"/>
      <c r="E159" s="4474"/>
      <c r="F159" s="4474"/>
      <c r="G159" s="4474"/>
      <c r="H159" s="4474"/>
      <c r="I159" s="4474"/>
      <c r="J159" s="4474"/>
      <c r="K159" s="4475"/>
      <c r="L159" s="4476"/>
      <c r="M159" s="4474"/>
      <c r="N159" s="4474"/>
      <c r="O159" s="4474"/>
      <c r="P159" s="4474"/>
      <c r="Q159" s="4474"/>
      <c r="R159" s="4474"/>
      <c r="S159" s="4474"/>
      <c r="T159" s="4474"/>
      <c r="U159" s="4474"/>
      <c r="V159" s="4474"/>
      <c r="W159" s="4474"/>
      <c r="X159" s="4474"/>
      <c r="Y159" s="4474"/>
      <c r="Z159" s="4474"/>
      <c r="AA159" s="4474"/>
      <c r="AB159" s="4474"/>
      <c r="AC159" s="4474"/>
    </row>
    <row r="160" spans="1:29">
      <c r="A160" s="4474"/>
      <c r="B160" s="4474"/>
      <c r="C160" s="4474"/>
      <c r="D160" s="4474"/>
      <c r="E160" s="4474"/>
      <c r="F160" s="4474"/>
      <c r="G160" s="4474"/>
      <c r="H160" s="4474"/>
      <c r="I160" s="4474"/>
      <c r="J160" s="4474"/>
      <c r="K160" s="4475"/>
      <c r="L160" s="4476"/>
      <c r="M160" s="4474"/>
      <c r="N160" s="4474"/>
      <c r="O160" s="4474"/>
      <c r="P160" s="4474"/>
      <c r="Q160" s="4474"/>
      <c r="R160" s="4474"/>
      <c r="S160" s="4474"/>
      <c r="T160" s="4474"/>
      <c r="U160" s="4474"/>
      <c r="V160" s="4474"/>
      <c r="W160" s="4474"/>
      <c r="X160" s="4474"/>
      <c r="Y160" s="4474"/>
      <c r="Z160" s="4474"/>
      <c r="AA160" s="4474"/>
      <c r="AB160" s="4474"/>
      <c r="AC160" s="4474"/>
    </row>
    <row r="161" spans="1:29">
      <c r="A161" s="4474"/>
      <c r="B161" s="4474"/>
      <c r="C161" s="4474"/>
      <c r="D161" s="4474"/>
      <c r="E161" s="4474"/>
      <c r="F161" s="4474"/>
      <c r="G161" s="4474"/>
      <c r="H161" s="4474"/>
      <c r="I161" s="4474"/>
      <c r="J161" s="4474"/>
      <c r="K161" s="4475"/>
      <c r="L161" s="4476"/>
      <c r="M161" s="4474"/>
      <c r="N161" s="4474"/>
      <c r="O161" s="4474"/>
      <c r="P161" s="4474"/>
      <c r="Q161" s="4474"/>
      <c r="R161" s="4474"/>
      <c r="S161" s="4474"/>
      <c r="T161" s="4474"/>
      <c r="U161" s="4474"/>
      <c r="V161" s="4474"/>
      <c r="W161" s="4474"/>
      <c r="X161" s="4474"/>
      <c r="Y161" s="4474"/>
      <c r="Z161" s="4474"/>
      <c r="AA161" s="4474"/>
      <c r="AB161" s="4474"/>
      <c r="AC161" s="4474"/>
    </row>
    <row r="162" spans="1:29">
      <c r="A162" s="4474"/>
      <c r="B162" s="4474"/>
      <c r="C162" s="4474"/>
      <c r="D162" s="4474"/>
      <c r="E162" s="4474"/>
      <c r="F162" s="4474"/>
      <c r="G162" s="4474"/>
      <c r="H162" s="4474"/>
      <c r="I162" s="4474"/>
      <c r="J162" s="4474"/>
      <c r="K162" s="4475"/>
      <c r="L162" s="4476"/>
      <c r="M162" s="4474"/>
      <c r="N162" s="4474"/>
      <c r="O162" s="4474"/>
      <c r="P162" s="4474"/>
      <c r="Q162" s="4474"/>
      <c r="R162" s="4474"/>
      <c r="S162" s="4474"/>
      <c r="T162" s="4474"/>
      <c r="U162" s="4474"/>
      <c r="V162" s="4474"/>
      <c r="W162" s="4474"/>
      <c r="X162" s="4474"/>
      <c r="Y162" s="4474"/>
      <c r="Z162" s="4474"/>
      <c r="AA162" s="4474"/>
      <c r="AB162" s="4474"/>
      <c r="AC162" s="4474"/>
    </row>
    <row r="163" spans="1:29">
      <c r="A163" s="4474"/>
      <c r="B163" s="4474"/>
      <c r="C163" s="4474"/>
      <c r="D163" s="4474"/>
      <c r="E163" s="4474"/>
      <c r="F163" s="4474"/>
      <c r="G163" s="4474"/>
      <c r="H163" s="4474"/>
      <c r="I163" s="4474"/>
      <c r="J163" s="4474"/>
      <c r="K163" s="4475"/>
      <c r="L163" s="4476"/>
      <c r="M163" s="4474"/>
      <c r="N163" s="4474"/>
      <c r="O163" s="4474"/>
      <c r="P163" s="4474"/>
      <c r="Q163" s="4474"/>
      <c r="R163" s="4474"/>
      <c r="S163" s="4474"/>
      <c r="T163" s="4474"/>
      <c r="U163" s="4474"/>
      <c r="V163" s="4474"/>
      <c r="W163" s="4474"/>
      <c r="X163" s="4474"/>
      <c r="Y163" s="4474"/>
      <c r="Z163" s="4474"/>
      <c r="AA163" s="4474"/>
      <c r="AB163" s="4474"/>
      <c r="AC163" s="4474"/>
    </row>
    <row r="164" spans="1:29">
      <c r="A164" s="4474"/>
      <c r="B164" s="4474"/>
      <c r="C164" s="4474"/>
      <c r="D164" s="4474"/>
      <c r="E164" s="4474"/>
      <c r="F164" s="4474"/>
      <c r="G164" s="4474"/>
      <c r="H164" s="4474"/>
      <c r="I164" s="4474"/>
      <c r="J164" s="4474"/>
      <c r="K164" s="4475"/>
      <c r="L164" s="4476"/>
      <c r="M164" s="4474"/>
      <c r="N164" s="4474"/>
      <c r="O164" s="4474"/>
      <c r="P164" s="4474"/>
      <c r="Q164" s="4474"/>
      <c r="R164" s="4474"/>
      <c r="S164" s="4474"/>
      <c r="T164" s="4474"/>
      <c r="U164" s="4474"/>
      <c r="V164" s="4474"/>
      <c r="W164" s="4474"/>
      <c r="X164" s="4474"/>
      <c r="Y164" s="4474"/>
      <c r="Z164" s="4474"/>
      <c r="AA164" s="4474"/>
      <c r="AB164" s="4474"/>
      <c r="AC164" s="4474"/>
    </row>
    <row r="165" spans="1:29">
      <c r="A165" s="4474"/>
      <c r="B165" s="4474"/>
      <c r="C165" s="4474"/>
      <c r="D165" s="4474"/>
      <c r="E165" s="4474"/>
      <c r="F165" s="4474"/>
      <c r="G165" s="4474"/>
      <c r="H165" s="4474"/>
      <c r="I165" s="4474"/>
      <c r="J165" s="4474"/>
      <c r="K165" s="4475"/>
      <c r="L165" s="4476"/>
      <c r="M165" s="4474"/>
      <c r="N165" s="4474"/>
      <c r="O165" s="4474"/>
      <c r="P165" s="4474"/>
      <c r="Q165" s="4474"/>
      <c r="R165" s="4474"/>
      <c r="S165" s="4474"/>
      <c r="T165" s="4474"/>
      <c r="U165" s="4474"/>
      <c r="V165" s="4474"/>
      <c r="W165" s="4474"/>
      <c r="X165" s="4474"/>
      <c r="Y165" s="4474"/>
      <c r="Z165" s="4474"/>
      <c r="AA165" s="4474"/>
      <c r="AB165" s="4474"/>
      <c r="AC165" s="4474"/>
    </row>
    <row r="166" spans="1:29">
      <c r="A166" s="4474"/>
      <c r="B166" s="4474"/>
      <c r="C166" s="4474"/>
      <c r="D166" s="4474"/>
      <c r="E166" s="4474"/>
      <c r="F166" s="4474"/>
      <c r="G166" s="4474"/>
      <c r="H166" s="4474"/>
      <c r="I166" s="4474"/>
      <c r="J166" s="4474"/>
      <c r="K166" s="4475"/>
      <c r="L166" s="4476"/>
      <c r="M166" s="4474"/>
      <c r="N166" s="4474"/>
      <c r="O166" s="4474"/>
      <c r="P166" s="4474"/>
      <c r="Q166" s="4474"/>
      <c r="R166" s="4474"/>
      <c r="S166" s="4474"/>
      <c r="T166" s="4474"/>
      <c r="U166" s="4474"/>
      <c r="V166" s="4474"/>
      <c r="W166" s="4474"/>
      <c r="X166" s="4474"/>
      <c r="Y166" s="4474"/>
      <c r="Z166" s="4474"/>
      <c r="AA166" s="4474"/>
      <c r="AB166" s="4474"/>
      <c r="AC166" s="4474"/>
    </row>
    <row r="167" spans="1:29">
      <c r="A167" s="4474"/>
      <c r="B167" s="4474"/>
      <c r="C167" s="4474"/>
      <c r="D167" s="4474"/>
      <c r="E167" s="4474"/>
      <c r="F167" s="4474"/>
      <c r="G167" s="4474"/>
      <c r="H167" s="4474"/>
      <c r="I167" s="4474"/>
      <c r="J167" s="4474"/>
      <c r="K167" s="4475"/>
      <c r="L167" s="4476"/>
      <c r="M167" s="4474"/>
      <c r="N167" s="4474"/>
      <c r="O167" s="4474"/>
      <c r="P167" s="4474"/>
      <c r="Q167" s="4474"/>
      <c r="R167" s="4474"/>
      <c r="S167" s="4474"/>
      <c r="T167" s="4474"/>
      <c r="U167" s="4474"/>
      <c r="V167" s="4474"/>
      <c r="W167" s="4474"/>
      <c r="X167" s="4474"/>
      <c r="Y167" s="4474"/>
      <c r="Z167" s="4474"/>
      <c r="AA167" s="4474"/>
      <c r="AB167" s="4474"/>
      <c r="AC167" s="4474"/>
    </row>
    <row r="168" spans="1:29">
      <c r="A168" s="4474"/>
      <c r="B168" s="4474"/>
      <c r="C168" s="4474"/>
      <c r="D168" s="4474"/>
      <c r="E168" s="4474"/>
      <c r="F168" s="4474"/>
      <c r="G168" s="4474"/>
      <c r="H168" s="4474"/>
      <c r="I168" s="4474"/>
      <c r="J168" s="4474"/>
      <c r="K168" s="4475"/>
      <c r="L168" s="4476"/>
      <c r="M168" s="4474"/>
      <c r="N168" s="4474"/>
      <c r="O168" s="4474"/>
      <c r="P168" s="4474"/>
      <c r="Q168" s="4474"/>
      <c r="R168" s="4474"/>
      <c r="S168" s="4474"/>
      <c r="T168" s="4474"/>
      <c r="U168" s="4474"/>
      <c r="V168" s="4474"/>
      <c r="W168" s="4474"/>
      <c r="X168" s="4474"/>
      <c r="Y168" s="4474"/>
      <c r="Z168" s="4474"/>
      <c r="AA168" s="4474"/>
      <c r="AB168" s="4474"/>
      <c r="AC168" s="4474"/>
    </row>
    <row r="169" spans="1:29">
      <c r="A169" s="4474"/>
      <c r="B169" s="4474"/>
      <c r="C169" s="4474"/>
      <c r="D169" s="4474"/>
      <c r="E169" s="4474"/>
      <c r="F169" s="4474"/>
      <c r="G169" s="4474"/>
      <c r="H169" s="4474"/>
      <c r="I169" s="4474"/>
      <c r="J169" s="4474"/>
      <c r="K169" s="4475"/>
      <c r="L169" s="4476"/>
      <c r="M169" s="4474"/>
      <c r="N169" s="4474"/>
      <c r="O169" s="4474"/>
      <c r="P169" s="4474"/>
      <c r="Q169" s="4474"/>
      <c r="R169" s="4474"/>
      <c r="S169" s="4474"/>
      <c r="T169" s="4474"/>
      <c r="U169" s="4474"/>
      <c r="V169" s="4474"/>
      <c r="W169" s="4474"/>
      <c r="X169" s="4474"/>
      <c r="Y169" s="4474"/>
      <c r="Z169" s="4474"/>
      <c r="AA169" s="4474"/>
      <c r="AB169" s="4474"/>
      <c r="AC169" s="4474"/>
    </row>
    <row r="170" spans="1:29">
      <c r="A170" s="4474"/>
      <c r="B170" s="4474"/>
      <c r="C170" s="4474"/>
      <c r="D170" s="4474"/>
      <c r="E170" s="4474"/>
      <c r="F170" s="4474"/>
      <c r="G170" s="4474"/>
      <c r="H170" s="4474"/>
      <c r="I170" s="4474"/>
      <c r="J170" s="4474"/>
      <c r="K170" s="4475"/>
      <c r="L170" s="4476"/>
      <c r="M170" s="4474"/>
      <c r="N170" s="4474"/>
      <c r="O170" s="4474"/>
      <c r="P170" s="4474"/>
      <c r="Q170" s="4474"/>
      <c r="R170" s="4474"/>
      <c r="S170" s="4474"/>
      <c r="T170" s="4474"/>
      <c r="U170" s="4474"/>
      <c r="V170" s="4474"/>
      <c r="W170" s="4474"/>
      <c r="X170" s="4474"/>
      <c r="Y170" s="4474"/>
      <c r="Z170" s="4474"/>
      <c r="AA170" s="4474"/>
      <c r="AB170" s="4474"/>
      <c r="AC170" s="4474"/>
    </row>
    <row r="171" spans="1:29">
      <c r="A171" s="4474"/>
      <c r="B171" s="4474"/>
      <c r="C171" s="4474"/>
      <c r="D171" s="4474"/>
      <c r="E171" s="4474"/>
      <c r="F171" s="4474"/>
      <c r="G171" s="4474"/>
      <c r="H171" s="4474"/>
      <c r="I171" s="4474"/>
      <c r="J171" s="4474"/>
      <c r="K171" s="4475"/>
      <c r="L171" s="4476"/>
      <c r="M171" s="4474"/>
      <c r="N171" s="4474"/>
      <c r="O171" s="4474"/>
      <c r="P171" s="4474"/>
      <c r="Q171" s="4474"/>
      <c r="R171" s="4474"/>
      <c r="S171" s="4474"/>
      <c r="T171" s="4474"/>
      <c r="U171" s="4474"/>
      <c r="V171" s="4474"/>
      <c r="W171" s="4474"/>
      <c r="X171" s="4474"/>
      <c r="Y171" s="4474"/>
      <c r="Z171" s="4474"/>
      <c r="AA171" s="4474"/>
      <c r="AB171" s="4474"/>
      <c r="AC171" s="4474"/>
    </row>
    <row r="172" spans="1:29">
      <c r="A172" s="4474"/>
      <c r="B172" s="4474"/>
      <c r="C172" s="4474"/>
      <c r="D172" s="4474"/>
      <c r="E172" s="4474"/>
      <c r="F172" s="4474"/>
      <c r="G172" s="4474"/>
      <c r="H172" s="4474"/>
      <c r="I172" s="4474"/>
      <c r="J172" s="4474"/>
      <c r="K172" s="4475"/>
      <c r="L172" s="4476"/>
      <c r="M172" s="4474"/>
      <c r="N172" s="4474"/>
      <c r="O172" s="4474"/>
      <c r="P172" s="4474"/>
      <c r="Q172" s="4474"/>
      <c r="R172" s="4474"/>
      <c r="S172" s="4474"/>
      <c r="T172" s="4474"/>
      <c r="U172" s="4474"/>
      <c r="V172" s="4474"/>
      <c r="W172" s="4474"/>
      <c r="X172" s="4474"/>
      <c r="Y172" s="4474"/>
      <c r="Z172" s="4474"/>
      <c r="AA172" s="4474"/>
      <c r="AB172" s="4474"/>
      <c r="AC172" s="4474"/>
    </row>
    <row r="173" spans="1:29">
      <c r="A173" s="4474"/>
      <c r="B173" s="4474"/>
      <c r="C173" s="4474"/>
      <c r="D173" s="4474"/>
      <c r="E173" s="4474"/>
      <c r="F173" s="4474"/>
      <c r="G173" s="4474"/>
      <c r="H173" s="4474"/>
      <c r="I173" s="4474"/>
      <c r="J173" s="4474"/>
      <c r="K173" s="4475"/>
      <c r="L173" s="4476"/>
      <c r="M173" s="4474"/>
      <c r="N173" s="4474"/>
      <c r="O173" s="4474"/>
      <c r="P173" s="4474"/>
      <c r="Q173" s="4474"/>
      <c r="R173" s="4474"/>
      <c r="S173" s="4474"/>
      <c r="T173" s="4474"/>
      <c r="U173" s="4474"/>
      <c r="V173" s="4474"/>
      <c r="W173" s="4474"/>
      <c r="X173" s="4474"/>
      <c r="Y173" s="4474"/>
      <c r="Z173" s="4474"/>
      <c r="AA173" s="4474"/>
      <c r="AB173" s="4474"/>
      <c r="AC173" s="4474"/>
    </row>
    <row r="174" spans="1:29">
      <c r="A174" s="4474"/>
      <c r="B174" s="4474"/>
      <c r="C174" s="4474"/>
      <c r="D174" s="4474"/>
      <c r="E174" s="4474"/>
      <c r="F174" s="4474"/>
      <c r="G174" s="4474"/>
      <c r="H174" s="4474"/>
      <c r="I174" s="4474"/>
      <c r="J174" s="4474"/>
      <c r="K174" s="4475"/>
      <c r="L174" s="4476"/>
      <c r="M174" s="4474"/>
      <c r="N174" s="4474"/>
      <c r="O174" s="4474"/>
      <c r="P174" s="4474"/>
      <c r="Q174" s="4474"/>
      <c r="R174" s="4474"/>
      <c r="S174" s="4474"/>
      <c r="T174" s="4474"/>
      <c r="U174" s="4474"/>
      <c r="V174" s="4474"/>
      <c r="W174" s="4474"/>
      <c r="X174" s="4474"/>
      <c r="Y174" s="4474"/>
      <c r="Z174" s="4474"/>
      <c r="AA174" s="4474"/>
      <c r="AB174" s="4474"/>
      <c r="AC174" s="4474"/>
    </row>
    <row r="175" spans="1:29">
      <c r="A175" s="4474"/>
      <c r="B175" s="4474"/>
      <c r="C175" s="4474"/>
      <c r="D175" s="4474"/>
      <c r="E175" s="4474"/>
      <c r="F175" s="4474"/>
      <c r="G175" s="4474"/>
      <c r="H175" s="4474"/>
      <c r="I175" s="4474"/>
      <c r="J175" s="4474"/>
      <c r="K175" s="4475"/>
      <c r="L175" s="4476"/>
      <c r="M175" s="4474"/>
      <c r="N175" s="4474"/>
      <c r="O175" s="4474"/>
      <c r="P175" s="4474"/>
      <c r="Q175" s="4474"/>
      <c r="R175" s="4474"/>
      <c r="S175" s="4474"/>
      <c r="T175" s="4474"/>
      <c r="U175" s="4474"/>
      <c r="V175" s="4474"/>
      <c r="W175" s="4474"/>
      <c r="X175" s="4474"/>
      <c r="Y175" s="4474"/>
      <c r="Z175" s="4474"/>
      <c r="AA175" s="4474"/>
      <c r="AB175" s="4474"/>
      <c r="AC175" s="4474"/>
    </row>
    <row r="176" spans="1:29">
      <c r="A176" s="4474"/>
      <c r="B176" s="4474"/>
      <c r="C176" s="4474"/>
      <c r="D176" s="4474"/>
      <c r="E176" s="4474"/>
      <c r="F176" s="4474"/>
      <c r="G176" s="4474"/>
      <c r="H176" s="4474"/>
      <c r="I176" s="4474"/>
      <c r="J176" s="4474"/>
      <c r="K176" s="4475"/>
      <c r="L176" s="4476"/>
      <c r="M176" s="4474"/>
      <c r="N176" s="4474"/>
      <c r="O176" s="4474"/>
      <c r="P176" s="4474"/>
      <c r="Q176" s="4474"/>
      <c r="R176" s="4474"/>
      <c r="S176" s="4474"/>
      <c r="T176" s="4474"/>
      <c r="U176" s="4474"/>
      <c r="V176" s="4474"/>
      <c r="W176" s="4474"/>
      <c r="X176" s="4474"/>
      <c r="Y176" s="4474"/>
      <c r="Z176" s="4474"/>
      <c r="AA176" s="4474"/>
      <c r="AB176" s="4474"/>
      <c r="AC176" s="4474"/>
    </row>
    <row r="177" spans="1:29">
      <c r="A177" s="4474"/>
      <c r="B177" s="4474"/>
      <c r="C177" s="4474"/>
      <c r="D177" s="4474"/>
      <c r="E177" s="4474"/>
      <c r="F177" s="4474"/>
      <c r="G177" s="4474"/>
      <c r="H177" s="4474"/>
      <c r="I177" s="4474"/>
      <c r="J177" s="4474"/>
      <c r="K177" s="4475"/>
      <c r="L177" s="4476"/>
      <c r="M177" s="4474"/>
      <c r="N177" s="4474"/>
      <c r="O177" s="4474"/>
      <c r="P177" s="4474"/>
      <c r="Q177" s="4474"/>
      <c r="R177" s="4474"/>
      <c r="S177" s="4474"/>
      <c r="T177" s="4474"/>
      <c r="U177" s="4474"/>
      <c r="V177" s="4474"/>
      <c r="W177" s="4474"/>
      <c r="X177" s="4474"/>
      <c r="Y177" s="4474"/>
      <c r="Z177" s="4474"/>
      <c r="AA177" s="4474"/>
      <c r="AB177" s="4474"/>
      <c r="AC177" s="4474"/>
    </row>
    <row r="178" spans="1:29">
      <c r="A178" s="4474"/>
      <c r="B178" s="4474"/>
      <c r="C178" s="4474"/>
      <c r="D178" s="4474"/>
      <c r="E178" s="4474"/>
      <c r="F178" s="4474"/>
      <c r="G178" s="4474"/>
      <c r="H178" s="4474"/>
      <c r="I178" s="4474"/>
      <c r="J178" s="4474"/>
      <c r="K178" s="4475"/>
      <c r="L178" s="4476"/>
      <c r="M178" s="4474"/>
      <c r="N178" s="4474"/>
      <c r="O178" s="4474"/>
      <c r="P178" s="4474"/>
      <c r="Q178" s="4474"/>
      <c r="R178" s="4474"/>
      <c r="S178" s="4474"/>
      <c r="T178" s="4474"/>
      <c r="U178" s="4474"/>
      <c r="V178" s="4474"/>
      <c r="W178" s="4474"/>
      <c r="X178" s="4474"/>
      <c r="Y178" s="4474"/>
      <c r="Z178" s="4474"/>
      <c r="AA178" s="4474"/>
      <c r="AB178" s="4474"/>
      <c r="AC178" s="4474"/>
    </row>
    <row r="179" spans="1:29">
      <c r="A179" s="4474"/>
      <c r="B179" s="4474"/>
      <c r="C179" s="4474"/>
      <c r="D179" s="4474"/>
      <c r="E179" s="4474"/>
      <c r="F179" s="4474"/>
      <c r="G179" s="4474"/>
      <c r="H179" s="4474"/>
      <c r="I179" s="4474"/>
      <c r="J179" s="4474"/>
      <c r="K179" s="4475"/>
      <c r="L179" s="4476"/>
      <c r="M179" s="4474"/>
      <c r="N179" s="4474"/>
      <c r="O179" s="4474"/>
      <c r="P179" s="4474"/>
      <c r="Q179" s="4474"/>
      <c r="R179" s="4474"/>
      <c r="S179" s="4474"/>
      <c r="T179" s="4474"/>
      <c r="U179" s="4474"/>
      <c r="V179" s="4474"/>
      <c r="W179" s="4474"/>
      <c r="X179" s="4474"/>
      <c r="Y179" s="4474"/>
      <c r="Z179" s="4474"/>
      <c r="AA179" s="4474"/>
      <c r="AB179" s="4474"/>
      <c r="AC179" s="4474"/>
    </row>
    <row r="180" spans="1:29">
      <c r="A180" s="4474"/>
      <c r="B180" s="4474"/>
      <c r="C180" s="4474"/>
      <c r="D180" s="4474"/>
      <c r="E180" s="4474"/>
      <c r="F180" s="4474"/>
      <c r="G180" s="4474"/>
      <c r="H180" s="4474"/>
      <c r="I180" s="4474"/>
      <c r="J180" s="4474"/>
      <c r="K180" s="4475"/>
      <c r="L180" s="4476"/>
      <c r="M180" s="4474"/>
      <c r="N180" s="4474"/>
      <c r="O180" s="4474"/>
      <c r="P180" s="4474"/>
      <c r="Q180" s="4474"/>
      <c r="R180" s="4474"/>
      <c r="S180" s="4474"/>
      <c r="T180" s="4474"/>
      <c r="U180" s="4474"/>
      <c r="V180" s="4474"/>
      <c r="W180" s="4474"/>
      <c r="X180" s="4474"/>
      <c r="Y180" s="4474"/>
      <c r="Z180" s="4474"/>
      <c r="AA180" s="4474"/>
      <c r="AB180" s="4474"/>
      <c r="AC180" s="4474"/>
    </row>
    <row r="181" spans="1:29">
      <c r="A181" s="4474"/>
      <c r="B181" s="4474"/>
      <c r="C181" s="4474"/>
      <c r="D181" s="4474"/>
      <c r="E181" s="4474"/>
      <c r="F181" s="4474"/>
      <c r="G181" s="4474"/>
      <c r="H181" s="4474"/>
      <c r="I181" s="4474"/>
      <c r="J181" s="4474"/>
      <c r="K181" s="4475"/>
      <c r="L181" s="4476"/>
      <c r="M181" s="4474"/>
      <c r="N181" s="4474"/>
      <c r="O181" s="4474"/>
      <c r="P181" s="4474"/>
      <c r="Q181" s="4474"/>
      <c r="R181" s="4474"/>
      <c r="S181" s="4474"/>
      <c r="T181" s="4474"/>
      <c r="U181" s="4474"/>
      <c r="V181" s="4474"/>
      <c r="W181" s="4474"/>
      <c r="X181" s="4474"/>
      <c r="Y181" s="4474"/>
      <c r="Z181" s="4474"/>
      <c r="AA181" s="4474"/>
      <c r="AB181" s="4474"/>
      <c r="AC181" s="4474"/>
    </row>
    <row r="182" spans="1:29">
      <c r="A182" s="4474"/>
      <c r="B182" s="4474"/>
      <c r="C182" s="4474"/>
      <c r="D182" s="4474"/>
      <c r="E182" s="4474"/>
      <c r="F182" s="4474"/>
      <c r="G182" s="4474"/>
      <c r="H182" s="4474"/>
      <c r="I182" s="4474"/>
      <c r="J182" s="4474"/>
      <c r="K182" s="4475"/>
      <c r="L182" s="4476"/>
      <c r="M182" s="4474"/>
      <c r="N182" s="4474"/>
      <c r="O182" s="4474"/>
      <c r="P182" s="4474"/>
      <c r="Q182" s="4474"/>
      <c r="R182" s="4474"/>
      <c r="S182" s="4474"/>
      <c r="T182" s="4474"/>
      <c r="U182" s="4474"/>
      <c r="V182" s="4474"/>
      <c r="W182" s="4474"/>
      <c r="X182" s="4474"/>
      <c r="Y182" s="4474"/>
      <c r="Z182" s="4474"/>
      <c r="AA182" s="4474"/>
      <c r="AB182" s="4474"/>
      <c r="AC182" s="4474"/>
    </row>
    <row r="183" spans="1:29">
      <c r="A183" s="4474"/>
      <c r="B183" s="4474"/>
      <c r="C183" s="4474"/>
      <c r="D183" s="4474"/>
      <c r="E183" s="4474"/>
      <c r="F183" s="4474"/>
      <c r="G183" s="4474"/>
      <c r="H183" s="4474"/>
      <c r="I183" s="4474"/>
      <c r="J183" s="4474"/>
      <c r="K183" s="4475"/>
      <c r="L183" s="4476"/>
      <c r="M183" s="4474"/>
      <c r="N183" s="4474"/>
      <c r="O183" s="4474"/>
      <c r="P183" s="4474"/>
      <c r="Q183" s="4474"/>
      <c r="R183" s="4474"/>
      <c r="S183" s="4474"/>
      <c r="T183" s="4474"/>
      <c r="U183" s="4474"/>
      <c r="V183" s="4474"/>
      <c r="W183" s="4474"/>
      <c r="X183" s="4474"/>
      <c r="Y183" s="4474"/>
      <c r="Z183" s="4474"/>
      <c r="AA183" s="4474"/>
      <c r="AB183" s="4474"/>
      <c r="AC183" s="4474"/>
    </row>
    <row r="184" spans="1:29">
      <c r="A184" s="4474"/>
      <c r="B184" s="4474"/>
      <c r="C184" s="4474"/>
      <c r="D184" s="4474"/>
      <c r="E184" s="4474"/>
      <c r="F184" s="4474"/>
      <c r="G184" s="4474"/>
      <c r="H184" s="4474"/>
      <c r="I184" s="4474"/>
      <c r="J184" s="4474"/>
      <c r="K184" s="4475"/>
      <c r="L184" s="4476"/>
      <c r="M184" s="4474"/>
      <c r="N184" s="4474"/>
      <c r="O184" s="4474"/>
      <c r="P184" s="4474"/>
      <c r="Q184" s="4474"/>
      <c r="R184" s="4474"/>
      <c r="S184" s="4474"/>
      <c r="T184" s="4474"/>
      <c r="U184" s="4474"/>
      <c r="V184" s="4474"/>
      <c r="W184" s="4474"/>
      <c r="X184" s="4474"/>
      <c r="Y184" s="4474"/>
      <c r="Z184" s="4474"/>
      <c r="AA184" s="4474"/>
      <c r="AB184" s="4474"/>
      <c r="AC184" s="4474"/>
    </row>
    <row r="185" spans="1:29">
      <c r="A185" s="4474"/>
      <c r="B185" s="4474"/>
      <c r="C185" s="4474"/>
      <c r="D185" s="4474"/>
      <c r="E185" s="4474"/>
      <c r="F185" s="4474"/>
      <c r="G185" s="4474"/>
      <c r="H185" s="4474"/>
      <c r="I185" s="4474"/>
      <c r="J185" s="4474"/>
      <c r="K185" s="4475"/>
      <c r="L185" s="4476"/>
      <c r="M185" s="4474"/>
      <c r="N185" s="4474"/>
      <c r="O185" s="4474"/>
      <c r="P185" s="4474"/>
      <c r="Q185" s="4474"/>
      <c r="R185" s="4474"/>
      <c r="S185" s="4474"/>
      <c r="T185" s="4474"/>
      <c r="U185" s="4474"/>
      <c r="V185" s="4474"/>
      <c r="W185" s="4474"/>
      <c r="X185" s="4474"/>
      <c r="Y185" s="4474"/>
      <c r="Z185" s="4474"/>
      <c r="AA185" s="4474"/>
      <c r="AB185" s="4474"/>
      <c r="AC185" s="4474"/>
    </row>
    <row r="186" spans="1:29">
      <c r="A186" s="4474"/>
      <c r="B186" s="4474"/>
      <c r="C186" s="4474"/>
      <c r="D186" s="4474"/>
      <c r="E186" s="4474"/>
      <c r="F186" s="4474"/>
      <c r="G186" s="4474"/>
      <c r="H186" s="4474"/>
      <c r="I186" s="4474"/>
      <c r="J186" s="4474"/>
      <c r="K186" s="4475"/>
      <c r="L186" s="4476"/>
      <c r="M186" s="4474"/>
      <c r="N186" s="4474"/>
      <c r="O186" s="4474"/>
      <c r="P186" s="4474"/>
      <c r="Q186" s="4474"/>
      <c r="R186" s="4474"/>
      <c r="S186" s="4474"/>
      <c r="T186" s="4474"/>
      <c r="U186" s="4474"/>
      <c r="V186" s="4474"/>
      <c r="W186" s="4474"/>
      <c r="X186" s="4474"/>
      <c r="Y186" s="4474"/>
      <c r="Z186" s="4474"/>
      <c r="AA186" s="4474"/>
      <c r="AB186" s="4474"/>
      <c r="AC186" s="4474"/>
    </row>
    <row r="187" spans="1:29">
      <c r="A187" s="4474"/>
      <c r="B187" s="4474"/>
      <c r="C187" s="4474"/>
      <c r="D187" s="4474"/>
      <c r="E187" s="4474"/>
      <c r="F187" s="4474"/>
      <c r="G187" s="4474"/>
      <c r="H187" s="4474"/>
      <c r="I187" s="4474"/>
      <c r="J187" s="4474"/>
      <c r="K187" s="4475"/>
      <c r="L187" s="4476"/>
      <c r="M187" s="4474"/>
      <c r="N187" s="4474"/>
      <c r="O187" s="4474"/>
      <c r="P187" s="4474"/>
      <c r="Q187" s="4474"/>
      <c r="R187" s="4474"/>
      <c r="S187" s="4474"/>
      <c r="T187" s="4474"/>
      <c r="U187" s="4474"/>
      <c r="V187" s="4474"/>
      <c r="W187" s="4474"/>
      <c r="X187" s="4474"/>
      <c r="Y187" s="4474"/>
      <c r="Z187" s="4474"/>
      <c r="AA187" s="4474"/>
      <c r="AB187" s="4474"/>
      <c r="AC187" s="4474"/>
    </row>
    <row r="188" spans="1:29">
      <c r="A188" s="4474"/>
      <c r="B188" s="4474"/>
      <c r="C188" s="4474"/>
      <c r="D188" s="4474"/>
      <c r="E188" s="4474"/>
      <c r="F188" s="4474"/>
      <c r="G188" s="4474"/>
      <c r="H188" s="4474"/>
      <c r="I188" s="4474"/>
      <c r="J188" s="4474"/>
      <c r="K188" s="4475"/>
      <c r="L188" s="4476"/>
      <c r="M188" s="4474"/>
      <c r="N188" s="4474"/>
      <c r="O188" s="4474"/>
      <c r="P188" s="4474"/>
      <c r="Q188" s="4474"/>
      <c r="R188" s="4474"/>
      <c r="S188" s="4474"/>
      <c r="T188" s="4474"/>
      <c r="U188" s="4474"/>
      <c r="V188" s="4474"/>
      <c r="W188" s="4474"/>
      <c r="X188" s="4474"/>
      <c r="Y188" s="4474"/>
      <c r="Z188" s="4474"/>
      <c r="AA188" s="4474"/>
      <c r="AB188" s="4474"/>
      <c r="AC188" s="4474"/>
    </row>
    <row r="189" spans="1:29">
      <c r="A189" s="4474"/>
      <c r="B189" s="4474"/>
      <c r="C189" s="4474"/>
      <c r="D189" s="4474"/>
      <c r="E189" s="4474"/>
      <c r="F189" s="4474"/>
      <c r="G189" s="4474"/>
      <c r="H189" s="4474"/>
      <c r="I189" s="4474"/>
      <c r="J189" s="4474"/>
      <c r="K189" s="4475"/>
      <c r="L189" s="4476"/>
      <c r="M189" s="4474"/>
      <c r="N189" s="4474"/>
      <c r="O189" s="4474"/>
      <c r="P189" s="4474"/>
      <c r="Q189" s="4474"/>
      <c r="R189" s="4474"/>
      <c r="S189" s="4474"/>
      <c r="T189" s="4474"/>
      <c r="U189" s="4474"/>
      <c r="V189" s="4474"/>
      <c r="W189" s="4474"/>
      <c r="X189" s="4474"/>
      <c r="Y189" s="4474"/>
      <c r="Z189" s="4474"/>
      <c r="AA189" s="4474"/>
      <c r="AB189" s="4474"/>
      <c r="AC189" s="4474"/>
    </row>
    <row r="190" spans="1:29">
      <c r="A190" s="4474"/>
      <c r="B190" s="4474"/>
      <c r="C190" s="4474"/>
      <c r="D190" s="4474"/>
      <c r="E190" s="4474"/>
      <c r="F190" s="4474"/>
      <c r="G190" s="4474"/>
      <c r="H190" s="4474"/>
      <c r="I190" s="4474"/>
      <c r="J190" s="4474"/>
      <c r="K190" s="4475"/>
      <c r="L190" s="4476"/>
      <c r="M190" s="4474"/>
      <c r="N190" s="4474"/>
      <c r="O190" s="4474"/>
      <c r="P190" s="4474"/>
      <c r="Q190" s="4474"/>
      <c r="R190" s="4474"/>
      <c r="S190" s="4474"/>
      <c r="T190" s="4474"/>
      <c r="U190" s="4474"/>
      <c r="V190" s="4474"/>
      <c r="W190" s="4474"/>
      <c r="X190" s="4474"/>
      <c r="Y190" s="4474"/>
      <c r="Z190" s="4474"/>
      <c r="AA190" s="4474"/>
      <c r="AB190" s="4474"/>
      <c r="AC190" s="4474"/>
    </row>
    <row r="191" spans="1:29">
      <c r="A191" s="4474"/>
      <c r="B191" s="4474"/>
      <c r="C191" s="4474"/>
      <c r="D191" s="4474"/>
      <c r="E191" s="4474"/>
      <c r="F191" s="4474"/>
      <c r="G191" s="4474"/>
      <c r="H191" s="4474"/>
      <c r="I191" s="4474"/>
      <c r="J191" s="4474"/>
      <c r="K191" s="4475"/>
      <c r="L191" s="4476"/>
      <c r="M191" s="4474"/>
      <c r="N191" s="4474"/>
      <c r="O191" s="4474"/>
      <c r="P191" s="4474"/>
      <c r="Q191" s="4474"/>
      <c r="R191" s="4474"/>
      <c r="S191" s="4474"/>
      <c r="T191" s="4474"/>
      <c r="U191" s="4474"/>
      <c r="V191" s="4474"/>
      <c r="W191" s="4474"/>
      <c r="X191" s="4474"/>
      <c r="Y191" s="4474"/>
      <c r="Z191" s="4474"/>
      <c r="AA191" s="4474"/>
      <c r="AB191" s="4474"/>
      <c r="AC191" s="4474"/>
    </row>
    <row r="192" spans="1:29">
      <c r="A192" s="4474"/>
      <c r="B192" s="4474"/>
      <c r="C192" s="4474"/>
      <c r="D192" s="4474"/>
      <c r="E192" s="4474"/>
      <c r="F192" s="4474"/>
      <c r="G192" s="4474"/>
      <c r="H192" s="4474"/>
      <c r="I192" s="4474"/>
      <c r="J192" s="4474"/>
      <c r="K192" s="4475"/>
      <c r="L192" s="4476"/>
      <c r="M192" s="4474"/>
      <c r="N192" s="4474"/>
      <c r="O192" s="4474"/>
      <c r="P192" s="4474"/>
      <c r="Q192" s="4474"/>
      <c r="R192" s="4474"/>
      <c r="S192" s="4474"/>
      <c r="T192" s="4474"/>
      <c r="U192" s="4474"/>
      <c r="V192" s="4474"/>
      <c r="W192" s="4474"/>
      <c r="X192" s="4474"/>
      <c r="Y192" s="4474"/>
      <c r="Z192" s="4474"/>
      <c r="AA192" s="4474"/>
      <c r="AB192" s="4474"/>
      <c r="AC192" s="4474"/>
    </row>
    <row r="193" spans="1:29">
      <c r="A193" s="4474"/>
      <c r="B193" s="4474"/>
      <c r="C193" s="4474"/>
      <c r="D193" s="4474"/>
      <c r="E193" s="4474"/>
      <c r="F193" s="4474"/>
      <c r="G193" s="4474"/>
      <c r="H193" s="4474"/>
      <c r="I193" s="4474"/>
      <c r="J193" s="4474"/>
      <c r="K193" s="4475"/>
      <c r="L193" s="4476"/>
      <c r="M193" s="4474"/>
      <c r="N193" s="4474"/>
      <c r="O193" s="4474"/>
      <c r="P193" s="4474"/>
      <c r="Q193" s="4474"/>
      <c r="R193" s="4474"/>
      <c r="S193" s="4474"/>
      <c r="T193" s="4474"/>
      <c r="U193" s="4474"/>
      <c r="V193" s="4474"/>
      <c r="W193" s="4474"/>
      <c r="X193" s="4474"/>
      <c r="Y193" s="4474"/>
      <c r="Z193" s="4474"/>
      <c r="AA193" s="4474"/>
      <c r="AB193" s="4474"/>
      <c r="AC193" s="4474"/>
    </row>
    <row r="194" spans="1:29">
      <c r="A194" s="4474"/>
      <c r="B194" s="4474"/>
      <c r="C194" s="4474"/>
      <c r="D194" s="4474"/>
      <c r="E194" s="4474"/>
      <c r="F194" s="4474"/>
      <c r="G194" s="4474"/>
      <c r="H194" s="4474"/>
      <c r="I194" s="4474"/>
      <c r="J194" s="4474"/>
      <c r="K194" s="4475"/>
      <c r="L194" s="4476"/>
      <c r="M194" s="4474"/>
      <c r="N194" s="4474"/>
      <c r="O194" s="4474"/>
      <c r="P194" s="4474"/>
      <c r="Q194" s="4474"/>
      <c r="R194" s="4474"/>
      <c r="S194" s="4474"/>
      <c r="T194" s="4474"/>
      <c r="U194" s="4474"/>
      <c r="V194" s="4474"/>
      <c r="W194" s="4474"/>
      <c r="X194" s="4474"/>
      <c r="Y194" s="4474"/>
      <c r="Z194" s="4474"/>
      <c r="AA194" s="4474"/>
      <c r="AB194" s="4474"/>
      <c r="AC194" s="4474"/>
    </row>
    <row r="195" spans="1:29">
      <c r="A195" s="4474"/>
      <c r="B195" s="4474"/>
      <c r="C195" s="4474"/>
      <c r="D195" s="4474"/>
      <c r="E195" s="4474"/>
      <c r="F195" s="4474"/>
      <c r="G195" s="4474"/>
      <c r="H195" s="4474"/>
      <c r="I195" s="4474"/>
      <c r="J195" s="4474"/>
      <c r="K195" s="4475"/>
      <c r="L195" s="4476"/>
      <c r="M195" s="4474"/>
      <c r="N195" s="4474"/>
      <c r="O195" s="4474"/>
      <c r="P195" s="4474"/>
      <c r="Q195" s="4474"/>
      <c r="R195" s="4474"/>
      <c r="S195" s="4474"/>
      <c r="T195" s="4474"/>
      <c r="U195" s="4474"/>
      <c r="V195" s="4474"/>
      <c r="W195" s="4474"/>
      <c r="X195" s="4474"/>
      <c r="Y195" s="4474"/>
      <c r="Z195" s="4474"/>
      <c r="AA195" s="4474"/>
      <c r="AB195" s="4474"/>
      <c r="AC195" s="4474"/>
    </row>
    <row r="196" spans="1:29">
      <c r="A196" s="4474"/>
      <c r="B196" s="4474"/>
      <c r="C196" s="4474"/>
      <c r="D196" s="4474"/>
      <c r="E196" s="4474"/>
      <c r="F196" s="4474"/>
      <c r="G196" s="4474"/>
      <c r="H196" s="4474"/>
      <c r="I196" s="4474"/>
      <c r="J196" s="4474"/>
      <c r="K196" s="4475"/>
      <c r="L196" s="4476"/>
      <c r="M196" s="4474"/>
      <c r="N196" s="4474"/>
      <c r="O196" s="4474"/>
      <c r="P196" s="4474"/>
      <c r="Q196" s="4474"/>
      <c r="R196" s="4474"/>
      <c r="S196" s="4474"/>
      <c r="T196" s="4474"/>
      <c r="U196" s="4474"/>
      <c r="V196" s="4474"/>
      <c r="W196" s="4474"/>
      <c r="X196" s="4474"/>
      <c r="Y196" s="4474"/>
      <c r="Z196" s="4474"/>
      <c r="AA196" s="4474"/>
      <c r="AB196" s="4474"/>
      <c r="AC196" s="4474"/>
    </row>
    <row r="197" spans="1:29">
      <c r="A197" s="4474"/>
      <c r="B197" s="4474"/>
      <c r="C197" s="4474"/>
      <c r="D197" s="4474"/>
      <c r="E197" s="4474"/>
      <c r="F197" s="4474"/>
      <c r="G197" s="4474"/>
      <c r="H197" s="4474"/>
      <c r="I197" s="4474"/>
      <c r="J197" s="4474"/>
      <c r="K197" s="4475"/>
      <c r="L197" s="4476"/>
      <c r="M197" s="4474"/>
      <c r="N197" s="4474"/>
      <c r="O197" s="4474"/>
      <c r="P197" s="4474"/>
      <c r="Q197" s="4474"/>
      <c r="R197" s="4474"/>
      <c r="S197" s="4474"/>
      <c r="T197" s="4474"/>
      <c r="U197" s="4474"/>
      <c r="V197" s="4474"/>
      <c r="W197" s="4474"/>
      <c r="X197" s="4474"/>
      <c r="Y197" s="4474"/>
      <c r="Z197" s="4474"/>
      <c r="AA197" s="4474"/>
      <c r="AB197" s="4474"/>
      <c r="AC197" s="4474"/>
    </row>
    <row r="198" spans="1:29">
      <c r="A198" s="4474"/>
      <c r="B198" s="4474"/>
      <c r="C198" s="4474"/>
      <c r="D198" s="4474"/>
      <c r="E198" s="4474"/>
      <c r="F198" s="4474"/>
      <c r="G198" s="4474"/>
      <c r="H198" s="4474"/>
      <c r="I198" s="4474"/>
      <c r="J198" s="4474"/>
      <c r="K198" s="4475"/>
      <c r="L198" s="4476"/>
      <c r="M198" s="4474"/>
      <c r="N198" s="4474"/>
      <c r="O198" s="4474"/>
      <c r="P198" s="4474"/>
      <c r="Q198" s="4474"/>
      <c r="R198" s="4474"/>
      <c r="S198" s="4474"/>
      <c r="T198" s="4474"/>
      <c r="U198" s="4474"/>
      <c r="V198" s="4474"/>
      <c r="W198" s="4474"/>
      <c r="X198" s="4474"/>
      <c r="Y198" s="4474"/>
      <c r="Z198" s="4474"/>
      <c r="AA198" s="4474"/>
      <c r="AB198" s="4474"/>
      <c r="AC198" s="4474"/>
    </row>
    <row r="199" spans="1:29">
      <c r="A199" s="4474"/>
      <c r="B199" s="4474"/>
      <c r="C199" s="4474"/>
      <c r="D199" s="4474"/>
      <c r="E199" s="4474"/>
      <c r="F199" s="4474"/>
      <c r="G199" s="4474"/>
      <c r="H199" s="4474"/>
      <c r="I199" s="4474"/>
      <c r="J199" s="4474"/>
      <c r="K199" s="4475"/>
      <c r="L199" s="4476"/>
      <c r="M199" s="4474"/>
      <c r="N199" s="4474"/>
      <c r="O199" s="4474"/>
      <c r="P199" s="4474"/>
      <c r="Q199" s="4474"/>
      <c r="R199" s="4474"/>
      <c r="S199" s="4474"/>
      <c r="T199" s="4474"/>
      <c r="U199" s="4474"/>
      <c r="V199" s="4474"/>
      <c r="W199" s="4474"/>
      <c r="X199" s="4474"/>
      <c r="Y199" s="4474"/>
      <c r="Z199" s="4474"/>
      <c r="AA199" s="4474"/>
      <c r="AB199" s="4474"/>
      <c r="AC199" s="4474"/>
    </row>
    <row r="200" spans="1:29">
      <c r="A200" s="4474"/>
      <c r="B200" s="4474"/>
      <c r="C200" s="4474"/>
      <c r="D200" s="4474"/>
      <c r="E200" s="4474"/>
      <c r="F200" s="4474"/>
      <c r="G200" s="4474"/>
      <c r="H200" s="4474"/>
      <c r="I200" s="4474"/>
      <c r="J200" s="4474"/>
      <c r="K200" s="4475"/>
      <c r="L200" s="4476"/>
      <c r="M200" s="4474"/>
      <c r="N200" s="4474"/>
      <c r="O200" s="4474"/>
      <c r="P200" s="4474"/>
      <c r="Q200" s="4474"/>
      <c r="R200" s="4474"/>
      <c r="S200" s="4474"/>
      <c r="T200" s="4474"/>
      <c r="U200" s="4474"/>
      <c r="V200" s="4474"/>
      <c r="W200" s="4474"/>
      <c r="X200" s="4474"/>
      <c r="Y200" s="4474"/>
      <c r="Z200" s="4474"/>
      <c r="AA200" s="4474"/>
      <c r="AB200" s="4474"/>
      <c r="AC200" s="4474"/>
    </row>
    <row r="201" spans="1:29">
      <c r="A201" s="4474"/>
      <c r="B201" s="4474"/>
      <c r="C201" s="4474"/>
      <c r="D201" s="4474"/>
      <c r="E201" s="4474"/>
      <c r="F201" s="4474"/>
      <c r="G201" s="4474"/>
      <c r="H201" s="4474"/>
      <c r="I201" s="4474"/>
      <c r="J201" s="4474"/>
      <c r="K201" s="4475"/>
      <c r="L201" s="4476"/>
      <c r="M201" s="4474"/>
      <c r="N201" s="4474"/>
      <c r="O201" s="4474"/>
      <c r="P201" s="4474"/>
      <c r="Q201" s="4474"/>
      <c r="R201" s="4474"/>
      <c r="S201" s="4474"/>
      <c r="T201" s="4474"/>
      <c r="U201" s="4474"/>
      <c r="V201" s="4474"/>
      <c r="W201" s="4474"/>
      <c r="X201" s="4474"/>
      <c r="Y201" s="4474"/>
      <c r="Z201" s="4474"/>
      <c r="AA201" s="4474"/>
      <c r="AB201" s="4474"/>
      <c r="AC201" s="4474"/>
    </row>
    <row r="202" spans="1:29">
      <c r="A202" s="4474"/>
      <c r="B202" s="4474"/>
      <c r="C202" s="4474"/>
      <c r="D202" s="4474"/>
      <c r="E202" s="4474"/>
      <c r="F202" s="4474"/>
      <c r="G202" s="4474"/>
      <c r="H202" s="4474"/>
      <c r="I202" s="4474"/>
      <c r="J202" s="4474"/>
      <c r="K202" s="4475"/>
      <c r="L202" s="4476"/>
      <c r="M202" s="4474"/>
      <c r="N202" s="4474"/>
      <c r="O202" s="4474"/>
      <c r="P202" s="4474"/>
      <c r="Q202" s="4474"/>
      <c r="R202" s="4474"/>
      <c r="S202" s="4474"/>
      <c r="T202" s="4474"/>
      <c r="U202" s="4474"/>
      <c r="V202" s="4474"/>
      <c r="W202" s="4474"/>
      <c r="X202" s="4474"/>
      <c r="Y202" s="4474"/>
      <c r="Z202" s="4474"/>
      <c r="AA202" s="4474"/>
      <c r="AB202" s="4474"/>
      <c r="AC202" s="4474"/>
    </row>
    <row r="203" spans="1:29">
      <c r="A203" s="4474"/>
      <c r="B203" s="4474"/>
      <c r="C203" s="4474"/>
      <c r="D203" s="4474"/>
      <c r="E203" s="4474"/>
      <c r="F203" s="4474"/>
      <c r="G203" s="4474"/>
      <c r="H203" s="4474"/>
      <c r="I203" s="4474"/>
      <c r="J203" s="4474"/>
      <c r="K203" s="4475"/>
      <c r="L203" s="4476"/>
      <c r="M203" s="4474"/>
      <c r="N203" s="4474"/>
      <c r="O203" s="4474"/>
      <c r="P203" s="4474"/>
      <c r="Q203" s="4474"/>
      <c r="R203" s="4474"/>
      <c r="S203" s="4474"/>
      <c r="T203" s="4474"/>
      <c r="U203" s="4474"/>
      <c r="V203" s="4474"/>
      <c r="W203" s="4474"/>
      <c r="X203" s="4474"/>
      <c r="Y203" s="4474"/>
      <c r="Z203" s="4474"/>
      <c r="AA203" s="4474"/>
      <c r="AB203" s="4474"/>
      <c r="AC203" s="4474"/>
    </row>
    <row r="204" spans="1:29">
      <c r="A204" s="4474"/>
      <c r="B204" s="4474"/>
      <c r="C204" s="4474"/>
      <c r="D204" s="4474"/>
      <c r="E204" s="4474"/>
      <c r="F204" s="4474"/>
      <c r="G204" s="4474"/>
      <c r="H204" s="4474"/>
      <c r="I204" s="4474"/>
      <c r="J204" s="4474"/>
      <c r="K204" s="4475"/>
      <c r="L204" s="4476"/>
      <c r="M204" s="4474"/>
      <c r="N204" s="4474"/>
      <c r="O204" s="4474"/>
      <c r="P204" s="4474"/>
      <c r="Q204" s="4474"/>
      <c r="R204" s="4474"/>
      <c r="S204" s="4474"/>
      <c r="T204" s="4474"/>
      <c r="U204" s="4474"/>
      <c r="V204" s="4474"/>
      <c r="W204" s="4474"/>
      <c r="X204" s="4474"/>
      <c r="Y204" s="4474"/>
      <c r="Z204" s="4474"/>
      <c r="AA204" s="4474"/>
      <c r="AB204" s="4474"/>
      <c r="AC204" s="4474"/>
    </row>
    <row r="205" spans="1:29">
      <c r="A205" s="4474"/>
      <c r="B205" s="4474"/>
      <c r="C205" s="4474"/>
      <c r="D205" s="4474"/>
      <c r="E205" s="4474"/>
      <c r="F205" s="4474"/>
      <c r="G205" s="4474"/>
      <c r="H205" s="4474"/>
      <c r="I205" s="4474"/>
      <c r="J205" s="4474"/>
      <c r="K205" s="4475"/>
      <c r="L205" s="4476"/>
      <c r="M205" s="4474"/>
      <c r="N205" s="4474"/>
      <c r="O205" s="4474"/>
      <c r="P205" s="4474"/>
      <c r="Q205" s="4474"/>
      <c r="R205" s="4474"/>
      <c r="S205" s="4474"/>
      <c r="T205" s="4474"/>
      <c r="U205" s="4474"/>
      <c r="V205" s="4474"/>
      <c r="W205" s="4474"/>
      <c r="X205" s="4474"/>
      <c r="Y205" s="4474"/>
      <c r="Z205" s="4474"/>
      <c r="AA205" s="4474"/>
      <c r="AB205" s="4474"/>
      <c r="AC205" s="4474"/>
    </row>
    <row r="206" spans="1:29">
      <c r="A206" s="4474"/>
      <c r="B206" s="4474"/>
      <c r="C206" s="4474"/>
      <c r="D206" s="4474"/>
      <c r="E206" s="4474"/>
      <c r="F206" s="4474"/>
      <c r="G206" s="4474"/>
      <c r="H206" s="4474"/>
      <c r="I206" s="4474"/>
      <c r="J206" s="4474"/>
      <c r="K206" s="4475"/>
      <c r="L206" s="4476"/>
      <c r="M206" s="4474"/>
      <c r="N206" s="4474"/>
      <c r="O206" s="4474"/>
      <c r="P206" s="4474"/>
      <c r="Q206" s="4474"/>
      <c r="R206" s="4474"/>
      <c r="S206" s="4474"/>
      <c r="T206" s="4474"/>
      <c r="U206" s="4474"/>
      <c r="V206" s="4474"/>
      <c r="W206" s="4474"/>
      <c r="X206" s="4474"/>
      <c r="Y206" s="4474"/>
      <c r="Z206" s="4474"/>
      <c r="AA206" s="4474"/>
      <c r="AB206" s="4474"/>
      <c r="AC206" s="4474"/>
    </row>
    <row r="207" spans="1:29">
      <c r="A207" s="4474"/>
      <c r="B207" s="4474"/>
      <c r="C207" s="4474"/>
      <c r="D207" s="4474"/>
      <c r="E207" s="4474"/>
      <c r="F207" s="4474"/>
      <c r="G207" s="4474"/>
      <c r="H207" s="4474"/>
      <c r="I207" s="4474"/>
      <c r="J207" s="4474"/>
      <c r="K207" s="4475"/>
      <c r="L207" s="4476"/>
      <c r="M207" s="4474"/>
      <c r="N207" s="4474"/>
      <c r="O207" s="4474"/>
      <c r="P207" s="4474"/>
      <c r="Q207" s="4474"/>
      <c r="R207" s="4474"/>
      <c r="S207" s="4474"/>
      <c r="T207" s="4474"/>
      <c r="U207" s="4474"/>
      <c r="V207" s="4474"/>
      <c r="W207" s="4474"/>
      <c r="X207" s="4474"/>
      <c r="Y207" s="4474"/>
      <c r="Z207" s="4474"/>
      <c r="AA207" s="4474"/>
      <c r="AB207" s="4474"/>
      <c r="AC207" s="4474"/>
    </row>
    <row r="208" spans="1:29">
      <c r="A208" s="4474"/>
      <c r="B208" s="4474"/>
      <c r="C208" s="4474"/>
      <c r="D208" s="4474"/>
      <c r="E208" s="4474"/>
      <c r="F208" s="4474"/>
      <c r="G208" s="4474"/>
      <c r="H208" s="4474"/>
      <c r="I208" s="4474"/>
      <c r="J208" s="4474"/>
      <c r="K208" s="4475"/>
      <c r="L208" s="4476"/>
      <c r="M208" s="4474"/>
      <c r="N208" s="4474"/>
      <c r="O208" s="4474"/>
      <c r="P208" s="4474"/>
      <c r="Q208" s="4474"/>
      <c r="R208" s="4474"/>
      <c r="S208" s="4474"/>
      <c r="T208" s="4474"/>
      <c r="U208" s="4474"/>
      <c r="V208" s="4474"/>
      <c r="W208" s="4474"/>
      <c r="X208" s="4474"/>
      <c r="Y208" s="4474"/>
      <c r="Z208" s="4474"/>
      <c r="AA208" s="4474"/>
      <c r="AB208" s="4474"/>
      <c r="AC208" s="4474"/>
    </row>
    <row r="209" spans="1:29">
      <c r="A209" s="4474"/>
      <c r="B209" s="4474"/>
      <c r="C209" s="4474"/>
      <c r="D209" s="4474"/>
      <c r="E209" s="4474"/>
      <c r="F209" s="4474"/>
      <c r="G209" s="4474"/>
      <c r="H209" s="4474"/>
      <c r="I209" s="4474"/>
      <c r="J209" s="4474"/>
      <c r="K209" s="4475"/>
      <c r="L209" s="4476"/>
      <c r="M209" s="4474"/>
      <c r="N209" s="4474"/>
      <c r="O209" s="4474"/>
      <c r="P209" s="4474"/>
      <c r="Q209" s="4474"/>
      <c r="R209" s="4474"/>
      <c r="S209" s="4474"/>
      <c r="T209" s="4474"/>
      <c r="U209" s="4474"/>
      <c r="V209" s="4474"/>
      <c r="W209" s="4474"/>
      <c r="X209" s="4474"/>
      <c r="Y209" s="4474"/>
      <c r="Z209" s="4474"/>
      <c r="AA209" s="4474"/>
      <c r="AB209" s="4474"/>
      <c r="AC209" s="4474"/>
    </row>
    <row r="210" spans="1:29">
      <c r="A210" s="4474"/>
      <c r="B210" s="4474"/>
      <c r="C210" s="4474"/>
      <c r="D210" s="4474"/>
      <c r="E210" s="4474"/>
      <c r="F210" s="4474"/>
      <c r="G210" s="4474"/>
      <c r="H210" s="4474"/>
      <c r="I210" s="4474"/>
      <c r="J210" s="4474"/>
      <c r="K210" s="4475"/>
      <c r="L210" s="4476"/>
      <c r="M210" s="4474"/>
      <c r="N210" s="4474"/>
      <c r="O210" s="4474"/>
      <c r="P210" s="4474"/>
      <c r="Q210" s="4474"/>
      <c r="R210" s="4474"/>
      <c r="S210" s="4474"/>
      <c r="T210" s="4474"/>
      <c r="U210" s="4474"/>
      <c r="V210" s="4474"/>
      <c r="W210" s="4474"/>
      <c r="X210" s="4474"/>
      <c r="Y210" s="4474"/>
      <c r="Z210" s="4474"/>
      <c r="AA210" s="4474"/>
      <c r="AB210" s="4474"/>
      <c r="AC210" s="4474"/>
    </row>
    <row r="211" spans="1:29">
      <c r="A211" s="4474"/>
      <c r="B211" s="4474"/>
      <c r="C211" s="4474"/>
      <c r="D211" s="4474"/>
      <c r="E211" s="4474"/>
      <c r="F211" s="4474"/>
      <c r="G211" s="4474"/>
      <c r="H211" s="4474"/>
      <c r="I211" s="4474"/>
      <c r="J211" s="4474"/>
      <c r="K211" s="4475"/>
      <c r="L211" s="4476"/>
      <c r="M211" s="4474"/>
      <c r="N211" s="4474"/>
      <c r="O211" s="4474"/>
      <c r="P211" s="4474"/>
      <c r="Q211" s="4474"/>
      <c r="R211" s="4474"/>
      <c r="S211" s="4474"/>
      <c r="T211" s="4474"/>
      <c r="U211" s="4474"/>
      <c r="V211" s="4474"/>
      <c r="W211" s="4474"/>
      <c r="X211" s="4474"/>
      <c r="Y211" s="4474"/>
      <c r="Z211" s="4474"/>
      <c r="AA211" s="4474"/>
      <c r="AB211" s="4474"/>
      <c r="AC211" s="4474"/>
    </row>
    <row r="212" spans="1:29">
      <c r="A212" s="4474"/>
      <c r="B212" s="4474"/>
      <c r="C212" s="4474"/>
      <c r="D212" s="4474"/>
      <c r="E212" s="4474"/>
      <c r="F212" s="4474"/>
      <c r="G212" s="4474"/>
      <c r="H212" s="4474"/>
      <c r="I212" s="4474"/>
      <c r="J212" s="4474"/>
      <c r="K212" s="4475"/>
      <c r="L212" s="4476"/>
      <c r="M212" s="4474"/>
      <c r="N212" s="4474"/>
      <c r="O212" s="4474"/>
      <c r="P212" s="4474"/>
      <c r="Q212" s="4474"/>
      <c r="R212" s="4474"/>
      <c r="S212" s="4474"/>
      <c r="T212" s="4474"/>
      <c r="U212" s="4474"/>
      <c r="V212" s="4474"/>
      <c r="W212" s="4474"/>
      <c r="X212" s="4474"/>
      <c r="Y212" s="4474"/>
      <c r="Z212" s="4474"/>
      <c r="AA212" s="4474"/>
      <c r="AB212" s="4474"/>
      <c r="AC212" s="4474"/>
    </row>
    <row r="213" spans="1:29">
      <c r="A213" s="4474"/>
      <c r="B213" s="4474"/>
      <c r="C213" s="4474"/>
      <c r="D213" s="4474"/>
      <c r="E213" s="4474"/>
      <c r="F213" s="4474"/>
      <c r="G213" s="4474"/>
      <c r="H213" s="4474"/>
      <c r="I213" s="4474"/>
      <c r="J213" s="4474"/>
      <c r="K213" s="4475"/>
      <c r="L213" s="4476"/>
      <c r="M213" s="4474"/>
      <c r="N213" s="4474"/>
      <c r="O213" s="4474"/>
      <c r="P213" s="4474"/>
      <c r="Q213" s="4474"/>
      <c r="R213" s="4474"/>
      <c r="S213" s="4474"/>
      <c r="T213" s="4474"/>
      <c r="U213" s="4474"/>
      <c r="V213" s="4474"/>
      <c r="W213" s="4474"/>
      <c r="X213" s="4474"/>
      <c r="Y213" s="4474"/>
      <c r="Z213" s="4474"/>
      <c r="AA213" s="4474"/>
      <c r="AB213" s="4474"/>
      <c r="AC213" s="4474"/>
    </row>
    <row r="214" spans="1:29">
      <c r="A214" s="4474"/>
      <c r="B214" s="4474"/>
      <c r="C214" s="4474"/>
      <c r="D214" s="4474"/>
      <c r="E214" s="4474"/>
      <c r="F214" s="4474"/>
      <c r="G214" s="4474"/>
      <c r="H214" s="4474"/>
      <c r="I214" s="4474"/>
      <c r="J214" s="4474"/>
      <c r="K214" s="4475"/>
      <c r="L214" s="4476"/>
      <c r="M214" s="4474"/>
      <c r="N214" s="4474"/>
      <c r="O214" s="4474"/>
      <c r="P214" s="4474"/>
      <c r="Q214" s="4474"/>
      <c r="R214" s="4474"/>
      <c r="S214" s="4474"/>
      <c r="T214" s="4474"/>
      <c r="U214" s="4474"/>
      <c r="V214" s="4474"/>
      <c r="W214" s="4474"/>
      <c r="X214" s="4474"/>
      <c r="Y214" s="4474"/>
      <c r="Z214" s="4474"/>
      <c r="AA214" s="4474"/>
      <c r="AB214" s="4474"/>
      <c r="AC214" s="4474"/>
    </row>
    <row r="215" spans="1:29">
      <c r="A215" s="4474"/>
      <c r="B215" s="4474"/>
      <c r="C215" s="4474"/>
      <c r="D215" s="4474"/>
      <c r="E215" s="4474"/>
      <c r="F215" s="4474"/>
      <c r="G215" s="4474"/>
      <c r="H215" s="4474"/>
      <c r="I215" s="4474"/>
      <c r="J215" s="4474"/>
      <c r="K215" s="4475"/>
      <c r="L215" s="4476"/>
      <c r="M215" s="4474"/>
      <c r="N215" s="4474"/>
      <c r="O215" s="4474"/>
      <c r="P215" s="4474"/>
      <c r="Q215" s="4474"/>
      <c r="R215" s="4474"/>
      <c r="S215" s="4474"/>
      <c r="T215" s="4474"/>
      <c r="U215" s="4474"/>
      <c r="V215" s="4474"/>
      <c r="W215" s="4474"/>
      <c r="X215" s="4474"/>
      <c r="Y215" s="4474"/>
      <c r="Z215" s="4474"/>
      <c r="AA215" s="4474"/>
      <c r="AB215" s="4474"/>
      <c r="AC215" s="4474"/>
    </row>
    <row r="216" spans="1:29">
      <c r="A216" s="4474"/>
      <c r="B216" s="4474"/>
      <c r="C216" s="4474"/>
      <c r="D216" s="4474"/>
      <c r="E216" s="4474"/>
      <c r="F216" s="4474"/>
      <c r="G216" s="4474"/>
      <c r="H216" s="4474"/>
      <c r="I216" s="4474"/>
      <c r="J216" s="4474"/>
      <c r="K216" s="4475"/>
      <c r="L216" s="4476"/>
      <c r="M216" s="4474"/>
      <c r="N216" s="4474"/>
      <c r="O216" s="4474"/>
      <c r="P216" s="4474"/>
      <c r="Q216" s="4474"/>
      <c r="R216" s="4474"/>
      <c r="S216" s="4474"/>
      <c r="T216" s="4474"/>
      <c r="U216" s="4474"/>
      <c r="V216" s="4474"/>
      <c r="W216" s="4474"/>
      <c r="X216" s="4474"/>
      <c r="Y216" s="4474"/>
      <c r="Z216" s="4474"/>
      <c r="AA216" s="4474"/>
      <c r="AB216" s="4474"/>
      <c r="AC216" s="4474"/>
    </row>
    <row r="217" spans="1:29">
      <c r="A217" s="4474"/>
      <c r="B217" s="4474"/>
      <c r="C217" s="4474"/>
      <c r="D217" s="4474"/>
      <c r="E217" s="4474"/>
      <c r="F217" s="4474"/>
      <c r="G217" s="4474"/>
      <c r="H217" s="4474"/>
      <c r="I217" s="4474"/>
      <c r="J217" s="4474"/>
      <c r="K217" s="4475"/>
      <c r="L217" s="4476"/>
      <c r="M217" s="4474"/>
      <c r="N217" s="4474"/>
      <c r="O217" s="4474"/>
      <c r="P217" s="4474"/>
      <c r="Q217" s="4474"/>
      <c r="R217" s="4474"/>
      <c r="S217" s="4474"/>
      <c r="T217" s="4474"/>
      <c r="U217" s="4474"/>
      <c r="V217" s="4474"/>
      <c r="W217" s="4474"/>
      <c r="X217" s="4474"/>
      <c r="Y217" s="4474"/>
      <c r="Z217" s="4474"/>
      <c r="AA217" s="4474"/>
      <c r="AB217" s="4474"/>
      <c r="AC217" s="4474"/>
    </row>
    <row r="218" spans="1:29">
      <c r="A218" s="4474"/>
      <c r="B218" s="4474"/>
      <c r="C218" s="4474"/>
      <c r="D218" s="4474"/>
      <c r="E218" s="4474"/>
      <c r="F218" s="4474"/>
      <c r="G218" s="4474"/>
      <c r="H218" s="4474"/>
      <c r="I218" s="4474"/>
      <c r="J218" s="4474"/>
      <c r="K218" s="4475"/>
      <c r="L218" s="4476"/>
      <c r="M218" s="4474"/>
      <c r="N218" s="4474"/>
      <c r="O218" s="4474"/>
      <c r="P218" s="4474"/>
      <c r="Q218" s="4474"/>
      <c r="R218" s="4474"/>
      <c r="S218" s="4474"/>
      <c r="T218" s="4474"/>
      <c r="U218" s="4474"/>
      <c r="V218" s="4474"/>
      <c r="W218" s="4474"/>
      <c r="X218" s="4474"/>
      <c r="Y218" s="4474"/>
      <c r="Z218" s="4474"/>
      <c r="AA218" s="4474"/>
      <c r="AB218" s="4474"/>
      <c r="AC218" s="4474"/>
    </row>
    <row r="219" spans="1:29">
      <c r="A219" s="4474"/>
      <c r="B219" s="4474"/>
      <c r="C219" s="4474"/>
      <c r="D219" s="4474"/>
      <c r="E219" s="4474"/>
      <c r="F219" s="4474"/>
      <c r="G219" s="4474"/>
      <c r="H219" s="4474"/>
      <c r="I219" s="4474"/>
      <c r="J219" s="4474"/>
      <c r="K219" s="4475"/>
      <c r="L219" s="4476"/>
      <c r="M219" s="4474"/>
      <c r="N219" s="4474"/>
      <c r="O219" s="4474"/>
      <c r="P219" s="4474"/>
      <c r="Q219" s="4474"/>
      <c r="R219" s="4474"/>
      <c r="S219" s="4474"/>
      <c r="T219" s="4474"/>
      <c r="U219" s="4474"/>
      <c r="V219" s="4474"/>
      <c r="W219" s="4474"/>
      <c r="X219" s="4474"/>
      <c r="Y219" s="4474"/>
      <c r="Z219" s="4474"/>
      <c r="AA219" s="4474"/>
      <c r="AB219" s="4474"/>
      <c r="AC219" s="4474"/>
    </row>
    <row r="220" spans="1:29">
      <c r="A220" s="4474"/>
      <c r="B220" s="4474"/>
      <c r="C220" s="4474"/>
      <c r="D220" s="4474"/>
      <c r="E220" s="4474"/>
      <c r="F220" s="4474"/>
      <c r="G220" s="4474"/>
      <c r="H220" s="4474"/>
      <c r="I220" s="4474"/>
      <c r="J220" s="4474"/>
      <c r="K220" s="4475"/>
      <c r="L220" s="4476"/>
      <c r="M220" s="4474"/>
      <c r="N220" s="4474"/>
      <c r="O220" s="4474"/>
      <c r="P220" s="4474"/>
      <c r="Q220" s="4474"/>
      <c r="R220" s="4474"/>
      <c r="S220" s="4474"/>
      <c r="T220" s="4474"/>
      <c r="U220" s="4474"/>
      <c r="V220" s="4474"/>
      <c r="W220" s="4474"/>
      <c r="X220" s="4474"/>
      <c r="Y220" s="4474"/>
      <c r="Z220" s="4474"/>
      <c r="AA220" s="4474"/>
      <c r="AB220" s="4474"/>
      <c r="AC220" s="4474"/>
    </row>
    <row r="221" spans="1:29">
      <c r="A221" s="4474"/>
      <c r="B221" s="4474"/>
      <c r="C221" s="4474"/>
      <c r="D221" s="4474"/>
      <c r="E221" s="4474"/>
      <c r="F221" s="4474"/>
      <c r="G221" s="4474"/>
      <c r="H221" s="4474"/>
      <c r="I221" s="4474"/>
      <c r="J221" s="4474"/>
      <c r="K221" s="4475"/>
      <c r="L221" s="4476"/>
      <c r="M221" s="4474"/>
      <c r="N221" s="4474"/>
      <c r="O221" s="4474"/>
      <c r="P221" s="4474"/>
      <c r="Q221" s="4474"/>
      <c r="R221" s="4474"/>
      <c r="S221" s="4474"/>
      <c r="T221" s="4474"/>
      <c r="U221" s="4474"/>
      <c r="V221" s="4474"/>
      <c r="W221" s="4474"/>
      <c r="X221" s="4474"/>
      <c r="Y221" s="4474"/>
      <c r="Z221" s="4474"/>
      <c r="AA221" s="4474"/>
      <c r="AB221" s="4474"/>
      <c r="AC221" s="4474"/>
    </row>
    <row r="222" spans="1:29">
      <c r="A222" s="4474"/>
      <c r="B222" s="4474"/>
      <c r="C222" s="4474"/>
      <c r="D222" s="4474"/>
      <c r="E222" s="4474"/>
      <c r="F222" s="4474"/>
      <c r="G222" s="4474"/>
      <c r="H222" s="4474"/>
      <c r="I222" s="4474"/>
      <c r="J222" s="4474"/>
      <c r="K222" s="4475"/>
      <c r="L222" s="4476"/>
      <c r="M222" s="4474"/>
      <c r="N222" s="4474"/>
      <c r="O222" s="4474"/>
      <c r="P222" s="4474"/>
      <c r="Q222" s="4474"/>
      <c r="R222" s="4474"/>
      <c r="S222" s="4474"/>
      <c r="T222" s="4474"/>
      <c r="U222" s="4474"/>
      <c r="V222" s="4474"/>
      <c r="W222" s="4474"/>
      <c r="X222" s="4474"/>
      <c r="Y222" s="4474"/>
      <c r="Z222" s="4474"/>
      <c r="AA222" s="4474"/>
      <c r="AB222" s="4474"/>
      <c r="AC222" s="4474"/>
    </row>
    <row r="223" spans="1:29">
      <c r="A223" s="4474"/>
      <c r="B223" s="4474"/>
      <c r="C223" s="4474"/>
      <c r="D223" s="4474"/>
      <c r="E223" s="4474"/>
      <c r="F223" s="4474"/>
      <c r="G223" s="4474"/>
      <c r="H223" s="4474"/>
      <c r="I223" s="4474"/>
      <c r="J223" s="4474"/>
      <c r="K223" s="4475"/>
      <c r="L223" s="4476"/>
      <c r="M223" s="4474"/>
      <c r="N223" s="4474"/>
      <c r="O223" s="4474"/>
      <c r="P223" s="4474"/>
      <c r="Q223" s="4474"/>
      <c r="R223" s="4474"/>
      <c r="S223" s="4474"/>
      <c r="T223" s="4474"/>
      <c r="U223" s="4474"/>
      <c r="V223" s="4474"/>
      <c r="W223" s="4474"/>
      <c r="X223" s="4474"/>
      <c r="Y223" s="4474"/>
      <c r="Z223" s="4474"/>
      <c r="AA223" s="4474"/>
      <c r="AB223" s="4474"/>
      <c r="AC223" s="4474"/>
    </row>
    <row r="224" spans="1:29">
      <c r="A224" s="4474"/>
      <c r="B224" s="4474"/>
      <c r="C224" s="4474"/>
      <c r="D224" s="4474"/>
      <c r="E224" s="4474"/>
      <c r="F224" s="4474"/>
      <c r="G224" s="4474"/>
      <c r="H224" s="4474"/>
      <c r="I224" s="4474"/>
      <c r="J224" s="4474"/>
      <c r="K224" s="4475"/>
      <c r="L224" s="4476"/>
      <c r="M224" s="4474"/>
      <c r="N224" s="4474"/>
      <c r="O224" s="4474"/>
      <c r="P224" s="4474"/>
      <c r="Q224" s="4474"/>
      <c r="R224" s="4474"/>
      <c r="S224" s="4474"/>
      <c r="T224" s="4474"/>
      <c r="U224" s="4474"/>
      <c r="V224" s="4474"/>
      <c r="W224" s="4474"/>
      <c r="X224" s="4474"/>
      <c r="Y224" s="4474"/>
      <c r="Z224" s="4474"/>
      <c r="AA224" s="4474"/>
      <c r="AB224" s="4474"/>
      <c r="AC224" s="4474"/>
    </row>
    <row r="225" spans="1:29">
      <c r="A225" s="4474"/>
      <c r="B225" s="4474"/>
      <c r="C225" s="4474"/>
      <c r="D225" s="4474"/>
      <c r="E225" s="4474"/>
      <c r="F225" s="4474"/>
      <c r="G225" s="4474"/>
      <c r="H225" s="4474"/>
      <c r="I225" s="4474"/>
      <c r="J225" s="4474"/>
      <c r="K225" s="4475"/>
      <c r="L225" s="4476"/>
      <c r="M225" s="4474"/>
      <c r="N225" s="4474"/>
      <c r="O225" s="4474"/>
      <c r="P225" s="4474"/>
      <c r="Q225" s="4474"/>
      <c r="R225" s="4474"/>
      <c r="S225" s="4474"/>
      <c r="T225" s="4474"/>
      <c r="U225" s="4474"/>
      <c r="V225" s="4474"/>
      <c r="W225" s="4474"/>
      <c r="X225" s="4474"/>
      <c r="Y225" s="4474"/>
      <c r="Z225" s="4474"/>
      <c r="AA225" s="4474"/>
      <c r="AB225" s="4474"/>
      <c r="AC225" s="4474"/>
    </row>
    <row r="226" spans="1:29">
      <c r="A226" s="4474"/>
      <c r="B226" s="4474"/>
      <c r="C226" s="4474"/>
      <c r="D226" s="4474"/>
      <c r="E226" s="4474"/>
      <c r="F226" s="4474"/>
      <c r="G226" s="4474"/>
      <c r="H226" s="4474"/>
      <c r="I226" s="4474"/>
      <c r="J226" s="4474"/>
      <c r="K226" s="4475"/>
      <c r="L226" s="4476"/>
      <c r="M226" s="4474"/>
      <c r="N226" s="4474"/>
      <c r="O226" s="4474"/>
      <c r="P226" s="4474"/>
      <c r="Q226" s="4474"/>
      <c r="R226" s="4474"/>
      <c r="S226" s="4474"/>
      <c r="T226" s="4474"/>
      <c r="U226" s="4474"/>
      <c r="V226" s="4474"/>
      <c r="W226" s="4474"/>
      <c r="X226" s="4474"/>
      <c r="Y226" s="4474"/>
      <c r="Z226" s="4474"/>
      <c r="AA226" s="4474"/>
      <c r="AB226" s="4474"/>
      <c r="AC226" s="4474"/>
    </row>
    <row r="227" spans="1:29">
      <c r="A227" s="4474"/>
      <c r="B227" s="4474"/>
      <c r="C227" s="4474"/>
      <c r="D227" s="4474"/>
      <c r="E227" s="4474"/>
      <c r="F227" s="4474"/>
      <c r="G227" s="4474"/>
      <c r="H227" s="4474"/>
      <c r="I227" s="4474"/>
      <c r="J227" s="4474"/>
      <c r="K227" s="4475"/>
      <c r="L227" s="4476"/>
      <c r="M227" s="4474"/>
      <c r="N227" s="4474"/>
      <c r="O227" s="4474"/>
      <c r="P227" s="4474"/>
      <c r="Q227" s="4474"/>
      <c r="R227" s="4474"/>
      <c r="S227" s="4474"/>
      <c r="T227" s="4474"/>
      <c r="U227" s="4474"/>
      <c r="V227" s="4474"/>
      <c r="W227" s="4474"/>
      <c r="X227" s="4474"/>
      <c r="Y227" s="4474"/>
      <c r="Z227" s="4474"/>
      <c r="AA227" s="4474"/>
      <c r="AB227" s="4474"/>
      <c r="AC227" s="4474"/>
    </row>
    <row r="228" spans="1:29">
      <c r="A228" s="4474"/>
      <c r="B228" s="4474"/>
      <c r="C228" s="4474"/>
      <c r="D228" s="4474"/>
      <c r="E228" s="4474"/>
      <c r="F228" s="4474"/>
      <c r="G228" s="4474"/>
      <c r="H228" s="4474"/>
      <c r="I228" s="4474"/>
      <c r="J228" s="4474"/>
      <c r="K228" s="4475"/>
      <c r="L228" s="4476"/>
      <c r="M228" s="4474"/>
      <c r="N228" s="4474"/>
      <c r="O228" s="4474"/>
      <c r="P228" s="4474"/>
      <c r="Q228" s="4474"/>
      <c r="R228" s="4474"/>
      <c r="S228" s="4474"/>
      <c r="T228" s="4474"/>
      <c r="U228" s="4474"/>
      <c r="V228" s="4474"/>
      <c r="W228" s="4474"/>
      <c r="X228" s="4474"/>
      <c r="Y228" s="4474"/>
      <c r="Z228" s="4474"/>
      <c r="AA228" s="4474"/>
      <c r="AB228" s="4474"/>
      <c r="AC228" s="4474"/>
    </row>
    <row r="229" spans="1:29">
      <c r="A229" s="4474"/>
      <c r="B229" s="4474"/>
      <c r="C229" s="4474"/>
      <c r="D229" s="4474"/>
      <c r="E229" s="4474"/>
      <c r="F229" s="4474"/>
      <c r="G229" s="4474"/>
      <c r="H229" s="4474"/>
      <c r="I229" s="4474"/>
      <c r="J229" s="4474"/>
      <c r="K229" s="4475"/>
      <c r="L229" s="4476"/>
      <c r="M229" s="4474"/>
      <c r="N229" s="4474"/>
      <c r="O229" s="4474"/>
      <c r="P229" s="4474"/>
      <c r="Q229" s="4474"/>
      <c r="R229" s="4474"/>
      <c r="S229" s="4474"/>
      <c r="T229" s="4474"/>
      <c r="U229" s="4474"/>
      <c r="V229" s="4474"/>
      <c r="W229" s="4474"/>
      <c r="X229" s="4474"/>
      <c r="Y229" s="4474"/>
      <c r="Z229" s="4474"/>
      <c r="AA229" s="4474"/>
      <c r="AB229" s="4474"/>
      <c r="AC229" s="4474"/>
    </row>
    <row r="230" spans="1:29">
      <c r="A230" s="4474"/>
      <c r="B230" s="4474"/>
      <c r="C230" s="4474"/>
      <c r="D230" s="4474"/>
      <c r="E230" s="4474"/>
      <c r="F230" s="4474"/>
      <c r="G230" s="4474"/>
      <c r="H230" s="4474"/>
      <c r="I230" s="4474"/>
      <c r="J230" s="4474"/>
      <c r="K230" s="4475"/>
      <c r="L230" s="4476"/>
      <c r="M230" s="4474"/>
      <c r="N230" s="4474"/>
      <c r="O230" s="4474"/>
      <c r="P230" s="4474"/>
      <c r="Q230" s="4474"/>
      <c r="R230" s="4474"/>
      <c r="S230" s="4474"/>
      <c r="T230" s="4474"/>
      <c r="U230" s="4474"/>
      <c r="V230" s="4474"/>
      <c r="W230" s="4474"/>
      <c r="X230" s="4474"/>
      <c r="Y230" s="4474"/>
      <c r="Z230" s="4474"/>
      <c r="AA230" s="4474"/>
      <c r="AB230" s="4474"/>
      <c r="AC230" s="4474"/>
    </row>
    <row r="231" spans="1:29">
      <c r="A231" s="4474"/>
      <c r="B231" s="4474"/>
      <c r="C231" s="4474"/>
      <c r="D231" s="4474"/>
      <c r="E231" s="4474"/>
      <c r="F231" s="4474"/>
      <c r="G231" s="4474"/>
      <c r="H231" s="4474"/>
      <c r="I231" s="4474"/>
      <c r="J231" s="4474"/>
      <c r="K231" s="4475"/>
      <c r="L231" s="4476"/>
      <c r="M231" s="4474"/>
      <c r="N231" s="4474"/>
      <c r="O231" s="4474"/>
      <c r="P231" s="4474"/>
      <c r="Q231" s="4474"/>
      <c r="R231" s="4474"/>
      <c r="S231" s="4474"/>
      <c r="T231" s="4474"/>
      <c r="U231" s="4474"/>
      <c r="V231" s="4474"/>
      <c r="W231" s="4474"/>
      <c r="X231" s="4474"/>
      <c r="Y231" s="4474"/>
      <c r="Z231" s="4474"/>
      <c r="AA231" s="4474"/>
      <c r="AB231" s="4474"/>
      <c r="AC231" s="4474"/>
    </row>
    <row r="232" spans="1:29">
      <c r="A232" s="4474"/>
      <c r="B232" s="4474"/>
      <c r="C232" s="4474"/>
      <c r="D232" s="4474"/>
      <c r="E232" s="4474"/>
      <c r="F232" s="4474"/>
      <c r="G232" s="4474"/>
      <c r="H232" s="4474"/>
      <c r="I232" s="4474"/>
      <c r="J232" s="4474"/>
      <c r="K232" s="4475"/>
      <c r="L232" s="4476"/>
      <c r="M232" s="4474"/>
      <c r="N232" s="4474"/>
      <c r="O232" s="4474"/>
      <c r="P232" s="4474"/>
      <c r="Q232" s="4474"/>
      <c r="R232" s="4474"/>
      <c r="S232" s="4474"/>
      <c r="T232" s="4474"/>
      <c r="U232" s="4474"/>
      <c r="V232" s="4474"/>
      <c r="W232" s="4474"/>
      <c r="X232" s="4474"/>
      <c r="Y232" s="4474"/>
      <c r="Z232" s="4474"/>
      <c r="AA232" s="4474"/>
      <c r="AB232" s="4474"/>
      <c r="AC232" s="4474"/>
    </row>
    <row r="233" spans="1:29">
      <c r="A233" s="4474"/>
      <c r="B233" s="4474"/>
      <c r="C233" s="4474"/>
      <c r="D233" s="4474"/>
      <c r="E233" s="4474"/>
      <c r="F233" s="4474"/>
      <c r="G233" s="4474"/>
      <c r="H233" s="4474"/>
      <c r="I233" s="4474"/>
      <c r="J233" s="4474"/>
      <c r="K233" s="4475"/>
      <c r="L233" s="4476"/>
      <c r="M233" s="4474"/>
      <c r="N233" s="4474"/>
      <c r="O233" s="4474"/>
      <c r="P233" s="4474"/>
      <c r="Q233" s="4474"/>
      <c r="R233" s="4474"/>
      <c r="S233" s="4474"/>
      <c r="T233" s="4474"/>
      <c r="U233" s="4474"/>
      <c r="V233" s="4474"/>
      <c r="W233" s="4474"/>
      <c r="X233" s="4474"/>
      <c r="Y233" s="4474"/>
      <c r="Z233" s="4474"/>
      <c r="AA233" s="4474"/>
      <c r="AB233" s="4474"/>
      <c r="AC233" s="4474"/>
    </row>
    <row r="234" spans="1:29">
      <c r="A234" s="4474"/>
      <c r="B234" s="4474"/>
      <c r="C234" s="4474"/>
      <c r="D234" s="4474"/>
      <c r="E234" s="4474"/>
      <c r="F234" s="4474"/>
      <c r="G234" s="4474"/>
      <c r="H234" s="4474"/>
      <c r="I234" s="4474"/>
      <c r="J234" s="4474"/>
      <c r="K234" s="4475"/>
      <c r="L234" s="4476"/>
      <c r="M234" s="4474"/>
      <c r="N234" s="4474"/>
      <c r="O234" s="4474"/>
      <c r="P234" s="4474"/>
      <c r="Q234" s="4474"/>
      <c r="R234" s="4474"/>
      <c r="S234" s="4474"/>
      <c r="T234" s="4474"/>
      <c r="U234" s="4474"/>
      <c r="V234" s="4474"/>
      <c r="W234" s="4474"/>
      <c r="X234" s="4474"/>
      <c r="Y234" s="4474"/>
      <c r="Z234" s="4474"/>
      <c r="AA234" s="4474"/>
      <c r="AB234" s="4474"/>
      <c r="AC234" s="4474"/>
    </row>
    <row r="235" spans="1:29">
      <c r="A235" s="4474"/>
      <c r="B235" s="4474"/>
      <c r="C235" s="4474"/>
      <c r="D235" s="4474"/>
      <c r="E235" s="4474"/>
      <c r="F235" s="4474"/>
      <c r="G235" s="4474"/>
      <c r="H235" s="4474"/>
      <c r="I235" s="4474"/>
      <c r="J235" s="4474"/>
      <c r="K235" s="4475"/>
      <c r="L235" s="4476"/>
      <c r="M235" s="4474"/>
      <c r="N235" s="4474"/>
      <c r="O235" s="4474"/>
      <c r="P235" s="4474"/>
      <c r="Q235" s="4474"/>
      <c r="R235" s="4474"/>
      <c r="S235" s="4474"/>
      <c r="T235" s="4474"/>
      <c r="U235" s="4474"/>
      <c r="V235" s="4474"/>
      <c r="W235" s="4474"/>
      <c r="X235" s="4474"/>
      <c r="Y235" s="4474"/>
      <c r="Z235" s="4474"/>
      <c r="AA235" s="4474"/>
      <c r="AB235" s="4474"/>
      <c r="AC235" s="4474"/>
    </row>
    <row r="236" spans="1:29">
      <c r="A236" s="4474"/>
      <c r="B236" s="4474"/>
      <c r="C236" s="4474"/>
      <c r="D236" s="4474"/>
      <c r="E236" s="4474"/>
      <c r="F236" s="4474"/>
      <c r="G236" s="4474"/>
      <c r="H236" s="4474"/>
      <c r="I236" s="4474"/>
      <c r="J236" s="4474"/>
      <c r="K236" s="4475"/>
      <c r="L236" s="4476"/>
      <c r="M236" s="4474"/>
      <c r="N236" s="4474"/>
      <c r="O236" s="4474"/>
      <c r="P236" s="4474"/>
      <c r="Q236" s="4474"/>
      <c r="R236" s="4474"/>
      <c r="S236" s="4474"/>
      <c r="T236" s="4474"/>
      <c r="U236" s="4474"/>
      <c r="V236" s="4474"/>
      <c r="W236" s="4474"/>
      <c r="X236" s="4474"/>
      <c r="Y236" s="4474"/>
      <c r="Z236" s="4474"/>
      <c r="AA236" s="4474"/>
      <c r="AB236" s="4474"/>
      <c r="AC236" s="4474"/>
    </row>
    <row r="237" spans="1:29">
      <c r="A237" s="4474"/>
      <c r="B237" s="4474"/>
      <c r="C237" s="4474"/>
      <c r="D237" s="4474"/>
      <c r="E237" s="4474"/>
      <c r="F237" s="4474"/>
      <c r="G237" s="4474"/>
      <c r="H237" s="4474"/>
      <c r="I237" s="4474"/>
      <c r="J237" s="4474"/>
      <c r="K237" s="4475"/>
      <c r="L237" s="4476"/>
      <c r="M237" s="4474"/>
      <c r="N237" s="4474"/>
      <c r="O237" s="4474"/>
      <c r="P237" s="4474"/>
      <c r="Q237" s="4474"/>
      <c r="R237" s="4474"/>
      <c r="S237" s="4474"/>
      <c r="T237" s="4474"/>
      <c r="U237" s="4474"/>
      <c r="V237" s="4474"/>
      <c r="W237" s="4474"/>
      <c r="X237" s="4474"/>
      <c r="Y237" s="4474"/>
      <c r="Z237" s="4474"/>
      <c r="AA237" s="4474"/>
      <c r="AB237" s="4474"/>
      <c r="AC237" s="4474"/>
    </row>
    <row r="238" spans="1:29">
      <c r="A238" s="4474"/>
      <c r="B238" s="4474"/>
      <c r="C238" s="4474"/>
      <c r="D238" s="4474"/>
      <c r="E238" s="4474"/>
      <c r="F238" s="4474"/>
      <c r="G238" s="4474"/>
      <c r="H238" s="4474"/>
      <c r="I238" s="4474"/>
      <c r="J238" s="4474"/>
      <c r="K238" s="4475"/>
      <c r="L238" s="4476"/>
      <c r="M238" s="4474"/>
      <c r="N238" s="4474"/>
      <c r="O238" s="4474"/>
      <c r="P238" s="4474"/>
      <c r="Q238" s="4474"/>
      <c r="R238" s="4474"/>
      <c r="S238" s="4474"/>
      <c r="T238" s="4474"/>
      <c r="U238" s="4474"/>
      <c r="V238" s="4474"/>
      <c r="W238" s="4474"/>
      <c r="X238" s="4474"/>
      <c r="Y238" s="4474"/>
      <c r="Z238" s="4474"/>
      <c r="AA238" s="4474"/>
      <c r="AB238" s="4474"/>
      <c r="AC238" s="4474"/>
    </row>
    <row r="239" spans="1:29">
      <c r="A239" s="4474"/>
      <c r="B239" s="4474"/>
      <c r="C239" s="4474"/>
      <c r="D239" s="4474"/>
      <c r="E239" s="4474"/>
      <c r="F239" s="4474"/>
      <c r="G239" s="4474"/>
      <c r="H239" s="4474"/>
      <c r="I239" s="4474"/>
      <c r="J239" s="4474"/>
      <c r="K239" s="4475"/>
      <c r="L239" s="4476"/>
      <c r="M239" s="4474"/>
      <c r="N239" s="4474"/>
      <c r="O239" s="4474"/>
      <c r="P239" s="4474"/>
      <c r="Q239" s="4474"/>
      <c r="R239" s="4474"/>
      <c r="S239" s="4474"/>
      <c r="T239" s="4474"/>
      <c r="U239" s="4474"/>
      <c r="V239" s="4474"/>
      <c r="W239" s="4474"/>
      <c r="X239" s="4474"/>
      <c r="Y239" s="4474"/>
      <c r="Z239" s="4474"/>
      <c r="AA239" s="4474"/>
      <c r="AB239" s="4474"/>
      <c r="AC239" s="4474"/>
    </row>
    <row r="240" spans="1:29">
      <c r="A240" s="4474"/>
      <c r="B240" s="4474"/>
      <c r="C240" s="4474"/>
      <c r="D240" s="4474"/>
      <c r="E240" s="4474"/>
      <c r="F240" s="4474"/>
      <c r="G240" s="4474"/>
      <c r="H240" s="4474"/>
      <c r="I240" s="4474"/>
      <c r="J240" s="4474"/>
      <c r="K240" s="4475"/>
      <c r="L240" s="4476"/>
      <c r="M240" s="4474"/>
      <c r="N240" s="4474"/>
      <c r="O240" s="4474"/>
      <c r="P240" s="4474"/>
      <c r="Q240" s="4474"/>
      <c r="R240" s="4474"/>
      <c r="S240" s="4474"/>
      <c r="T240" s="4474"/>
      <c r="U240" s="4474"/>
      <c r="V240" s="4474"/>
      <c r="W240" s="4474"/>
      <c r="X240" s="4474"/>
      <c r="Y240" s="4474"/>
      <c r="Z240" s="4474"/>
      <c r="AA240" s="4474"/>
      <c r="AB240" s="4474"/>
      <c r="AC240" s="4474"/>
    </row>
    <row r="241" spans="1:29">
      <c r="A241" s="4474"/>
      <c r="B241" s="4474"/>
      <c r="C241" s="4474"/>
      <c r="D241" s="4474"/>
      <c r="E241" s="4474"/>
      <c r="F241" s="4474"/>
      <c r="G241" s="4474"/>
      <c r="H241" s="4474"/>
      <c r="I241" s="4474"/>
      <c r="J241" s="4474"/>
      <c r="K241" s="4475"/>
      <c r="L241" s="4476"/>
      <c r="M241" s="4474"/>
      <c r="N241" s="4474"/>
      <c r="O241" s="4474"/>
      <c r="P241" s="4474"/>
      <c r="Q241" s="4474"/>
      <c r="R241" s="4474"/>
      <c r="S241" s="4474"/>
      <c r="T241" s="4474"/>
      <c r="U241" s="4474"/>
      <c r="V241" s="4474"/>
      <c r="W241" s="4474"/>
      <c r="X241" s="4474"/>
      <c r="Y241" s="4474"/>
      <c r="Z241" s="4474"/>
      <c r="AA241" s="4474"/>
      <c r="AB241" s="4474"/>
      <c r="AC241" s="4474"/>
    </row>
    <row r="242" spans="1:29">
      <c r="A242" s="4474"/>
      <c r="B242" s="4474"/>
      <c r="C242" s="4474"/>
      <c r="D242" s="4474"/>
      <c r="E242" s="4474"/>
      <c r="F242" s="4474"/>
      <c r="G242" s="4474"/>
      <c r="H242" s="4474"/>
      <c r="I242" s="4474"/>
      <c r="J242" s="4474"/>
      <c r="K242" s="4475"/>
      <c r="L242" s="4476"/>
      <c r="M242" s="4474"/>
      <c r="N242" s="4474"/>
      <c r="O242" s="4474"/>
      <c r="P242" s="4474"/>
      <c r="Q242" s="4474"/>
      <c r="R242" s="4474"/>
      <c r="S242" s="4474"/>
      <c r="T242" s="4474"/>
      <c r="U242" s="4474"/>
      <c r="V242" s="4474"/>
      <c r="W242" s="4474"/>
      <c r="X242" s="4474"/>
      <c r="Y242" s="4474"/>
      <c r="Z242" s="4474"/>
      <c r="AA242" s="4474"/>
      <c r="AB242" s="4474"/>
      <c r="AC242" s="4474"/>
    </row>
    <row r="243" spans="1:29">
      <c r="A243" s="4474"/>
      <c r="B243" s="4474"/>
      <c r="C243" s="4474"/>
      <c r="D243" s="4474"/>
      <c r="E243" s="4474"/>
      <c r="F243" s="4474"/>
      <c r="G243" s="4474"/>
      <c r="H243" s="4474"/>
      <c r="I243" s="4474"/>
      <c r="J243" s="4474"/>
      <c r="K243" s="4475"/>
      <c r="L243" s="4476"/>
      <c r="M243" s="4474"/>
      <c r="N243" s="4474"/>
      <c r="O243" s="4474"/>
      <c r="P243" s="4474"/>
      <c r="Q243" s="4474"/>
      <c r="R243" s="4474"/>
      <c r="S243" s="4474"/>
      <c r="T243" s="4474"/>
      <c r="U243" s="4474"/>
      <c r="V243" s="4474"/>
      <c r="W243" s="4474"/>
      <c r="X243" s="4474"/>
      <c r="Y243" s="4474"/>
      <c r="Z243" s="4474"/>
      <c r="AA243" s="4474"/>
      <c r="AB243" s="4474"/>
      <c r="AC243" s="4474"/>
    </row>
    <row r="244" spans="1:29">
      <c r="A244" s="4474"/>
      <c r="B244" s="4474"/>
      <c r="C244" s="4474"/>
      <c r="D244" s="4474"/>
      <c r="E244" s="4474"/>
      <c r="F244" s="4474"/>
      <c r="G244" s="4474"/>
      <c r="H244" s="4474"/>
      <c r="I244" s="4474"/>
      <c r="J244" s="4474"/>
      <c r="K244" s="4475"/>
      <c r="L244" s="4476"/>
      <c r="M244" s="4474"/>
      <c r="N244" s="4474"/>
      <c r="O244" s="4474"/>
      <c r="P244" s="4474"/>
      <c r="Q244" s="4474"/>
      <c r="R244" s="4474"/>
      <c r="S244" s="4474"/>
      <c r="T244" s="4474"/>
      <c r="U244" s="4474"/>
      <c r="V244" s="4474"/>
      <c r="W244" s="4474"/>
      <c r="X244" s="4474"/>
      <c r="Y244" s="4474"/>
      <c r="Z244" s="4474"/>
      <c r="AA244" s="4474"/>
      <c r="AB244" s="4474"/>
      <c r="AC244" s="4474"/>
    </row>
    <row r="245" spans="1:29">
      <c r="A245" s="4474"/>
      <c r="B245" s="4474"/>
      <c r="C245" s="4474"/>
      <c r="D245" s="4474"/>
      <c r="E245" s="4474"/>
      <c r="F245" s="4474"/>
      <c r="G245" s="4474"/>
      <c r="H245" s="4474"/>
      <c r="I245" s="4474"/>
      <c r="J245" s="4474"/>
      <c r="K245" s="4475"/>
      <c r="L245" s="4476"/>
      <c r="M245" s="4474"/>
      <c r="N245" s="4474"/>
      <c r="O245" s="4474"/>
      <c r="P245" s="4474"/>
      <c r="Q245" s="4474"/>
      <c r="R245" s="4474"/>
      <c r="S245" s="4474"/>
      <c r="T245" s="4474"/>
      <c r="U245" s="4474"/>
      <c r="V245" s="4474"/>
      <c r="W245" s="4474"/>
      <c r="X245" s="4474"/>
      <c r="Y245" s="4474"/>
      <c r="Z245" s="4474"/>
      <c r="AA245" s="4474"/>
      <c r="AB245" s="4474"/>
      <c r="AC245" s="4474"/>
    </row>
    <row r="246" spans="1:29">
      <c r="A246" s="4474"/>
      <c r="B246" s="4474"/>
      <c r="C246" s="4474"/>
      <c r="D246" s="4474"/>
      <c r="E246" s="4474"/>
      <c r="F246" s="4474"/>
      <c r="G246" s="4474"/>
      <c r="H246" s="4474"/>
      <c r="I246" s="4474"/>
      <c r="J246" s="4474"/>
      <c r="K246" s="4475"/>
      <c r="L246" s="4476"/>
      <c r="M246" s="4474"/>
      <c r="N246" s="4474"/>
      <c r="O246" s="4474"/>
      <c r="P246" s="4474"/>
      <c r="Q246" s="4474"/>
      <c r="R246" s="4474"/>
      <c r="S246" s="4474"/>
      <c r="T246" s="4474"/>
      <c r="U246" s="4474"/>
      <c r="V246" s="4474"/>
      <c r="W246" s="4474"/>
      <c r="X246" s="4474"/>
      <c r="Y246" s="4474"/>
      <c r="Z246" s="4474"/>
      <c r="AA246" s="4474"/>
      <c r="AB246" s="4474"/>
      <c r="AC246" s="4474"/>
    </row>
    <row r="247" spans="1:29">
      <c r="A247" s="4474"/>
      <c r="B247" s="4474"/>
      <c r="C247" s="4474"/>
      <c r="D247" s="4474"/>
      <c r="E247" s="4474"/>
      <c r="F247" s="4474"/>
      <c r="G247" s="4474"/>
      <c r="H247" s="4474"/>
      <c r="I247" s="4474"/>
      <c r="J247" s="4474"/>
      <c r="K247" s="4475"/>
      <c r="L247" s="4476"/>
      <c r="M247" s="4474"/>
      <c r="N247" s="4474"/>
      <c r="O247" s="4474"/>
      <c r="P247" s="4474"/>
      <c r="Q247" s="4474"/>
      <c r="R247" s="4474"/>
      <c r="S247" s="4474"/>
      <c r="T247" s="4474"/>
      <c r="U247" s="4474"/>
      <c r="V247" s="4474"/>
      <c r="W247" s="4474"/>
      <c r="X247" s="4474"/>
      <c r="Y247" s="4474"/>
      <c r="Z247" s="4474"/>
      <c r="AA247" s="4474"/>
      <c r="AB247" s="4474"/>
      <c r="AC247" s="4474"/>
    </row>
    <row r="248" spans="1:29">
      <c r="A248" s="4474"/>
      <c r="B248" s="4474"/>
      <c r="C248" s="4474"/>
      <c r="D248" s="4474"/>
      <c r="E248" s="4474"/>
      <c r="F248" s="4474"/>
      <c r="G248" s="4474"/>
      <c r="H248" s="4474"/>
      <c r="I248" s="4474"/>
      <c r="J248" s="4474"/>
      <c r="K248" s="4475"/>
      <c r="L248" s="4476"/>
      <c r="M248" s="4474"/>
      <c r="N248" s="4474"/>
      <c r="O248" s="4474"/>
      <c r="P248" s="4474"/>
      <c r="Q248" s="4474"/>
      <c r="R248" s="4474"/>
      <c r="S248" s="4474"/>
      <c r="T248" s="4474"/>
      <c r="U248" s="4474"/>
      <c r="V248" s="4474"/>
      <c r="W248" s="4474"/>
      <c r="X248" s="4474"/>
      <c r="Y248" s="4474"/>
      <c r="Z248" s="4474"/>
      <c r="AA248" s="4474"/>
      <c r="AB248" s="4474"/>
      <c r="AC248" s="4474"/>
    </row>
    <row r="249" spans="1:29">
      <c r="A249" s="4474"/>
      <c r="B249" s="4474"/>
      <c r="C249" s="4474"/>
      <c r="D249" s="4474"/>
      <c r="E249" s="4474"/>
      <c r="F249" s="4474"/>
      <c r="G249" s="4474"/>
      <c r="H249" s="4474"/>
      <c r="I249" s="4474"/>
      <c r="J249" s="4474"/>
      <c r="K249" s="4475"/>
      <c r="L249" s="4476"/>
      <c r="M249" s="4474"/>
      <c r="N249" s="4474"/>
      <c r="O249" s="4474"/>
      <c r="P249" s="4474"/>
      <c r="Q249" s="4474"/>
      <c r="R249" s="4474"/>
      <c r="S249" s="4474"/>
      <c r="T249" s="4474"/>
      <c r="U249" s="4474"/>
      <c r="V249" s="4474"/>
      <c r="W249" s="4474"/>
      <c r="X249" s="4474"/>
      <c r="Y249" s="4474"/>
      <c r="Z249" s="4474"/>
      <c r="AA249" s="4474"/>
      <c r="AB249" s="4474"/>
      <c r="AC249" s="4474"/>
    </row>
    <row r="250" spans="1:29">
      <c r="A250" s="4474"/>
      <c r="B250" s="4474"/>
      <c r="C250" s="4474"/>
      <c r="D250" s="4474"/>
      <c r="E250" s="4474"/>
      <c r="F250" s="4474"/>
      <c r="G250" s="4474"/>
      <c r="H250" s="4474"/>
      <c r="I250" s="4474"/>
      <c r="J250" s="4474"/>
      <c r="K250" s="4475"/>
      <c r="L250" s="4476"/>
      <c r="M250" s="4474"/>
      <c r="N250" s="4474"/>
      <c r="O250" s="4474"/>
      <c r="P250" s="4474"/>
      <c r="Q250" s="4474"/>
      <c r="R250" s="4474"/>
      <c r="S250" s="4474"/>
      <c r="T250" s="4474"/>
      <c r="U250" s="4474"/>
      <c r="V250" s="4474"/>
      <c r="W250" s="4474"/>
      <c r="X250" s="4474"/>
      <c r="Y250" s="4474"/>
      <c r="Z250" s="4474"/>
      <c r="AA250" s="4474"/>
      <c r="AB250" s="4474"/>
      <c r="AC250" s="4474"/>
    </row>
    <row r="251" spans="1:29">
      <c r="A251" s="4474"/>
      <c r="B251" s="4474"/>
      <c r="C251" s="4474"/>
      <c r="D251" s="4474"/>
      <c r="E251" s="4474"/>
      <c r="F251" s="4474"/>
      <c r="G251" s="4474"/>
      <c r="H251" s="4474"/>
      <c r="I251" s="4474"/>
      <c r="J251" s="4474"/>
      <c r="K251" s="4475"/>
      <c r="L251" s="4476"/>
      <c r="M251" s="4474"/>
      <c r="N251" s="4474"/>
      <c r="O251" s="4474"/>
      <c r="P251" s="4474"/>
      <c r="Q251" s="4474"/>
      <c r="R251" s="4474"/>
      <c r="S251" s="4474"/>
      <c r="T251" s="4474"/>
      <c r="U251" s="4474"/>
      <c r="V251" s="4474"/>
      <c r="W251" s="4474"/>
      <c r="X251" s="4474"/>
      <c r="Y251" s="4474"/>
      <c r="Z251" s="4474"/>
      <c r="AA251" s="4474"/>
      <c r="AB251" s="4474"/>
      <c r="AC251" s="4474"/>
    </row>
    <row r="252" spans="1:29">
      <c r="A252" s="4474"/>
      <c r="B252" s="4474"/>
      <c r="C252" s="4474"/>
      <c r="D252" s="4474"/>
      <c r="E252" s="4474"/>
      <c r="F252" s="4474"/>
      <c r="G252" s="4474"/>
      <c r="H252" s="4474"/>
      <c r="I252" s="4474"/>
      <c r="J252" s="4474"/>
      <c r="K252" s="4475"/>
      <c r="L252" s="4476"/>
      <c r="M252" s="4474"/>
      <c r="N252" s="4474"/>
      <c r="O252" s="4474"/>
      <c r="P252" s="4474"/>
      <c r="Q252" s="4474"/>
      <c r="R252" s="4474"/>
      <c r="S252" s="4474"/>
      <c r="T252" s="4474"/>
      <c r="U252" s="4474"/>
      <c r="V252" s="4474"/>
      <c r="W252" s="4474"/>
      <c r="X252" s="4474"/>
      <c r="Y252" s="4474"/>
      <c r="Z252" s="4474"/>
      <c r="AA252" s="4474"/>
      <c r="AB252" s="4474"/>
      <c r="AC252" s="4474"/>
    </row>
    <row r="253" spans="1:29">
      <c r="A253" s="4474"/>
      <c r="B253" s="4474"/>
      <c r="C253" s="4474"/>
      <c r="D253" s="4474"/>
      <c r="E253" s="4474"/>
      <c r="F253" s="4474"/>
      <c r="G253" s="4474"/>
      <c r="H253" s="4474"/>
      <c r="I253" s="4474"/>
      <c r="J253" s="4474"/>
      <c r="K253" s="4475"/>
      <c r="L253" s="4476"/>
      <c r="M253" s="4474"/>
      <c r="N253" s="4474"/>
      <c r="O253" s="4474"/>
      <c r="P253" s="4474"/>
      <c r="Q253" s="4474"/>
      <c r="R253" s="4474"/>
      <c r="S253" s="4474"/>
      <c r="T253" s="4474"/>
      <c r="U253" s="4474"/>
      <c r="V253" s="4474"/>
      <c r="W253" s="4474"/>
      <c r="X253" s="4474"/>
      <c r="Y253" s="4474"/>
      <c r="Z253" s="4474"/>
      <c r="AA253" s="4474"/>
      <c r="AB253" s="4474"/>
      <c r="AC253" s="4474"/>
    </row>
    <row r="254" spans="1:29">
      <c r="A254" s="4474"/>
      <c r="B254" s="4474"/>
      <c r="C254" s="4474"/>
      <c r="D254" s="4474"/>
      <c r="E254" s="4474"/>
      <c r="F254" s="4474"/>
      <c r="G254" s="4474"/>
      <c r="H254" s="4474"/>
      <c r="I254" s="4474"/>
      <c r="J254" s="4474"/>
      <c r="K254" s="4475"/>
      <c r="L254" s="4476"/>
      <c r="M254" s="4474"/>
      <c r="N254" s="4474"/>
      <c r="O254" s="4474"/>
      <c r="P254" s="4474"/>
      <c r="Q254" s="4474"/>
      <c r="R254" s="4474"/>
      <c r="S254" s="4474"/>
      <c r="T254" s="4474"/>
      <c r="U254" s="4474"/>
      <c r="V254" s="4474"/>
      <c r="W254" s="4474"/>
      <c r="X254" s="4474"/>
      <c r="Y254" s="4474"/>
      <c r="Z254" s="4474"/>
      <c r="AA254" s="4474"/>
      <c r="AB254" s="4474"/>
      <c r="AC254" s="4474"/>
    </row>
    <row r="255" spans="1:29">
      <c r="A255" s="4474"/>
      <c r="B255" s="4474"/>
      <c r="C255" s="4474"/>
      <c r="D255" s="4474"/>
      <c r="E255" s="4474"/>
      <c r="F255" s="4474"/>
      <c r="G255" s="4474"/>
      <c r="H255" s="4474"/>
      <c r="I255" s="4474"/>
      <c r="J255" s="4474"/>
      <c r="K255" s="4475"/>
      <c r="L255" s="4476"/>
      <c r="M255" s="4474"/>
      <c r="N255" s="4474"/>
      <c r="O255" s="4474"/>
      <c r="P255" s="4474"/>
      <c r="Q255" s="4474"/>
      <c r="R255" s="4474"/>
      <c r="S255" s="4474"/>
      <c r="T255" s="4474"/>
      <c r="U255" s="4474"/>
      <c r="V255" s="4474"/>
      <c r="W255" s="4474"/>
      <c r="X255" s="4474"/>
      <c r="Y255" s="4474"/>
      <c r="Z255" s="4474"/>
      <c r="AA255" s="4474"/>
      <c r="AB255" s="4474"/>
      <c r="AC255" s="4474"/>
    </row>
    <row r="256" spans="1:29">
      <c r="A256" s="4474"/>
      <c r="B256" s="4474"/>
      <c r="C256" s="4474"/>
      <c r="D256" s="4474"/>
      <c r="E256" s="4474"/>
      <c r="F256" s="4474"/>
      <c r="G256" s="4474"/>
      <c r="H256" s="4474"/>
      <c r="I256" s="4474"/>
      <c r="J256" s="4474"/>
      <c r="K256" s="4475"/>
      <c r="L256" s="4476"/>
      <c r="M256" s="4474"/>
      <c r="N256" s="4474"/>
      <c r="O256" s="4474"/>
      <c r="P256" s="4474"/>
      <c r="Q256" s="4474"/>
      <c r="R256" s="4474"/>
      <c r="S256" s="4474"/>
      <c r="T256" s="4474"/>
      <c r="U256" s="4474"/>
      <c r="V256" s="4474"/>
      <c r="W256" s="4474"/>
      <c r="X256" s="4474"/>
      <c r="Y256" s="4474"/>
      <c r="Z256" s="4474"/>
      <c r="AA256" s="4474"/>
      <c r="AB256" s="4474"/>
      <c r="AC256" s="4474"/>
    </row>
    <row r="257" spans="1:29">
      <c r="A257" s="4474"/>
      <c r="B257" s="4474"/>
      <c r="C257" s="4474"/>
      <c r="D257" s="4474"/>
      <c r="E257" s="4474"/>
      <c r="F257" s="4474"/>
      <c r="G257" s="4474"/>
      <c r="H257" s="4474"/>
      <c r="I257" s="4474"/>
      <c r="J257" s="4474"/>
      <c r="K257" s="4475"/>
      <c r="L257" s="4476"/>
      <c r="M257" s="4474"/>
      <c r="N257" s="4474"/>
      <c r="O257" s="4474"/>
      <c r="P257" s="4474"/>
      <c r="Q257" s="4474"/>
      <c r="R257" s="4474"/>
      <c r="S257" s="4474"/>
      <c r="T257" s="4474"/>
      <c r="U257" s="4474"/>
      <c r="V257" s="4474"/>
      <c r="W257" s="4474"/>
      <c r="X257" s="4474"/>
      <c r="Y257" s="4474"/>
      <c r="Z257" s="4474"/>
      <c r="AA257" s="4474"/>
      <c r="AB257" s="4474"/>
      <c r="AC257" s="4474"/>
    </row>
    <row r="258" spans="1:29">
      <c r="A258" s="4474"/>
      <c r="B258" s="4474"/>
      <c r="C258" s="4474"/>
      <c r="D258" s="4474"/>
      <c r="E258" s="4474"/>
      <c r="F258" s="4474"/>
      <c r="G258" s="4474"/>
      <c r="H258" s="4474"/>
      <c r="I258" s="4474"/>
      <c r="J258" s="4474"/>
      <c r="K258" s="4475"/>
      <c r="L258" s="4476"/>
      <c r="M258" s="4474"/>
      <c r="N258" s="4474"/>
      <c r="O258" s="4474"/>
      <c r="P258" s="4474"/>
      <c r="Q258" s="4474"/>
      <c r="R258" s="4474"/>
      <c r="S258" s="4474"/>
      <c r="T258" s="4474"/>
      <c r="U258" s="4474"/>
      <c r="V258" s="4474"/>
      <c r="W258" s="4474"/>
      <c r="X258" s="4474"/>
      <c r="Y258" s="4474"/>
      <c r="Z258" s="4474"/>
      <c r="AA258" s="4474"/>
      <c r="AB258" s="4474"/>
      <c r="AC258" s="4474"/>
    </row>
    <row r="259" spans="1:29">
      <c r="A259" s="4474"/>
      <c r="B259" s="4474"/>
      <c r="C259" s="4474"/>
      <c r="D259" s="4474"/>
      <c r="E259" s="4474"/>
      <c r="F259" s="4474"/>
      <c r="G259" s="4474"/>
      <c r="H259" s="4474"/>
      <c r="I259" s="4474"/>
      <c r="J259" s="4474"/>
      <c r="K259" s="4475"/>
      <c r="L259" s="4476"/>
      <c r="M259" s="4474"/>
      <c r="N259" s="4474"/>
      <c r="O259" s="4474"/>
      <c r="P259" s="4474"/>
      <c r="Q259" s="4474"/>
      <c r="R259" s="4474"/>
      <c r="S259" s="4474"/>
      <c r="T259" s="4474"/>
      <c r="U259" s="4474"/>
      <c r="V259" s="4474"/>
      <c r="W259" s="4474"/>
      <c r="X259" s="4474"/>
      <c r="Y259" s="4474"/>
      <c r="Z259" s="4474"/>
      <c r="AA259" s="4474"/>
      <c r="AB259" s="4474"/>
      <c r="AC259" s="4474"/>
    </row>
    <row r="260" spans="1:29">
      <c r="A260" s="4474"/>
      <c r="B260" s="4474"/>
      <c r="C260" s="4474"/>
      <c r="D260" s="4474"/>
      <c r="E260" s="4474"/>
      <c r="F260" s="4474"/>
      <c r="G260" s="4474"/>
      <c r="H260" s="4474"/>
      <c r="I260" s="4474"/>
      <c r="J260" s="4474"/>
      <c r="K260" s="4475"/>
      <c r="L260" s="4476"/>
      <c r="M260" s="4474"/>
      <c r="N260" s="4474"/>
      <c r="O260" s="4474"/>
      <c r="P260" s="4474"/>
      <c r="Q260" s="4474"/>
      <c r="R260" s="4474"/>
      <c r="S260" s="4474"/>
      <c r="T260" s="4474"/>
      <c r="U260" s="4474"/>
      <c r="V260" s="4474"/>
      <c r="W260" s="4474"/>
      <c r="X260" s="4474"/>
      <c r="Y260" s="4474"/>
      <c r="Z260" s="4474"/>
      <c r="AA260" s="4474"/>
      <c r="AB260" s="4474"/>
      <c r="AC260" s="4474"/>
    </row>
    <row r="261" spans="1:29">
      <c r="A261" s="4474"/>
      <c r="B261" s="4474"/>
      <c r="C261" s="4474"/>
      <c r="D261" s="4474"/>
      <c r="E261" s="4474"/>
      <c r="F261" s="4474"/>
      <c r="G261" s="4474"/>
      <c r="H261" s="4474"/>
      <c r="I261" s="4474"/>
      <c r="J261" s="4474"/>
      <c r="K261" s="4475"/>
      <c r="L261" s="4476"/>
      <c r="M261" s="4474"/>
      <c r="N261" s="4474"/>
      <c r="O261" s="4474"/>
      <c r="P261" s="4474"/>
      <c r="Q261" s="4474"/>
      <c r="R261" s="4474"/>
      <c r="S261" s="4474"/>
      <c r="T261" s="4474"/>
      <c r="U261" s="4474"/>
      <c r="V261" s="4474"/>
      <c r="W261" s="4474"/>
      <c r="X261" s="4474"/>
      <c r="Y261" s="4474"/>
      <c r="Z261" s="4474"/>
      <c r="AA261" s="4474"/>
      <c r="AB261" s="4474"/>
      <c r="AC261" s="4474"/>
    </row>
  </sheetData>
  <sheetProtection formatCells="0" formatColumns="0" formatRows="0"/>
  <mergeCells count="41">
    <mergeCell ref="G52:H53"/>
    <mergeCell ref="P44:Q44"/>
    <mergeCell ref="R44:S44"/>
    <mergeCell ref="T44:U44"/>
    <mergeCell ref="V44:W44"/>
    <mergeCell ref="P45:Q45"/>
    <mergeCell ref="R45:W45"/>
    <mergeCell ref="P34:P42"/>
    <mergeCell ref="Y34:Y42"/>
    <mergeCell ref="P43:Q43"/>
    <mergeCell ref="R43:S43"/>
    <mergeCell ref="T43:U43"/>
    <mergeCell ref="V43:W43"/>
    <mergeCell ref="P10:Q10"/>
    <mergeCell ref="Y10:Z10"/>
    <mergeCell ref="P11:P16"/>
    <mergeCell ref="Y11:Y16"/>
    <mergeCell ref="P17:P33"/>
    <mergeCell ref="Y17:Y33"/>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4"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
  <sheetViews>
    <sheetView workbookViewId="0">
      <selection activeCell="H19" sqref="H19"/>
    </sheetView>
  </sheetViews>
  <sheetFormatPr defaultRowHeight="14.4"/>
  <cols>
    <col min="1" max="1" width="7.33203125" style="4513" customWidth="1"/>
    <col min="2" max="2" width="23" style="4513" customWidth="1"/>
    <col min="3" max="3" width="28.6640625" style="4513" customWidth="1"/>
    <col min="4" max="4" width="7.6640625" style="4513" customWidth="1"/>
    <col min="5" max="7" width="8.88671875" style="4513"/>
    <col min="8" max="9" width="0" style="4513" hidden="1" customWidth="1"/>
    <col min="10" max="11" width="8.88671875" style="4513"/>
    <col min="12" max="12" width="15.6640625" style="4513" customWidth="1"/>
    <col min="13" max="13" width="8.88671875" style="4513"/>
    <col min="14" max="14" width="11.21875" style="4513" customWidth="1"/>
    <col min="15" max="16384" width="8.88671875" style="4513"/>
  </cols>
  <sheetData>
    <row r="1" spans="1:18">
      <c r="A1" s="4512" t="s">
        <v>3586</v>
      </c>
      <c r="B1" s="4512" t="s">
        <v>3692</v>
      </c>
      <c r="C1" s="4512" t="s">
        <v>3693</v>
      </c>
      <c r="D1" s="4512" t="s">
        <v>3694</v>
      </c>
      <c r="E1" s="4512" t="s">
        <v>3695</v>
      </c>
      <c r="F1" s="4512" t="s">
        <v>3696</v>
      </c>
      <c r="G1" s="4512" t="s">
        <v>2212</v>
      </c>
      <c r="H1" s="4512" t="s">
        <v>3697</v>
      </c>
      <c r="I1" s="4512" t="s">
        <v>3698</v>
      </c>
      <c r="J1" s="4512" t="s">
        <v>3699</v>
      </c>
      <c r="K1" s="4512" t="s">
        <v>3700</v>
      </c>
      <c r="L1" s="4512" t="s">
        <v>3701</v>
      </c>
      <c r="M1" s="4512" t="s">
        <v>3702</v>
      </c>
      <c r="N1" s="4512" t="s">
        <v>3703</v>
      </c>
      <c r="O1" s="4512" t="s">
        <v>3704</v>
      </c>
      <c r="Q1" s="4512" t="s">
        <v>3705</v>
      </c>
    </row>
    <row r="2" spans="1:18">
      <c r="A2" s="4514">
        <v>1</v>
      </c>
      <c r="B2" s="4515" t="s">
        <v>3706</v>
      </c>
      <c r="C2" s="4515" t="s">
        <v>3707</v>
      </c>
      <c r="D2" s="4515" t="s">
        <v>3708</v>
      </c>
      <c r="E2" s="4515" t="s">
        <v>3709</v>
      </c>
      <c r="F2" s="4515" t="s">
        <v>2720</v>
      </c>
      <c r="G2" s="4516">
        <v>22881.07</v>
      </c>
      <c r="H2" s="4516"/>
      <c r="I2" s="4516"/>
      <c r="J2" s="4516">
        <v>18956.966499999999</v>
      </c>
      <c r="K2" s="4514">
        <f>ROUND(J2/G2*10000,0)</f>
        <v>8285</v>
      </c>
      <c r="L2" s="4517">
        <v>44887</v>
      </c>
      <c r="M2" s="4515" t="s">
        <v>3710</v>
      </c>
      <c r="N2" s="4515"/>
      <c r="O2" s="4516"/>
      <c r="P2" s="4516"/>
      <c r="Q2" s="4516"/>
      <c r="R2" s="4516"/>
    </row>
    <row r="3" spans="1:18">
      <c r="A3" s="4514">
        <v>2</v>
      </c>
      <c r="B3" s="4515" t="s">
        <v>3711</v>
      </c>
      <c r="C3" s="4515" t="s">
        <v>3712</v>
      </c>
      <c r="D3" s="4515" t="s">
        <v>3713</v>
      </c>
      <c r="E3" s="4515" t="s">
        <v>3293</v>
      </c>
      <c r="F3" s="4515" t="s">
        <v>2720</v>
      </c>
      <c r="G3" s="4516">
        <v>130380.53</v>
      </c>
      <c r="H3" s="4516"/>
      <c r="I3" s="4516"/>
      <c r="J3" s="4516">
        <v>121964.8</v>
      </c>
      <c r="K3" s="4514">
        <f>ROUND(J3/G3*10000,0)</f>
        <v>9355</v>
      </c>
      <c r="L3" s="4517">
        <v>43410</v>
      </c>
      <c r="M3" s="4516"/>
      <c r="N3" s="4516"/>
      <c r="O3" s="4516"/>
      <c r="P3" s="4516"/>
      <c r="Q3" s="4516"/>
      <c r="R3" s="4516"/>
    </row>
    <row r="4" spans="1:18" s="4516" customFormat="1">
      <c r="A4" s="4514">
        <v>3</v>
      </c>
      <c r="B4" s="4515" t="s">
        <v>3714</v>
      </c>
      <c r="C4" s="4515" t="s">
        <v>3715</v>
      </c>
      <c r="D4" s="4515" t="s">
        <v>3713</v>
      </c>
      <c r="E4" s="4515" t="s">
        <v>3293</v>
      </c>
      <c r="F4" s="4515" t="s">
        <v>2720</v>
      </c>
      <c r="G4" s="4516">
        <v>30040.799999999999</v>
      </c>
      <c r="J4" s="4516">
        <v>20011.27</v>
      </c>
      <c r="K4" s="4514">
        <f>ROUND(J4/G4*10000,0)</f>
        <v>6661</v>
      </c>
      <c r="L4" s="4517">
        <v>43349</v>
      </c>
    </row>
    <row r="5" spans="1:18">
      <c r="A5" s="4514">
        <v>4</v>
      </c>
      <c r="B5" s="4515" t="s">
        <v>3716</v>
      </c>
      <c r="C5" s="4515" t="s">
        <v>3717</v>
      </c>
      <c r="D5" s="4515" t="s">
        <v>3713</v>
      </c>
      <c r="E5" s="4515" t="s">
        <v>3293</v>
      </c>
      <c r="F5" s="4515" t="s">
        <v>2720</v>
      </c>
      <c r="G5" s="4516">
        <v>22121.8</v>
      </c>
      <c r="J5" s="4516">
        <v>9903.3107</v>
      </c>
      <c r="K5" s="4514">
        <f>ROUND(J5*10000/G5,0)</f>
        <v>4477</v>
      </c>
      <c r="L5" s="4517">
        <v>45244</v>
      </c>
    </row>
    <row r="6" spans="1:18">
      <c r="A6" s="4514">
        <v>5</v>
      </c>
      <c r="B6" s="4515" t="s">
        <v>3718</v>
      </c>
      <c r="C6" s="4515" t="s">
        <v>3719</v>
      </c>
      <c r="D6" s="4515" t="s">
        <v>3713</v>
      </c>
      <c r="E6" s="4515" t="s">
        <v>3720</v>
      </c>
      <c r="F6" s="4515" t="s">
        <v>3721</v>
      </c>
      <c r="G6" s="4516">
        <v>17556.580000000002</v>
      </c>
      <c r="J6" s="4516">
        <v>14294.5674</v>
      </c>
      <c r="K6" s="4514">
        <v>8142</v>
      </c>
      <c r="L6" s="4517">
        <v>45247</v>
      </c>
      <c r="M6" s="4518" t="s">
        <v>3722</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30" sqref="E30"/>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550</v>
      </c>
      <c r="B1" s="710"/>
      <c r="C1" s="1904"/>
      <c r="D1" s="1904"/>
      <c r="E1" s="1904"/>
      <c r="F1" s="1904"/>
      <c r="G1" s="1831"/>
    </row>
    <row r="2" spans="1:25" s="1783" customFormat="1" ht="18" customHeight="1">
      <c r="A2" s="410" t="s">
        <v>427</v>
      </c>
      <c r="B2" s="412">
        <f>C23</f>
        <v>116309</v>
      </c>
      <c r="C2" s="3010"/>
      <c r="D2" s="3010"/>
      <c r="E2" s="3010"/>
      <c r="F2" s="3010"/>
      <c r="G2" s="3010"/>
    </row>
    <row r="3" spans="1:25" s="1783" customFormat="1" ht="18" customHeight="1">
      <c r="A3" s="1237" t="s">
        <v>1217</v>
      </c>
      <c r="B3" s="412">
        <f>ROUND(B2*10000/'数据-汇总表'!E3,0)</f>
        <v>33231</v>
      </c>
      <c r="C3" s="3010"/>
      <c r="D3" s="3010"/>
      <c r="E3" s="3010"/>
      <c r="F3" s="3010"/>
      <c r="G3" s="3010"/>
    </row>
    <row r="4" spans="1:25" s="1783" customFormat="1" ht="18" customHeight="1">
      <c r="A4" s="413" t="s">
        <v>428</v>
      </c>
      <c r="B4" s="414">
        <f>ROUND(B2*10000/'数据-汇总表'!D3,0)</f>
        <v>10903</v>
      </c>
      <c r="C4" s="2964"/>
      <c r="D4" s="3010"/>
      <c r="E4" s="3010"/>
      <c r="F4" s="3010"/>
      <c r="G4" s="3010"/>
    </row>
    <row r="5" spans="1:25" s="1783" customFormat="1" ht="18" customHeight="1" thickBot="1">
      <c r="A5" s="416"/>
      <c r="B5" s="417">
        <f>ROUND(B2/('数据-汇总表'!D3/666.67),0)</f>
        <v>727</v>
      </c>
      <c r="C5" s="418" t="s">
        <v>429</v>
      </c>
      <c r="D5" s="3010"/>
      <c r="E5" s="3010"/>
      <c r="F5" s="3010"/>
      <c r="G5" s="3010"/>
    </row>
    <row r="6" spans="1:25" s="1905" customFormat="1" ht="13.5" customHeight="1">
      <c r="A6" s="711"/>
      <c r="B6" s="712" t="s">
        <v>551</v>
      </c>
      <c r="C6" s="713" t="s">
        <v>552</v>
      </c>
      <c r="D6" s="713" t="s">
        <v>553</v>
      </c>
      <c r="E6" s="714" t="s">
        <v>554</v>
      </c>
      <c r="F6" s="714" t="s">
        <v>555</v>
      </c>
      <c r="G6" s="3009" t="s">
        <v>2282</v>
      </c>
    </row>
    <row r="7" spans="1:25" s="1905" customFormat="1" ht="13.5" customHeight="1">
      <c r="A7" s="2119">
        <v>1</v>
      </c>
      <c r="B7" s="715" t="s">
        <v>556</v>
      </c>
      <c r="C7" s="716">
        <f>C8+C9</f>
        <v>94153</v>
      </c>
      <c r="D7" s="716"/>
      <c r="E7" s="717"/>
      <c r="F7" s="717"/>
      <c r="G7" s="2128"/>
    </row>
    <row r="8" spans="1:25" s="1905" customFormat="1" ht="13.5" customHeight="1">
      <c r="A8" s="2119" t="s">
        <v>1785</v>
      </c>
      <c r="B8" s="2122" t="s">
        <v>1787</v>
      </c>
      <c r="C8" s="3013">
        <f>ROUND(D8*E8/10000,0)</f>
        <v>94153</v>
      </c>
      <c r="D8" s="3013">
        <f>'数据-基础表'!A3</f>
        <v>106677.19</v>
      </c>
      <c r="E8" s="3014">
        <f>'比较法-成本'!C44</f>
        <v>8826</v>
      </c>
      <c r="F8" s="717"/>
      <c r="G8" s="718"/>
    </row>
    <row r="9" spans="1:25" s="1905" customFormat="1" ht="13.5" customHeight="1">
      <c r="A9" s="2119" t="s">
        <v>1786</v>
      </c>
      <c r="B9" s="2122" t="s">
        <v>1788</v>
      </c>
      <c r="C9" s="3013">
        <f>ROUND(D9*E9/10000,0)</f>
        <v>0</v>
      </c>
      <c r="D9" s="3013">
        <v>0</v>
      </c>
      <c r="E9" s="3014">
        <v>0</v>
      </c>
      <c r="F9" s="717"/>
      <c r="G9" s="718"/>
    </row>
    <row r="10" spans="1:25" s="1905" customFormat="1" ht="36">
      <c r="A10" s="2119">
        <v>2</v>
      </c>
      <c r="B10" s="715" t="s">
        <v>560</v>
      </c>
      <c r="C10" s="716">
        <f>C11+C14+C15</f>
        <v>3360</v>
      </c>
      <c r="D10" s="726"/>
      <c r="E10" s="716"/>
      <c r="F10" s="727"/>
      <c r="G10" s="725" t="s">
        <v>561</v>
      </c>
    </row>
    <row r="11" spans="1:25" s="1905" customFormat="1" ht="13.5" customHeight="1">
      <c r="A11" s="2119" t="s">
        <v>1785</v>
      </c>
      <c r="B11" s="719" t="s">
        <v>557</v>
      </c>
      <c r="C11" s="720">
        <f>'数据-取费表'!B29</f>
        <v>3360</v>
      </c>
      <c r="D11" s="721"/>
      <c r="E11" s="720"/>
      <c r="F11" s="722"/>
      <c r="G11" s="2127" t="s">
        <v>1796</v>
      </c>
    </row>
    <row r="12" spans="1:25" s="1905" customFormat="1" ht="13.5" customHeight="1">
      <c r="A12" s="2125" t="s">
        <v>1793</v>
      </c>
      <c r="B12" s="723" t="s">
        <v>558</v>
      </c>
      <c r="C12" s="724">
        <f>ROUND(D12*E12/10000,0)</f>
        <v>0</v>
      </c>
      <c r="D12" s="3013">
        <f>'数据-汇总表'!E5</f>
        <v>0</v>
      </c>
      <c r="E12" s="3013">
        <f>'数据-取费表'!B27</f>
        <v>0</v>
      </c>
      <c r="F12" s="722"/>
      <c r="G12" s="725"/>
    </row>
    <row r="13" spans="1:25" s="1905" customFormat="1" ht="13.5" customHeight="1">
      <c r="A13" s="2125" t="s">
        <v>1792</v>
      </c>
      <c r="B13" s="723" t="s">
        <v>559</v>
      </c>
      <c r="C13" s="724">
        <f>ROUND(D13*E13/10000,0)</f>
        <v>3360</v>
      </c>
      <c r="D13" s="3013">
        <f>D8</f>
        <v>106677.19</v>
      </c>
      <c r="E13" s="3013">
        <v>315</v>
      </c>
      <c r="F13" s="722"/>
      <c r="G13" s="725"/>
    </row>
    <row r="14" spans="1:25" s="1905" customFormat="1" ht="13.5" customHeight="1">
      <c r="A14" s="2119" t="s">
        <v>1786</v>
      </c>
      <c r="B14" s="2124" t="s">
        <v>1789</v>
      </c>
      <c r="C14" s="3015">
        <f>ROUND(D14*E14/10000,0)</f>
        <v>0</v>
      </c>
      <c r="D14" s="3013">
        <v>0</v>
      </c>
      <c r="E14" s="3014">
        <v>0</v>
      </c>
      <c r="F14" s="2123"/>
      <c r="G14" s="2126" t="s">
        <v>1794</v>
      </c>
    </row>
    <row r="15" spans="1:25" s="1905" customFormat="1" ht="13.5" customHeight="1">
      <c r="A15" s="2119" t="s">
        <v>1791</v>
      </c>
      <c r="B15" s="2124" t="s">
        <v>1790</v>
      </c>
      <c r="C15" s="3015">
        <f>ROUND(D15*E15/10000,0)</f>
        <v>0</v>
      </c>
      <c r="D15" s="3013">
        <v>0</v>
      </c>
      <c r="E15" s="3014">
        <v>0</v>
      </c>
      <c r="F15" s="2123"/>
      <c r="G15" s="2126" t="s">
        <v>1795</v>
      </c>
    </row>
    <row r="16" spans="1:25" s="1906" customFormat="1" ht="48">
      <c r="A16" s="2119">
        <v>3</v>
      </c>
      <c r="B16" s="715" t="s">
        <v>562</v>
      </c>
      <c r="C16" s="3015">
        <f>ROUND(D16*E16/10000,0)</f>
        <v>0</v>
      </c>
      <c r="D16" s="3013">
        <v>0</v>
      </c>
      <c r="E16" s="3014">
        <v>0</v>
      </c>
      <c r="F16" s="727"/>
      <c r="G16" s="725" t="s">
        <v>1797</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563</v>
      </c>
      <c r="C17" s="2189">
        <f>ROUND(IF('数据-取费表'!B19&lt;=1,((C7+C16)*'数据-取费表'!B19+C10*'数据-取费表'!B19/2)*F17,((C7+C16)*(POWER((1+F17),'数据-取费表'!B19)-1)+C10*(POWER((1+F17),'数据-取费表'!B19/2)-1))),0)</f>
        <v>4169</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564</v>
      </c>
      <c r="C18" s="716">
        <f>ROUND((C7+C10+C16)*F18,0)</f>
        <v>14627</v>
      </c>
      <c r="D18" s="728"/>
      <c r="E18" s="729"/>
      <c r="F18" s="1209">
        <v>0.15</v>
      </c>
      <c r="G18" s="731" t="s">
        <v>565</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566</v>
      </c>
      <c r="C19" s="716">
        <f>C7+C10+C16+C17+C18</f>
        <v>116309</v>
      </c>
      <c r="D19" s="726"/>
      <c r="E19" s="716"/>
      <c r="F19" s="727"/>
      <c r="G19" s="731" t="s">
        <v>567</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568</v>
      </c>
      <c r="C20" s="716">
        <f>ROUND(C19*F20,0)</f>
        <v>0</v>
      </c>
      <c r="D20" s="726"/>
      <c r="E20" s="716"/>
      <c r="F20" s="1209">
        <v>0</v>
      </c>
      <c r="G20" s="731" t="s">
        <v>569</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570</v>
      </c>
      <c r="C21" s="716">
        <f>C19+C20</f>
        <v>116309</v>
      </c>
      <c r="D21" s="726"/>
      <c r="E21" s="716"/>
      <c r="F21" s="727"/>
      <c r="G21" s="731" t="s">
        <v>571</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572</v>
      </c>
      <c r="C22" s="716">
        <f>ROUND(C21*F22,0)</f>
        <v>116309</v>
      </c>
      <c r="D22" s="726"/>
      <c r="E22" s="716"/>
      <c r="F22" s="732">
        <v>1</v>
      </c>
      <c r="G22" s="731" t="s">
        <v>573</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574</v>
      </c>
      <c r="C23" s="734">
        <f>C22</f>
        <v>116309</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zoomScale="85" zoomScaleNormal="50" zoomScaleSheetLayoutView="85" workbookViewId="0">
      <selection activeCell="F12" sqref="F12"/>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1216</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868" t="s">
        <v>471</v>
      </c>
      <c r="D6" s="3869"/>
      <c r="E6" s="3890" t="s">
        <v>472</v>
      </c>
      <c r="F6" s="3891"/>
      <c r="G6" s="3868" t="s">
        <v>473</v>
      </c>
      <c r="H6" s="3869"/>
      <c r="I6" s="3868" t="s">
        <v>474</v>
      </c>
      <c r="J6" s="3869"/>
      <c r="K6" s="484" t="s">
        <v>475</v>
      </c>
      <c r="L6" s="1856"/>
      <c r="M6" s="1857"/>
      <c r="N6" s="1857"/>
      <c r="O6" s="1857"/>
      <c r="P6" s="3870" t="s">
        <v>476</v>
      </c>
      <c r="Q6" s="3871"/>
      <c r="R6" s="3854" t="s">
        <v>472</v>
      </c>
      <c r="S6" s="3855"/>
      <c r="T6" s="3854" t="s">
        <v>473</v>
      </c>
      <c r="U6" s="3855"/>
      <c r="V6" s="3876" t="s">
        <v>474</v>
      </c>
      <c r="W6" s="3876"/>
      <c r="X6" s="3668"/>
      <c r="Y6" s="3854" t="s">
        <v>476</v>
      </c>
      <c r="Z6" s="3855"/>
      <c r="AA6" s="3849" t="s">
        <v>472</v>
      </c>
      <c r="AB6" s="3850" t="s">
        <v>473</v>
      </c>
      <c r="AC6" s="3849" t="s">
        <v>474</v>
      </c>
    </row>
    <row r="7" spans="1:29">
      <c r="A7" s="485"/>
      <c r="B7" s="486"/>
      <c r="C7" s="3879" t="str">
        <f>项目基本情况!C10</f>
        <v>北京市朝阳区十里堡1号</v>
      </c>
      <c r="D7" s="3880"/>
      <c r="E7" s="3892" t="str">
        <f>一级开发案例!G14</f>
        <v>石景山区中关村科技园石景山园北Ⅱ区西井地块土地一级开发项目1606-605地块</v>
      </c>
      <c r="F7" s="3893"/>
      <c r="G7" s="3879" t="str">
        <f>一级开发案例!G25</f>
        <v xml:space="preserve">丰台区城乡一体化周庄子村旧村改造项目二期（ZZZ-06等地块） </v>
      </c>
      <c r="H7" s="3880"/>
      <c r="I7" s="3879" t="str">
        <f>一级开发案例!G31</f>
        <v>丰台区青龙湖国际文化会都核心区土地一级开发项目C地块（北侧）FT00-0503-L01、FT00-0503-L04、FT00-0503-L06、FT00-0503-L03和B地块FT00-0503-L32、34、35</v>
      </c>
      <c r="J7" s="3880"/>
      <c r="K7" s="484"/>
      <c r="L7" s="1856"/>
      <c r="M7" s="1857"/>
      <c r="N7" s="1857"/>
      <c r="O7" s="1857"/>
      <c r="P7" s="3872"/>
      <c r="Q7" s="3873"/>
      <c r="R7" s="3856"/>
      <c r="S7" s="3857"/>
      <c r="T7" s="3856"/>
      <c r="U7" s="3857"/>
      <c r="V7" s="3876"/>
      <c r="W7" s="3876"/>
      <c r="X7" s="3668"/>
      <c r="Y7" s="3856"/>
      <c r="Z7" s="3857"/>
      <c r="AA7" s="3850"/>
      <c r="AB7" s="3850"/>
      <c r="AC7" s="3850"/>
    </row>
    <row r="8" spans="1:29" ht="15" thickBot="1">
      <c r="A8" s="487"/>
      <c r="B8" s="488"/>
      <c r="C8" s="3877" t="s">
        <v>2195</v>
      </c>
      <c r="D8" s="3878"/>
      <c r="E8" s="3894" t="s">
        <v>2195</v>
      </c>
      <c r="F8" s="3895"/>
      <c r="G8" s="3877" t="s">
        <v>2195</v>
      </c>
      <c r="H8" s="3878"/>
      <c r="I8" s="3877" t="s">
        <v>2195</v>
      </c>
      <c r="J8" s="3878"/>
      <c r="K8" s="484" t="s">
        <v>477</v>
      </c>
      <c r="L8" s="1856"/>
      <c r="M8" s="1857"/>
      <c r="N8" s="1857"/>
      <c r="O8" s="1857"/>
      <c r="P8" s="3874"/>
      <c r="Q8" s="3875"/>
      <c r="R8" s="3856"/>
      <c r="S8" s="3857"/>
      <c r="T8" s="3858"/>
      <c r="U8" s="3859"/>
      <c r="V8" s="3876"/>
      <c r="W8" s="3876"/>
      <c r="X8" s="3668"/>
      <c r="Y8" s="3858"/>
      <c r="Z8" s="3859"/>
      <c r="AA8" s="3851"/>
      <c r="AB8" s="3851"/>
      <c r="AC8" s="3851"/>
    </row>
    <row r="9" spans="1:29" s="1118" customFormat="1" ht="15" thickBot="1">
      <c r="A9" s="2392"/>
      <c r="B9" s="2399" t="s">
        <v>478</v>
      </c>
      <c r="C9" s="489">
        <f>'数据-取费表'!B2</f>
        <v>45506</v>
      </c>
      <c r="D9" s="490">
        <v>100</v>
      </c>
      <c r="E9" s="491">
        <v>44621</v>
      </c>
      <c r="F9" s="492">
        <f>SUMIF(66:66,YEAR(E9)&amp;"-"&amp;INT((MONTH(E9)+2)/3),67:67)</f>
        <v>89.2</v>
      </c>
      <c r="G9" s="493">
        <v>44317</v>
      </c>
      <c r="H9" s="490">
        <f>SUMIF(66:66,YEAR(G9)&amp;"-"&amp;INT((MONTH(G9)+2)/3),67:67)</f>
        <v>85.96</v>
      </c>
      <c r="I9" s="493">
        <v>44228</v>
      </c>
      <c r="J9" s="490">
        <f>SUMIF(66:66,YEAR(I9)&amp;"-"&amp;INT((MONTH(I9)+2)/3),67:67)</f>
        <v>84.8</v>
      </c>
      <c r="K9" s="494"/>
      <c r="L9" s="1858"/>
      <c r="M9" s="1859"/>
      <c r="N9" s="1859"/>
      <c r="O9" s="1859"/>
      <c r="P9" s="3852" t="s">
        <v>479</v>
      </c>
      <c r="Q9" s="3861"/>
      <c r="R9" s="1381" t="s">
        <v>5</v>
      </c>
      <c r="S9" s="1382">
        <f t="shared" ref="S9:S17" si="0">F9</f>
        <v>89.2</v>
      </c>
      <c r="T9" s="1381" t="s">
        <v>5</v>
      </c>
      <c r="U9" s="1382">
        <f t="shared" ref="U9:U17" si="1">H9</f>
        <v>85.96</v>
      </c>
      <c r="V9" s="1381" t="s">
        <v>5</v>
      </c>
      <c r="W9" s="1382">
        <f t="shared" ref="W9:W17" si="2">J9</f>
        <v>84.8</v>
      </c>
      <c r="X9" s="1383"/>
      <c r="Y9" s="3852" t="s">
        <v>479</v>
      </c>
      <c r="Z9" s="3853"/>
      <c r="AA9" s="1384">
        <f>D9/F9</f>
        <v>1.1210762331838564</v>
      </c>
      <c r="AB9" s="1384">
        <f>D9/H9</f>
        <v>1.1633317822242903</v>
      </c>
      <c r="AC9" s="1384">
        <f>D9/J9</f>
        <v>1.179245283018868</v>
      </c>
    </row>
    <row r="10" spans="1:29" s="1118" customFormat="1" ht="15" thickBot="1">
      <c r="A10" s="2393"/>
      <c r="B10" s="2400" t="s">
        <v>480</v>
      </c>
      <c r="C10" s="495" t="s">
        <v>481</v>
      </c>
      <c r="D10" s="490">
        <v>100</v>
      </c>
      <c r="E10" s="495" t="s">
        <v>3459</v>
      </c>
      <c r="F10" s="492">
        <f>SUMIF(69:69,E10,70:70)-SUMIF(69:69,C10,70:70)+100</f>
        <v>100</v>
      </c>
      <c r="G10" s="495" t="s">
        <v>3459</v>
      </c>
      <c r="H10" s="490">
        <f>SUMIF(69:69,G10,70:70)-SUMIF(69:69,C10,70:70)+100</f>
        <v>100</v>
      </c>
      <c r="I10" s="495" t="s">
        <v>3459</v>
      </c>
      <c r="J10" s="490">
        <f>SUMIF(69:69,I10,70:70)-SUMIF(69:69,C10,70:70)+100</f>
        <v>100</v>
      </c>
      <c r="K10" s="494"/>
      <c r="L10" s="1858"/>
      <c r="M10" s="1859"/>
      <c r="N10" s="1859"/>
      <c r="O10" s="1859"/>
      <c r="P10" s="3852" t="s">
        <v>482</v>
      </c>
      <c r="Q10" s="3853"/>
      <c r="R10" s="1381" t="s">
        <v>5</v>
      </c>
      <c r="S10" s="1382">
        <f t="shared" si="0"/>
        <v>100</v>
      </c>
      <c r="T10" s="1381" t="s">
        <v>5</v>
      </c>
      <c r="U10" s="1382">
        <f t="shared" si="1"/>
        <v>100</v>
      </c>
      <c r="V10" s="1381" t="s">
        <v>5</v>
      </c>
      <c r="W10" s="1382">
        <f t="shared" si="2"/>
        <v>100</v>
      </c>
      <c r="X10" s="1383"/>
      <c r="Y10" s="3852" t="s">
        <v>482</v>
      </c>
      <c r="Z10" s="3853"/>
      <c r="AA10" s="1384">
        <f t="shared" ref="AA10:AA42" si="3">D10/F10</f>
        <v>1</v>
      </c>
      <c r="AB10" s="1384">
        <f t="shared" ref="AB10:AB42" si="4">D10/H10</f>
        <v>1</v>
      </c>
      <c r="AC10" s="1384">
        <f t="shared" ref="AC10:AC42" si="5">D10/J10</f>
        <v>1</v>
      </c>
    </row>
    <row r="11" spans="1:29" s="1118" customFormat="1" ht="14.4">
      <c r="A11" s="2394"/>
      <c r="B11" s="2401" t="s">
        <v>2037</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0" t="s">
        <v>484</v>
      </c>
      <c r="Q11" s="3665" t="str">
        <f t="shared" ref="Q11:Q17" si="6">B11</f>
        <v>用途</v>
      </c>
      <c r="R11" s="1381" t="s">
        <v>5</v>
      </c>
      <c r="S11" s="1382">
        <f t="shared" si="0"/>
        <v>100</v>
      </c>
      <c r="T11" s="1381" t="s">
        <v>5</v>
      </c>
      <c r="U11" s="1382">
        <f t="shared" si="1"/>
        <v>100</v>
      </c>
      <c r="V11" s="1381" t="s">
        <v>5</v>
      </c>
      <c r="W11" s="1382">
        <f t="shared" si="2"/>
        <v>100</v>
      </c>
      <c r="X11" s="1383"/>
      <c r="Y11" s="3808" t="s">
        <v>485</v>
      </c>
      <c r="Z11" s="3664" t="str">
        <f t="shared" ref="Z11:Z17" si="7">Q11</f>
        <v>用途</v>
      </c>
      <c r="AA11" s="1384">
        <f t="shared" si="3"/>
        <v>1</v>
      </c>
      <c r="AB11" s="1384">
        <f t="shared" si="4"/>
        <v>1</v>
      </c>
      <c r="AC11" s="1384">
        <f t="shared" si="5"/>
        <v>1</v>
      </c>
    </row>
    <row r="12" spans="1:29" s="1199" customFormat="1" ht="28.8">
      <c r="A12" s="2395"/>
      <c r="B12" s="2400" t="s">
        <v>2038</v>
      </c>
      <c r="C12" s="498">
        <v>50</v>
      </c>
      <c r="D12" s="246">
        <v>100</v>
      </c>
      <c r="E12" s="498">
        <v>50</v>
      </c>
      <c r="F12" s="246" t="e">
        <f>ROUND(100/'数据-取费表'!G16,0)</f>
        <v>#DIV/0!</v>
      </c>
      <c r="G12" s="498">
        <v>50</v>
      </c>
      <c r="H12" s="246" t="e">
        <f>ROUND(100/'数据-取费表'!G16,0)</f>
        <v>#DIV/0!</v>
      </c>
      <c r="I12" s="498">
        <v>50</v>
      </c>
      <c r="J12" s="246" t="e">
        <f>ROUND(100/'数据-取费表'!G16,0)</f>
        <v>#DIV/0!</v>
      </c>
      <c r="K12" s="501"/>
      <c r="L12" s="1861"/>
      <c r="M12" s="1900"/>
      <c r="N12" s="1900"/>
      <c r="O12" s="1862"/>
      <c r="P12" s="3860"/>
      <c r="Q12" s="3665" t="str">
        <f t="shared" si="6"/>
        <v>土地使用年限（年）</v>
      </c>
      <c r="R12" s="1381" t="s">
        <v>5</v>
      </c>
      <c r="S12" s="1382" t="e">
        <f t="shared" si="0"/>
        <v>#DIV/0!</v>
      </c>
      <c r="T12" s="1381" t="s">
        <v>5</v>
      </c>
      <c r="U12" s="1382" t="e">
        <f t="shared" si="1"/>
        <v>#DIV/0!</v>
      </c>
      <c r="V12" s="1381" t="s">
        <v>5</v>
      </c>
      <c r="W12" s="1382" t="e">
        <f t="shared" si="2"/>
        <v>#DIV/0!</v>
      </c>
      <c r="X12" s="1383"/>
      <c r="Y12" s="3808"/>
      <c r="Z12" s="3664" t="str">
        <f t="shared" si="7"/>
        <v>土地使用年限（年）</v>
      </c>
      <c r="AA12" s="1384" t="e">
        <f t="shared" si="3"/>
        <v>#DIV/0!</v>
      </c>
      <c r="AB12" s="1384" t="e">
        <f t="shared" si="4"/>
        <v>#DIV/0!</v>
      </c>
      <c r="AC12" s="1384" t="e">
        <f t="shared" si="5"/>
        <v>#DIV/0!</v>
      </c>
    </row>
    <row r="13" spans="1:29" ht="15">
      <c r="A13" s="2396"/>
      <c r="B13" s="2400"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0"/>
      <c r="Q13" s="3665" t="str">
        <f t="shared" si="6"/>
        <v>容积率</v>
      </c>
      <c r="R13" s="1381" t="s">
        <v>5</v>
      </c>
      <c r="S13" s="1382" t="e">
        <f t="shared" si="0"/>
        <v>#N/A</v>
      </c>
      <c r="T13" s="1381" t="s">
        <v>5</v>
      </c>
      <c r="U13" s="1382" t="e">
        <f t="shared" si="1"/>
        <v>#N/A</v>
      </c>
      <c r="V13" s="1381" t="s">
        <v>5</v>
      </c>
      <c r="W13" s="1382" t="e">
        <f t="shared" si="2"/>
        <v>#N/A</v>
      </c>
      <c r="X13" s="1383"/>
      <c r="Y13" s="3808"/>
      <c r="Z13" s="3664"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0"/>
      <c r="Q14" s="3665">
        <f t="shared" si="6"/>
        <v>111</v>
      </c>
      <c r="R14" s="1381" t="s">
        <v>5</v>
      </c>
      <c r="S14" s="1382">
        <f t="shared" si="0"/>
        <v>100</v>
      </c>
      <c r="T14" s="1381" t="s">
        <v>5</v>
      </c>
      <c r="U14" s="1382">
        <f t="shared" si="1"/>
        <v>100</v>
      </c>
      <c r="V14" s="1381" t="s">
        <v>5</v>
      </c>
      <c r="W14" s="1382">
        <f t="shared" si="2"/>
        <v>100</v>
      </c>
      <c r="X14" s="1383"/>
      <c r="Y14" s="3808"/>
      <c r="Z14" s="3664">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0"/>
      <c r="Q15" s="3665">
        <f t="shared" si="6"/>
        <v>111</v>
      </c>
      <c r="R15" s="1381" t="s">
        <v>5</v>
      </c>
      <c r="S15" s="1382">
        <f t="shared" si="0"/>
        <v>100</v>
      </c>
      <c r="T15" s="1381" t="s">
        <v>5</v>
      </c>
      <c r="U15" s="1382">
        <f t="shared" si="1"/>
        <v>100</v>
      </c>
      <c r="V15" s="1381" t="s">
        <v>5</v>
      </c>
      <c r="W15" s="1382">
        <f t="shared" si="2"/>
        <v>100</v>
      </c>
      <c r="X15" s="1383"/>
      <c r="Y15" s="3808"/>
      <c r="Z15" s="3664">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0"/>
      <c r="Q16" s="3665">
        <f t="shared" si="6"/>
        <v>111</v>
      </c>
      <c r="R16" s="1381" t="s">
        <v>5</v>
      </c>
      <c r="S16" s="1382">
        <f t="shared" si="0"/>
        <v>100</v>
      </c>
      <c r="T16" s="1381" t="s">
        <v>5</v>
      </c>
      <c r="U16" s="1382">
        <f t="shared" si="1"/>
        <v>100</v>
      </c>
      <c r="V16" s="1381" t="s">
        <v>5</v>
      </c>
      <c r="W16" s="1382">
        <f t="shared" si="2"/>
        <v>100</v>
      </c>
      <c r="X16" s="1383"/>
      <c r="Y16" s="3808"/>
      <c r="Z16" s="3664">
        <f t="shared" si="7"/>
        <v>111</v>
      </c>
      <c r="AA16" s="1384">
        <f t="shared" si="3"/>
        <v>1</v>
      </c>
      <c r="AB16" s="1384">
        <f t="shared" si="4"/>
        <v>1</v>
      </c>
      <c r="AC16" s="1384">
        <f t="shared" si="5"/>
        <v>1</v>
      </c>
    </row>
    <row r="17" spans="1:29" ht="69">
      <c r="A17" s="2390"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62" t="s">
        <v>489</v>
      </c>
      <c r="Q17" s="3666" t="str">
        <f t="shared" si="6"/>
        <v>产业集聚程度</v>
      </c>
      <c r="R17" s="1386" t="s">
        <v>5</v>
      </c>
      <c r="S17" s="1387">
        <f t="shared" si="0"/>
        <v>100</v>
      </c>
      <c r="T17" s="1386" t="s">
        <v>5</v>
      </c>
      <c r="U17" s="1387">
        <f t="shared" si="1"/>
        <v>100</v>
      </c>
      <c r="V17" s="1386" t="s">
        <v>5</v>
      </c>
      <c r="W17" s="1387">
        <f t="shared" si="2"/>
        <v>100</v>
      </c>
      <c r="X17" s="3668"/>
      <c r="Y17" s="3862" t="s">
        <v>489</v>
      </c>
      <c r="Z17" s="3667" t="str">
        <f t="shared" si="7"/>
        <v>产业集聚程度</v>
      </c>
      <c r="AA17" s="3669">
        <f t="shared" si="3"/>
        <v>1</v>
      </c>
      <c r="AB17" s="3669">
        <f t="shared" si="4"/>
        <v>1</v>
      </c>
      <c r="AC17" s="3669">
        <f t="shared" si="5"/>
        <v>1</v>
      </c>
    </row>
    <row r="18" spans="1:29" ht="15">
      <c r="A18" s="502"/>
      <c r="B18" s="832"/>
      <c r="C18" s="546"/>
      <c r="D18" s="525"/>
      <c r="E18" s="524"/>
      <c r="F18" s="525"/>
      <c r="G18" s="524"/>
      <c r="H18" s="529"/>
      <c r="I18" s="524"/>
      <c r="J18" s="525"/>
      <c r="K18" s="501"/>
      <c r="L18" s="1865"/>
      <c r="M18" s="1857"/>
      <c r="N18" s="1857"/>
      <c r="O18" s="1864"/>
      <c r="P18" s="3863"/>
      <c r="Q18" s="3666"/>
      <c r="R18" s="1386"/>
      <c r="S18" s="1387"/>
      <c r="T18" s="1386"/>
      <c r="U18" s="1387"/>
      <c r="V18" s="1386"/>
      <c r="W18" s="1387"/>
      <c r="X18" s="3668"/>
      <c r="Y18" s="3863"/>
      <c r="Z18" s="3667"/>
      <c r="AA18" s="3669">
        <v>1</v>
      </c>
      <c r="AB18" s="3669">
        <v>1</v>
      </c>
      <c r="AC18" s="366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63"/>
      <c r="Q19" s="3666" t="str">
        <f>B19</f>
        <v>交通便捷度</v>
      </c>
      <c r="R19" s="1386" t="s">
        <v>5</v>
      </c>
      <c r="S19" s="1387">
        <f>F19</f>
        <v>100</v>
      </c>
      <c r="T19" s="1386" t="s">
        <v>5</v>
      </c>
      <c r="U19" s="1387">
        <f>H19</f>
        <v>100</v>
      </c>
      <c r="V19" s="1386" t="s">
        <v>5</v>
      </c>
      <c r="W19" s="1387">
        <f>J19</f>
        <v>100</v>
      </c>
      <c r="X19" s="3668"/>
      <c r="Y19" s="3863"/>
      <c r="Z19" s="3667" t="str">
        <f>Q19</f>
        <v>交通便捷度</v>
      </c>
      <c r="AA19" s="3669">
        <f t="shared" si="3"/>
        <v>1</v>
      </c>
      <c r="AB19" s="3669">
        <f t="shared" si="4"/>
        <v>1</v>
      </c>
      <c r="AC19" s="3669">
        <f t="shared" si="5"/>
        <v>1</v>
      </c>
    </row>
    <row r="20" spans="1:29" ht="15">
      <c r="A20" s="502"/>
      <c r="B20" s="885"/>
      <c r="C20" s="546"/>
      <c r="D20" s="525"/>
      <c r="E20" s="526"/>
      <c r="F20" s="525"/>
      <c r="G20" s="526"/>
      <c r="H20" s="525"/>
      <c r="I20" s="528"/>
      <c r="J20" s="525"/>
      <c r="K20" s="501"/>
      <c r="L20" s="1865"/>
      <c r="M20" s="1857"/>
      <c r="N20" s="1857"/>
      <c r="O20" s="1864"/>
      <c r="P20" s="3863"/>
      <c r="Q20" s="3666"/>
      <c r="R20" s="1386"/>
      <c r="S20" s="1387"/>
      <c r="T20" s="1386"/>
      <c r="U20" s="1387"/>
      <c r="V20" s="1386"/>
      <c r="W20" s="1387"/>
      <c r="X20" s="3668"/>
      <c r="Y20" s="3863"/>
      <c r="Z20" s="3667"/>
      <c r="AA20" s="3669">
        <v>1</v>
      </c>
      <c r="AB20" s="3669">
        <v>1</v>
      </c>
      <c r="AC20" s="366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63"/>
      <c r="Q21" s="3666" t="str">
        <f t="shared" ref="Q21:Q35" si="8">B21</f>
        <v>区域土地利用方向</v>
      </c>
      <c r="R21" s="1386" t="s">
        <v>5</v>
      </c>
      <c r="S21" s="1387">
        <f>F21</f>
        <v>100</v>
      </c>
      <c r="T21" s="1386" t="s">
        <v>5</v>
      </c>
      <c r="U21" s="1387">
        <f>H21</f>
        <v>100</v>
      </c>
      <c r="V21" s="1386" t="s">
        <v>5</v>
      </c>
      <c r="W21" s="1387">
        <f>J21</f>
        <v>100</v>
      </c>
      <c r="X21" s="3668"/>
      <c r="Y21" s="3863"/>
      <c r="Z21" s="3667" t="str">
        <f>Q21</f>
        <v>区域土地利用方向</v>
      </c>
      <c r="AA21" s="3669">
        <f t="shared" si="3"/>
        <v>1</v>
      </c>
      <c r="AB21" s="3669">
        <f t="shared" si="4"/>
        <v>1</v>
      </c>
      <c r="AC21" s="3669">
        <f t="shared" si="5"/>
        <v>1</v>
      </c>
    </row>
    <row r="22" spans="1:29" ht="15">
      <c r="A22" s="485"/>
      <c r="B22" s="565"/>
      <c r="C22" s="546"/>
      <c r="D22" s="525"/>
      <c r="E22" s="526"/>
      <c r="F22" s="527"/>
      <c r="G22" s="528"/>
      <c r="H22" s="527"/>
      <c r="I22" s="528"/>
      <c r="J22" s="527"/>
      <c r="K22" s="1208"/>
      <c r="L22" s="1865"/>
      <c r="M22" s="1857"/>
      <c r="N22" s="1857"/>
      <c r="O22" s="1864"/>
      <c r="P22" s="3863"/>
      <c r="Q22" s="3666"/>
      <c r="R22" s="1386"/>
      <c r="S22" s="1387"/>
      <c r="T22" s="1386"/>
      <c r="U22" s="1387"/>
      <c r="V22" s="1386"/>
      <c r="W22" s="1387"/>
      <c r="X22" s="3668"/>
      <c r="Y22" s="3863"/>
      <c r="Z22" s="3667"/>
      <c r="AA22" s="3669"/>
      <c r="AB22" s="3669"/>
      <c r="AC22" s="366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63"/>
      <c r="Q23" s="3666" t="str">
        <f t="shared" si="8"/>
        <v>环境状况</v>
      </c>
      <c r="R23" s="1386" t="s">
        <v>5</v>
      </c>
      <c r="S23" s="1387">
        <f>F23</f>
        <v>100</v>
      </c>
      <c r="T23" s="1386" t="s">
        <v>5</v>
      </c>
      <c r="U23" s="1387">
        <f>H23</f>
        <v>100</v>
      </c>
      <c r="V23" s="1386" t="s">
        <v>5</v>
      </c>
      <c r="W23" s="1387">
        <f>J23</f>
        <v>100</v>
      </c>
      <c r="X23" s="3668"/>
      <c r="Y23" s="3863"/>
      <c r="Z23" s="3667" t="str">
        <f>Q23</f>
        <v>环境状况</v>
      </c>
      <c r="AA23" s="3669">
        <f t="shared" si="3"/>
        <v>1</v>
      </c>
      <c r="AB23" s="3669">
        <f t="shared" si="4"/>
        <v>1</v>
      </c>
      <c r="AC23" s="3669">
        <f t="shared" si="5"/>
        <v>1</v>
      </c>
    </row>
    <row r="24" spans="1:29" ht="15">
      <c r="A24" s="485"/>
      <c r="B24" s="565"/>
      <c r="C24" s="546"/>
      <c r="D24" s="525"/>
      <c r="E24" s="524"/>
      <c r="F24" s="525"/>
      <c r="G24" s="524"/>
      <c r="H24" s="525"/>
      <c r="I24" s="546"/>
      <c r="J24" s="525"/>
      <c r="K24" s="501"/>
      <c r="L24" s="1865"/>
      <c r="M24" s="1857"/>
      <c r="N24" s="1857"/>
      <c r="O24" s="1864"/>
      <c r="P24" s="3863"/>
      <c r="Q24" s="3666"/>
      <c r="R24" s="1386"/>
      <c r="S24" s="1387"/>
      <c r="T24" s="1386"/>
      <c r="U24" s="1387"/>
      <c r="V24" s="1386"/>
      <c r="W24" s="1387"/>
      <c r="X24" s="3668"/>
      <c r="Y24" s="3863"/>
      <c r="Z24" s="3667"/>
      <c r="AA24" s="3669">
        <v>1</v>
      </c>
      <c r="AB24" s="3669">
        <v>1</v>
      </c>
      <c r="AC24" s="3669">
        <v>1</v>
      </c>
    </row>
    <row r="25" spans="1:29" s="1118" customFormat="1" ht="41.4">
      <c r="A25" s="547"/>
      <c r="B25" s="2201"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63"/>
      <c r="Q25" s="3665" t="str">
        <f t="shared" si="8"/>
        <v>公共配套设施</v>
      </c>
      <c r="R25" s="1381" t="s">
        <v>5</v>
      </c>
      <c r="S25" s="1382">
        <f>F25</f>
        <v>100</v>
      </c>
      <c r="T25" s="1381" t="s">
        <v>5</v>
      </c>
      <c r="U25" s="1382">
        <f>H25</f>
        <v>100</v>
      </c>
      <c r="V25" s="1381" t="s">
        <v>5</v>
      </c>
      <c r="W25" s="1382">
        <f>J25</f>
        <v>100</v>
      </c>
      <c r="X25" s="1383"/>
      <c r="Y25" s="3863"/>
      <c r="Z25" s="3664" t="str">
        <f>Q25</f>
        <v>公共配套设施</v>
      </c>
      <c r="AA25" s="3669">
        <f>D25/F25</f>
        <v>1</v>
      </c>
      <c r="AB25" s="3669">
        <f>D25/H25</f>
        <v>1</v>
      </c>
      <c r="AC25" s="3669">
        <f>D25/J25</f>
        <v>1</v>
      </c>
    </row>
    <row r="26" spans="1:29" s="1118" customFormat="1" ht="15">
      <c r="A26" s="547"/>
      <c r="B26" s="565"/>
      <c r="C26" s="2200"/>
      <c r="D26" s="525"/>
      <c r="E26" s="524"/>
      <c r="F26" s="525"/>
      <c r="G26" s="524"/>
      <c r="H26" s="525"/>
      <c r="I26" s="546"/>
      <c r="J26" s="525"/>
      <c r="K26" s="501"/>
      <c r="L26" s="1858"/>
      <c r="M26" s="1859"/>
      <c r="N26" s="1859"/>
      <c r="O26" s="1860"/>
      <c r="P26" s="3863"/>
      <c r="Q26" s="3665"/>
      <c r="R26" s="1381"/>
      <c r="S26" s="1382"/>
      <c r="T26" s="1381"/>
      <c r="U26" s="1382"/>
      <c r="V26" s="1381"/>
      <c r="W26" s="1382"/>
      <c r="X26" s="1383"/>
      <c r="Y26" s="3863"/>
      <c r="Z26" s="3664"/>
      <c r="AA26" s="1384">
        <v>1</v>
      </c>
      <c r="AB26" s="1384">
        <v>1</v>
      </c>
      <c r="AC26" s="1384">
        <v>1</v>
      </c>
    </row>
    <row r="27" spans="1:29" s="1118" customFormat="1" ht="41.4">
      <c r="A27" s="547"/>
      <c r="B27" s="2201"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63"/>
      <c r="Q27" s="3665" t="str">
        <f>B27</f>
        <v>基础设施水平</v>
      </c>
      <c r="R27" s="1381" t="s">
        <v>5</v>
      </c>
      <c r="S27" s="1382">
        <f>F27</f>
        <v>100</v>
      </c>
      <c r="T27" s="1381" t="s">
        <v>5</v>
      </c>
      <c r="U27" s="1382">
        <f>H27</f>
        <v>100</v>
      </c>
      <c r="V27" s="1381" t="s">
        <v>5</v>
      </c>
      <c r="W27" s="1382">
        <f>J27</f>
        <v>100</v>
      </c>
      <c r="X27" s="1383"/>
      <c r="Y27" s="3863"/>
      <c r="Z27" s="3664" t="str">
        <f>Q27</f>
        <v>基础设施水平</v>
      </c>
      <c r="AA27" s="3669">
        <f>D27/F27</f>
        <v>1</v>
      </c>
      <c r="AB27" s="3669">
        <f>D27/H27</f>
        <v>1</v>
      </c>
      <c r="AC27" s="3669">
        <f>D27/J27</f>
        <v>1</v>
      </c>
    </row>
    <row r="28" spans="1:29" s="1118" customFormat="1" ht="15">
      <c r="A28" s="547"/>
      <c r="B28" s="565"/>
      <c r="C28" s="2200"/>
      <c r="D28" s="525"/>
      <c r="E28" s="549"/>
      <c r="F28" s="525"/>
      <c r="G28" s="549"/>
      <c r="H28" s="525"/>
      <c r="I28" s="549"/>
      <c r="J28" s="525"/>
      <c r="K28" s="501"/>
      <c r="L28" s="1858"/>
      <c r="M28" s="1859"/>
      <c r="N28" s="1859"/>
      <c r="O28" s="1860"/>
      <c r="P28" s="3863"/>
      <c r="Q28" s="3665"/>
      <c r="R28" s="1381"/>
      <c r="S28" s="1382"/>
      <c r="T28" s="1381"/>
      <c r="U28" s="1382"/>
      <c r="V28" s="1381"/>
      <c r="W28" s="1382"/>
      <c r="X28" s="1383"/>
      <c r="Y28" s="3863"/>
      <c r="Z28" s="3664"/>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63"/>
      <c r="Q29" s="3666" t="str">
        <f t="shared" si="8"/>
        <v>临街状况</v>
      </c>
      <c r="R29" s="1386" t="s">
        <v>5</v>
      </c>
      <c r="S29" s="1387">
        <f t="shared" ref="S29:S42" si="9">F29</f>
        <v>100</v>
      </c>
      <c r="T29" s="1386" t="s">
        <v>5</v>
      </c>
      <c r="U29" s="1387">
        <f t="shared" ref="U29:U42" si="10">H29</f>
        <v>100</v>
      </c>
      <c r="V29" s="1386" t="s">
        <v>5</v>
      </c>
      <c r="W29" s="1387">
        <f t="shared" ref="W29:W42" si="11">J29</f>
        <v>100</v>
      </c>
      <c r="X29" s="3668"/>
      <c r="Y29" s="3863"/>
      <c r="Z29" s="3667" t="str">
        <f t="shared" ref="Z29:Z42" si="12">Q29</f>
        <v>临街状况</v>
      </c>
      <c r="AA29" s="3669">
        <f t="shared" si="3"/>
        <v>1</v>
      </c>
      <c r="AB29" s="3669">
        <f t="shared" si="4"/>
        <v>1</v>
      </c>
      <c r="AC29" s="366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63"/>
      <c r="Q30" s="3666" t="str">
        <f t="shared" si="8"/>
        <v>毗邻道路的类型与等级</v>
      </c>
      <c r="R30" s="1386" t="s">
        <v>5</v>
      </c>
      <c r="S30" s="1387">
        <f t="shared" si="9"/>
        <v>100</v>
      </c>
      <c r="T30" s="1386" t="s">
        <v>5</v>
      </c>
      <c r="U30" s="1387">
        <f t="shared" si="10"/>
        <v>100</v>
      </c>
      <c r="V30" s="1386" t="s">
        <v>5</v>
      </c>
      <c r="W30" s="1387">
        <f t="shared" si="11"/>
        <v>100</v>
      </c>
      <c r="X30" s="3668"/>
      <c r="Y30" s="3863"/>
      <c r="Z30" s="3667" t="str">
        <f t="shared" si="12"/>
        <v>毗邻道路的类型与等级</v>
      </c>
      <c r="AA30" s="3669">
        <f t="shared" si="3"/>
        <v>1</v>
      </c>
      <c r="AB30" s="3669">
        <f t="shared" si="4"/>
        <v>1</v>
      </c>
      <c r="AC30" s="3669">
        <f t="shared" si="5"/>
        <v>1</v>
      </c>
    </row>
    <row r="31" spans="1:29" ht="15">
      <c r="A31" s="502"/>
      <c r="B31" s="565"/>
      <c r="C31" s="546"/>
      <c r="D31" s="525"/>
      <c r="E31" s="546"/>
      <c r="F31" s="525"/>
      <c r="G31" s="546"/>
      <c r="H31" s="525"/>
      <c r="I31" s="546"/>
      <c r="J31" s="525"/>
      <c r="K31" s="551"/>
      <c r="L31" s="1865"/>
      <c r="M31" s="1857"/>
      <c r="N31" s="1857"/>
      <c r="O31" s="1864"/>
      <c r="P31" s="3863"/>
      <c r="Q31" s="3666"/>
      <c r="R31" s="1386"/>
      <c r="S31" s="1387"/>
      <c r="T31" s="1386"/>
      <c r="U31" s="1387"/>
      <c r="V31" s="1386"/>
      <c r="W31" s="1387"/>
      <c r="X31" s="3668"/>
      <c r="Y31" s="3863"/>
      <c r="Z31" s="3667"/>
      <c r="AA31" s="3669">
        <v>1</v>
      </c>
      <c r="AB31" s="3669">
        <v>1</v>
      </c>
      <c r="AC31" s="366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63"/>
      <c r="Q32" s="3666" t="str">
        <f t="shared" si="8"/>
        <v>土地级别</v>
      </c>
      <c r="R32" s="1386" t="s">
        <v>5</v>
      </c>
      <c r="S32" s="1387">
        <f t="shared" si="9"/>
        <v>100</v>
      </c>
      <c r="T32" s="1386" t="s">
        <v>5</v>
      </c>
      <c r="U32" s="1387">
        <f t="shared" si="10"/>
        <v>100</v>
      </c>
      <c r="V32" s="1386" t="s">
        <v>5</v>
      </c>
      <c r="W32" s="1387">
        <f t="shared" si="11"/>
        <v>100</v>
      </c>
      <c r="X32" s="3668"/>
      <c r="Y32" s="3863"/>
      <c r="Z32" s="3667" t="str">
        <f t="shared" si="12"/>
        <v>土地级别</v>
      </c>
      <c r="AA32" s="3669">
        <f t="shared" si="3"/>
        <v>1</v>
      </c>
      <c r="AB32" s="3669">
        <f t="shared" si="4"/>
        <v>1</v>
      </c>
      <c r="AC32" s="366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63"/>
      <c r="Q33" s="3666">
        <f t="shared" si="8"/>
        <v>111</v>
      </c>
      <c r="R33" s="1386" t="s">
        <v>5</v>
      </c>
      <c r="S33" s="1387">
        <f t="shared" si="9"/>
        <v>100</v>
      </c>
      <c r="T33" s="1386" t="s">
        <v>5</v>
      </c>
      <c r="U33" s="1387">
        <f t="shared" si="10"/>
        <v>100</v>
      </c>
      <c r="V33" s="1386" t="s">
        <v>5</v>
      </c>
      <c r="W33" s="1387">
        <f t="shared" si="11"/>
        <v>100</v>
      </c>
      <c r="X33" s="3668"/>
      <c r="Y33" s="3863"/>
      <c r="Z33" s="3667">
        <f t="shared" si="12"/>
        <v>111</v>
      </c>
      <c r="AA33" s="3669">
        <f t="shared" si="3"/>
        <v>1</v>
      </c>
      <c r="AB33" s="3669">
        <f t="shared" si="4"/>
        <v>1</v>
      </c>
      <c r="AC33" s="366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64" t="s">
        <v>499</v>
      </c>
      <c r="Q34" s="3666">
        <f t="shared" si="8"/>
        <v>111</v>
      </c>
      <c r="R34" s="1386" t="s">
        <v>5</v>
      </c>
      <c r="S34" s="1387">
        <f t="shared" si="9"/>
        <v>100</v>
      </c>
      <c r="T34" s="1386" t="s">
        <v>5</v>
      </c>
      <c r="U34" s="1387">
        <f t="shared" si="10"/>
        <v>100</v>
      </c>
      <c r="V34" s="1386" t="s">
        <v>5</v>
      </c>
      <c r="W34" s="1387">
        <f t="shared" si="11"/>
        <v>100</v>
      </c>
      <c r="X34" s="3668"/>
      <c r="Y34" s="3865" t="s">
        <v>499</v>
      </c>
      <c r="Z34" s="3667">
        <f t="shared" si="12"/>
        <v>111</v>
      </c>
      <c r="AA34" s="3669">
        <f t="shared" si="3"/>
        <v>1</v>
      </c>
      <c r="AB34" s="3669">
        <f t="shared" si="4"/>
        <v>1</v>
      </c>
      <c r="AC34" s="366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65"/>
      <c r="Q35" s="3666">
        <f t="shared" si="8"/>
        <v>111</v>
      </c>
      <c r="R35" s="1390" t="s">
        <v>5</v>
      </c>
      <c r="S35" s="1391">
        <f t="shared" si="9"/>
        <v>100</v>
      </c>
      <c r="T35" s="1390" t="s">
        <v>5</v>
      </c>
      <c r="U35" s="1391">
        <f t="shared" si="10"/>
        <v>100</v>
      </c>
      <c r="V35" s="1390" t="s">
        <v>5</v>
      </c>
      <c r="W35" s="1391">
        <f t="shared" si="11"/>
        <v>100</v>
      </c>
      <c r="X35" s="1392"/>
      <c r="Y35" s="3865"/>
      <c r="Z35" s="1393">
        <f t="shared" si="12"/>
        <v>111</v>
      </c>
      <c r="AA35" s="3669">
        <f t="shared" si="3"/>
        <v>1</v>
      </c>
      <c r="AB35" s="3669">
        <f t="shared" si="4"/>
        <v>1</v>
      </c>
      <c r="AC35" s="3669">
        <f t="shared" si="5"/>
        <v>1</v>
      </c>
    </row>
    <row r="36" spans="1:29" ht="15">
      <c r="A36" s="2387"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65"/>
      <c r="Q36" s="3666" t="str">
        <f>B36</f>
        <v>宗地面积</v>
      </c>
      <c r="R36" s="1386" t="s">
        <v>5</v>
      </c>
      <c r="S36" s="1387" t="e">
        <f t="shared" si="9"/>
        <v>#N/A</v>
      </c>
      <c r="T36" s="1386" t="s">
        <v>5</v>
      </c>
      <c r="U36" s="1387" t="e">
        <f t="shared" si="10"/>
        <v>#N/A</v>
      </c>
      <c r="V36" s="1386" t="s">
        <v>5</v>
      </c>
      <c r="W36" s="1387" t="e">
        <f t="shared" si="11"/>
        <v>#N/A</v>
      </c>
      <c r="X36" s="3668"/>
      <c r="Y36" s="3865"/>
      <c r="Z36" s="3667" t="str">
        <f t="shared" si="12"/>
        <v>宗地面积</v>
      </c>
      <c r="AA36" s="3669" t="e">
        <f t="shared" si="3"/>
        <v>#N/A</v>
      </c>
      <c r="AB36" s="3669" t="e">
        <f t="shared" si="4"/>
        <v>#N/A</v>
      </c>
      <c r="AC36" s="366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65"/>
      <c r="Q37" s="3666" t="str">
        <f t="shared" ref="Q37:Q42" si="13">B37</f>
        <v>宗地形状</v>
      </c>
      <c r="R37" s="1386" t="s">
        <v>5</v>
      </c>
      <c r="S37" s="1387">
        <f t="shared" si="9"/>
        <v>100</v>
      </c>
      <c r="T37" s="1386" t="s">
        <v>5</v>
      </c>
      <c r="U37" s="1387">
        <f t="shared" si="10"/>
        <v>100</v>
      </c>
      <c r="V37" s="1386" t="s">
        <v>5</v>
      </c>
      <c r="W37" s="1387">
        <f t="shared" si="11"/>
        <v>100</v>
      </c>
      <c r="X37" s="3668"/>
      <c r="Y37" s="3865"/>
      <c r="Z37" s="3667" t="str">
        <f t="shared" si="12"/>
        <v>宗地形状</v>
      </c>
      <c r="AA37" s="3669">
        <f t="shared" si="3"/>
        <v>1</v>
      </c>
      <c r="AB37" s="3669">
        <f t="shared" si="4"/>
        <v>1</v>
      </c>
      <c r="AC37" s="3669">
        <f t="shared" si="5"/>
        <v>1</v>
      </c>
    </row>
    <row r="38" spans="1:29" s="1118" customFormat="1" ht="15">
      <c r="A38" s="570"/>
      <c r="B38" s="1651"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65"/>
      <c r="Q38" s="3666" t="str">
        <f t="shared" si="13"/>
        <v>宗地开发程度</v>
      </c>
      <c r="R38" s="1381" t="s">
        <v>5</v>
      </c>
      <c r="S38" s="1382">
        <f t="shared" si="9"/>
        <v>100</v>
      </c>
      <c r="T38" s="1381" t="s">
        <v>5</v>
      </c>
      <c r="U38" s="1382">
        <f t="shared" si="10"/>
        <v>100</v>
      </c>
      <c r="V38" s="1381" t="s">
        <v>5</v>
      </c>
      <c r="W38" s="1382">
        <f t="shared" si="11"/>
        <v>100</v>
      </c>
      <c r="X38" s="1383"/>
      <c r="Y38" s="3865"/>
      <c r="Z38" s="3664"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65" t="s">
        <v>499</v>
      </c>
      <c r="Q39" s="3666" t="str">
        <f t="shared" si="13"/>
        <v>工程地质条件</v>
      </c>
      <c r="R39" s="1386" t="s">
        <v>5</v>
      </c>
      <c r="S39" s="1387">
        <f t="shared" si="9"/>
        <v>100</v>
      </c>
      <c r="T39" s="1386" t="s">
        <v>5</v>
      </c>
      <c r="U39" s="1387">
        <f t="shared" si="10"/>
        <v>100</v>
      </c>
      <c r="V39" s="1386" t="s">
        <v>5</v>
      </c>
      <c r="W39" s="1387">
        <f t="shared" si="11"/>
        <v>100</v>
      </c>
      <c r="X39" s="3668"/>
      <c r="Y39" s="3865" t="s">
        <v>499</v>
      </c>
      <c r="Z39" s="3667" t="str">
        <f t="shared" si="12"/>
        <v>工程地质条件</v>
      </c>
      <c r="AA39" s="3669">
        <f t="shared" si="3"/>
        <v>1</v>
      </c>
      <c r="AB39" s="3669">
        <f t="shared" si="4"/>
        <v>1</v>
      </c>
      <c r="AC39" s="366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65"/>
      <c r="Q40" s="3666">
        <f t="shared" si="13"/>
        <v>111</v>
      </c>
      <c r="R40" s="1386" t="s">
        <v>5</v>
      </c>
      <c r="S40" s="1387">
        <f t="shared" si="9"/>
        <v>100</v>
      </c>
      <c r="T40" s="1386" t="s">
        <v>5</v>
      </c>
      <c r="U40" s="1387">
        <f t="shared" si="10"/>
        <v>100</v>
      </c>
      <c r="V40" s="1386" t="s">
        <v>5</v>
      </c>
      <c r="W40" s="1387">
        <f t="shared" si="11"/>
        <v>100</v>
      </c>
      <c r="X40" s="3668"/>
      <c r="Y40" s="3865"/>
      <c r="Z40" s="3667">
        <f t="shared" si="12"/>
        <v>111</v>
      </c>
      <c r="AA40" s="3669">
        <f t="shared" si="3"/>
        <v>1</v>
      </c>
      <c r="AB40" s="3669">
        <f t="shared" si="4"/>
        <v>1</v>
      </c>
      <c r="AC40" s="366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65"/>
      <c r="Q41" s="3666">
        <f t="shared" si="13"/>
        <v>111</v>
      </c>
      <c r="R41" s="1386" t="s">
        <v>5</v>
      </c>
      <c r="S41" s="1387">
        <f t="shared" si="9"/>
        <v>100</v>
      </c>
      <c r="T41" s="1386" t="s">
        <v>5</v>
      </c>
      <c r="U41" s="1387">
        <f t="shared" si="10"/>
        <v>100</v>
      </c>
      <c r="V41" s="1386" t="s">
        <v>5</v>
      </c>
      <c r="W41" s="1387">
        <f t="shared" si="11"/>
        <v>100</v>
      </c>
      <c r="X41" s="3668"/>
      <c r="Y41" s="3865"/>
      <c r="Z41" s="3667">
        <f t="shared" si="12"/>
        <v>111</v>
      </c>
      <c r="AA41" s="3669">
        <f t="shared" si="3"/>
        <v>1</v>
      </c>
      <c r="AB41" s="3669">
        <f t="shared" si="4"/>
        <v>1</v>
      </c>
      <c r="AC41" s="366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65"/>
      <c r="Q42" s="3666">
        <f t="shared" si="13"/>
        <v>111</v>
      </c>
      <c r="R42" s="1390" t="s">
        <v>5</v>
      </c>
      <c r="S42" s="1391">
        <f t="shared" si="9"/>
        <v>100</v>
      </c>
      <c r="T42" s="1390" t="s">
        <v>5</v>
      </c>
      <c r="U42" s="1391">
        <f t="shared" si="10"/>
        <v>100</v>
      </c>
      <c r="V42" s="1390" t="s">
        <v>5</v>
      </c>
      <c r="W42" s="1391">
        <f t="shared" si="11"/>
        <v>100</v>
      </c>
      <c r="X42" s="1392"/>
      <c r="Y42" s="3865"/>
      <c r="Z42" s="1393">
        <f t="shared" si="12"/>
        <v>111</v>
      </c>
      <c r="AA42" s="3669">
        <f t="shared" si="3"/>
        <v>1</v>
      </c>
      <c r="AB42" s="3669">
        <f t="shared" si="4"/>
        <v>1</v>
      </c>
      <c r="AC42" s="3669">
        <f t="shared" si="5"/>
        <v>1</v>
      </c>
    </row>
    <row r="43" spans="1:29" ht="14.4">
      <c r="A43" s="577" t="s">
        <v>505</v>
      </c>
      <c r="B43" s="578" t="s">
        <v>2196</v>
      </c>
      <c r="C43" s="579" t="s">
        <v>0</v>
      </c>
      <c r="D43" s="580"/>
      <c r="E43" s="581"/>
      <c r="F43" s="582"/>
      <c r="G43" s="583"/>
      <c r="H43" s="584"/>
      <c r="I43" s="581"/>
      <c r="J43" s="584"/>
      <c r="K43" s="1201"/>
      <c r="L43" s="1867"/>
      <c r="M43" s="1857"/>
      <c r="N43" s="1857"/>
      <c r="O43" s="1868"/>
      <c r="P43" s="3860" t="str">
        <f>A43</f>
        <v>成交单价</v>
      </c>
      <c r="Q43" s="3860"/>
      <c r="R43" s="3876">
        <f>E43</f>
        <v>0</v>
      </c>
      <c r="S43" s="3876"/>
      <c r="T43" s="3876">
        <f>G43</f>
        <v>0</v>
      </c>
      <c r="U43" s="3876"/>
      <c r="V43" s="3876">
        <f>I43</f>
        <v>0</v>
      </c>
      <c r="W43" s="3876"/>
      <c r="X43" s="1375"/>
      <c r="Y43" s="1394"/>
      <c r="Z43" s="1375"/>
      <c r="AA43" s="1375"/>
      <c r="AB43" s="1375"/>
      <c r="AC43" s="1375"/>
    </row>
    <row r="44" spans="1:29" ht="15" thickBot="1">
      <c r="A44" s="585" t="s">
        <v>1974</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3860" t="str">
        <f>A44</f>
        <v>比较价格（元/平方米）</v>
      </c>
      <c r="Q44" s="3860"/>
      <c r="R44" s="3884" t="e">
        <f>ROUND(PRODUCT(R43,AA9:AA42),0)</f>
        <v>#DIV/0!</v>
      </c>
      <c r="S44" s="3884"/>
      <c r="T44" s="3884" t="e">
        <f>ROUND(PRODUCT(T43,AB9:AB42),0)</f>
        <v>#DIV/0!</v>
      </c>
      <c r="U44" s="3884"/>
      <c r="V44" s="3884" t="e">
        <f>ROUND(PRODUCT(V43,AC9:AC42),0)</f>
        <v>#DIV/0!</v>
      </c>
      <c r="W44" s="3884"/>
      <c r="X44" s="1375"/>
      <c r="Y44" s="1375"/>
      <c r="Z44" s="1375"/>
      <c r="AA44" s="1375"/>
      <c r="AB44" s="1375"/>
      <c r="AC44" s="1375"/>
    </row>
    <row r="45" spans="1:29" ht="15" thickBot="1">
      <c r="A45" s="589" t="s">
        <v>2197</v>
      </c>
      <c r="B45" s="590"/>
      <c r="C45" s="591" t="e">
        <f>R45</f>
        <v>#DIV/0!</v>
      </c>
      <c r="D45" s="591"/>
      <c r="E45" s="591"/>
      <c r="F45" s="591"/>
      <c r="G45" s="591"/>
      <c r="H45" s="591"/>
      <c r="I45" s="591"/>
      <c r="J45" s="591"/>
      <c r="K45" s="1202"/>
      <c r="L45" s="1867"/>
      <c r="M45" s="1857"/>
      <c r="N45" s="1857"/>
      <c r="O45" s="1868"/>
      <c r="P45" s="3866" t="str">
        <f>A45</f>
        <v>估价对象XX用房的比较价格（楼面单价，元/平方米）</v>
      </c>
      <c r="Q45" s="3867"/>
      <c r="R45" s="3889" t="e">
        <f>ROUND(IF(D44="简单平均",AVERAGE(R44:W44),R44*F44+T44*H44+V44*J44),0)</f>
        <v>#DIV/0!</v>
      </c>
      <c r="S45" s="3889"/>
      <c r="T45" s="3889"/>
      <c r="U45" s="3889"/>
      <c r="V45" s="3889"/>
      <c r="W45" s="388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1252</v>
      </c>
      <c r="D52" s="1946" t="s">
        <v>1649</v>
      </c>
      <c r="E52" s="599" t="s">
        <v>511</v>
      </c>
      <c r="F52" s="1707" t="s">
        <v>512</v>
      </c>
      <c r="G52" s="3885" t="s">
        <v>1641</v>
      </c>
      <c r="H52" s="3886"/>
      <c r="I52" s="1708" t="s">
        <v>1464</v>
      </c>
      <c r="J52" s="1372" t="str">
        <f>项目基本情况!F41</f>
        <v>北京市朝阳区十里堡1号</v>
      </c>
      <c r="K52" s="1876" t="s">
        <v>1251</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35000</v>
      </c>
      <c r="F53" s="1706" t="e">
        <f t="shared" ref="F53:F61" si="14">ROUND(B53*E53/10000,0)</f>
        <v>#DIV/0!</v>
      </c>
      <c r="G53" s="3887"/>
      <c r="H53" s="388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v>
      </c>
      <c r="D54" s="1948">
        <v>0.25</v>
      </c>
      <c r="E54" s="607"/>
      <c r="F54" s="1706" t="e">
        <f t="shared" si="14"/>
        <v>#DIV/0!</v>
      </c>
      <c r="G54" s="3279" t="s">
        <v>1642</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1684</v>
      </c>
      <c r="B57" s="606" t="e">
        <f t="shared" si="16"/>
        <v>#DIV/0!</v>
      </c>
      <c r="C57" s="365">
        <f t="shared" si="15"/>
        <v>0</v>
      </c>
      <c r="D57" s="1948">
        <v>0.25</v>
      </c>
      <c r="E57" s="609">
        <f>'数据-汇总表'!E11</f>
        <v>0</v>
      </c>
      <c r="F57" s="1706" t="e">
        <f t="shared" si="14"/>
        <v>#DIV/0!</v>
      </c>
      <c r="G57" s="1712" t="s">
        <v>1643</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1211</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v>
      </c>
      <c r="D59" s="1948">
        <v>0.25</v>
      </c>
      <c r="E59" s="609">
        <f>'数据-汇总表'!E13</f>
        <v>0</v>
      </c>
      <c r="F59" s="1706" t="e">
        <f t="shared" si="14"/>
        <v>#DIV/0!</v>
      </c>
      <c r="G59" s="1702" t="s">
        <v>850</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v>
      </c>
      <c r="D60" s="1948">
        <v>0.25</v>
      </c>
      <c r="E60" s="609">
        <f>'数据-汇总表'!E14</f>
        <v>0</v>
      </c>
      <c r="F60" s="1706" t="e">
        <f t="shared" si="14"/>
        <v>#DIV/0!</v>
      </c>
      <c r="G60" s="1712" t="s">
        <v>1642</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1643</v>
      </c>
      <c r="H61" s="1714">
        <f>项目基本情况!C43</f>
        <v>0</v>
      </c>
      <c r="I61" s="1709">
        <f>SUMIF(修正!$A$57:$A$68,H61,修正!G57:G68)</f>
        <v>0</v>
      </c>
      <c r="J61" s="1374"/>
      <c r="K61" s="2962"/>
      <c r="L61" s="1877"/>
      <c r="M61" s="1877"/>
      <c r="N61" s="1877"/>
      <c r="O61" s="3408"/>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1650</v>
      </c>
      <c r="E62" s="611">
        <f>IF(B43="楼面地价",SUM(E53:E61),'数据-汇总表'!D3)</f>
        <v>106677.19</v>
      </c>
      <c r="F62" s="612" t="e">
        <f>IF(B43="楼面地价",SUM(F53:F61),ROUND(C45*E62/10000,0))</f>
        <v>#DIV/0!</v>
      </c>
      <c r="G62" s="1878"/>
      <c r="H62" s="1878"/>
      <c r="I62" s="1878"/>
      <c r="J62" s="1878"/>
      <c r="K62" s="2970"/>
      <c r="L62" s="1877"/>
      <c r="M62" s="1877"/>
      <c r="N62" s="1877"/>
      <c r="O62" s="3410"/>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3410"/>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2024-8-1</v>
      </c>
      <c r="D64" s="2279">
        <f>EDATE(C64,-3)</f>
        <v>45413</v>
      </c>
      <c r="E64" s="2279">
        <f t="shared" ref="E64:N64" si="17">EDATE(D64,-3)</f>
        <v>45323</v>
      </c>
      <c r="F64" s="2279">
        <f t="shared" si="17"/>
        <v>45231</v>
      </c>
      <c r="G64" s="2279">
        <f t="shared" si="17"/>
        <v>45139</v>
      </c>
      <c r="H64" s="2279">
        <f t="shared" si="17"/>
        <v>45047</v>
      </c>
      <c r="I64" s="2279">
        <f t="shared" si="17"/>
        <v>44958</v>
      </c>
      <c r="J64" s="2279">
        <f t="shared" si="17"/>
        <v>44866</v>
      </c>
      <c r="K64" s="2279">
        <f t="shared" si="17"/>
        <v>44774</v>
      </c>
      <c r="L64" s="2279">
        <f t="shared" si="17"/>
        <v>44682</v>
      </c>
      <c r="M64" s="2279">
        <f t="shared" si="17"/>
        <v>44593</v>
      </c>
      <c r="N64" s="2279">
        <f t="shared" si="17"/>
        <v>44501</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1815</v>
      </c>
      <c r="B66" s="614"/>
      <c r="C66" s="2281" t="str">
        <f>YEAR(C64)&amp;"-"&amp;ROUNDUP(MONTH(C64)/3,0)</f>
        <v>2024-3</v>
      </c>
      <c r="D66" s="2281" t="str">
        <f t="shared" ref="D66:N66" si="18">YEAR(D64)&amp;"-"&amp;ROUNDUP(MONTH(D64)/3,0)</f>
        <v>2024-2</v>
      </c>
      <c r="E66" s="2281" t="str">
        <f t="shared" si="18"/>
        <v>2024-1</v>
      </c>
      <c r="F66" s="2281" t="str">
        <f t="shared" si="18"/>
        <v>2023-4</v>
      </c>
      <c r="G66" s="2281" t="str">
        <f t="shared" si="18"/>
        <v>2023-3</v>
      </c>
      <c r="H66" s="2281" t="str">
        <f t="shared" si="18"/>
        <v>2023-2</v>
      </c>
      <c r="I66" s="2281" t="str">
        <f t="shared" si="18"/>
        <v>2023-1</v>
      </c>
      <c r="J66" s="2281" t="str">
        <f t="shared" si="18"/>
        <v>2022-4</v>
      </c>
      <c r="K66" s="2281" t="str">
        <f t="shared" si="18"/>
        <v>2022-3</v>
      </c>
      <c r="L66" s="2281" t="str">
        <f t="shared" si="18"/>
        <v>2022-2</v>
      </c>
      <c r="M66" s="2281" t="str">
        <f t="shared" si="18"/>
        <v>2022-1</v>
      </c>
      <c r="N66" s="2281" t="str">
        <f t="shared" si="18"/>
        <v>2021-4</v>
      </c>
      <c r="O66" s="1881" t="s">
        <v>3461</v>
      </c>
      <c r="P66" s="1882" t="s">
        <v>3463</v>
      </c>
      <c r="Q66" s="1883" t="s">
        <v>3465</v>
      </c>
      <c r="R66" s="1883"/>
      <c r="S66" s="1883"/>
      <c r="T66" s="1883"/>
      <c r="U66" s="1883"/>
      <c r="V66" s="1883"/>
      <c r="W66" s="1883"/>
      <c r="X66" s="1883"/>
      <c r="Y66" s="1883"/>
      <c r="Z66" s="1883"/>
      <c r="AA66" s="1883"/>
      <c r="AB66" s="1883"/>
      <c r="AC66" s="1883"/>
    </row>
    <row r="67" spans="1:29" s="1118" customFormat="1" ht="27.75" customHeight="1">
      <c r="A67" s="2278" t="s">
        <v>1930</v>
      </c>
      <c r="B67" s="465" t="str">
        <f>"北京市平均增长率"&amp;TEXT(基准地价!P28,"0.00%")</f>
        <v>北京市平均增长率0.00%</v>
      </c>
      <c r="C67" s="857">
        <v>100</v>
      </c>
      <c r="D67" s="698">
        <f>ROUND(C67/(1+D68/100)/(1+C68/100),2)</f>
        <v>99.66</v>
      </c>
      <c r="E67" s="698">
        <f t="shared" ref="E67:Q67" si="19">ROUND(D67/(1+E68/100)/(1+D68/100),2)</f>
        <v>98.74</v>
      </c>
      <c r="F67" s="698">
        <f t="shared" si="19"/>
        <v>97.57</v>
      </c>
      <c r="G67" s="698">
        <f t="shared" si="19"/>
        <v>96.56</v>
      </c>
      <c r="H67" s="698">
        <f t="shared" si="19"/>
        <v>95.47</v>
      </c>
      <c r="I67" s="698">
        <f t="shared" si="19"/>
        <v>94.33</v>
      </c>
      <c r="J67" s="698">
        <f t="shared" si="19"/>
        <v>93.37</v>
      </c>
      <c r="K67" s="698">
        <f t="shared" si="19"/>
        <v>92.3</v>
      </c>
      <c r="L67" s="698">
        <f t="shared" si="19"/>
        <v>90.74</v>
      </c>
      <c r="M67" s="698">
        <f t="shared" si="19"/>
        <v>89.2</v>
      </c>
      <c r="N67" s="698">
        <f t="shared" si="19"/>
        <v>88.15</v>
      </c>
      <c r="O67" s="698">
        <f t="shared" si="19"/>
        <v>87.25</v>
      </c>
      <c r="P67" s="698">
        <f t="shared" si="19"/>
        <v>85.96</v>
      </c>
      <c r="Q67" s="698">
        <f t="shared" si="19"/>
        <v>84.8</v>
      </c>
      <c r="R67" s="1746"/>
      <c r="S67" s="1746"/>
      <c r="T67" s="1746"/>
      <c r="U67" s="1746"/>
      <c r="V67" s="1746"/>
      <c r="W67" s="1746"/>
      <c r="X67" s="1746"/>
      <c r="Y67" s="1746"/>
      <c r="Z67" s="1746"/>
      <c r="AA67" s="1746"/>
      <c r="AB67" s="1746"/>
      <c r="AC67" s="1746"/>
    </row>
    <row r="68" spans="1:29" s="1118" customFormat="1" ht="15" thickBot="1">
      <c r="A68" s="621" t="s">
        <v>523</v>
      </c>
      <c r="B68" s="622"/>
      <c r="C68" s="2272"/>
      <c r="D68" s="2273">
        <v>0.34</v>
      </c>
      <c r="E68" s="4063">
        <v>0.59</v>
      </c>
      <c r="F68" s="4063">
        <v>0.61</v>
      </c>
      <c r="G68" s="4063">
        <v>0.43</v>
      </c>
      <c r="H68" s="4063">
        <v>0.71</v>
      </c>
      <c r="I68" s="4063">
        <v>0.5</v>
      </c>
      <c r="J68" s="4063">
        <v>0.53</v>
      </c>
      <c r="K68" s="4063">
        <v>0.63</v>
      </c>
      <c r="L68" s="4063">
        <v>1.08</v>
      </c>
      <c r="M68" s="4063">
        <v>0.64</v>
      </c>
      <c r="N68" s="4063">
        <v>0.55000000000000004</v>
      </c>
      <c r="O68" s="4063">
        <v>0.48</v>
      </c>
      <c r="P68" s="4063">
        <v>1.01</v>
      </c>
      <c r="Q68" s="1884">
        <v>0.36</v>
      </c>
      <c r="R68" s="1880">
        <v>2.69</v>
      </c>
      <c r="S68" s="1880"/>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20">D76&amp;"（含）"&amp;"-"&amp;E76</f>
        <v>（含）-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549</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1830</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1831</v>
      </c>
      <c r="C94" s="2206" t="s">
        <v>1833</v>
      </c>
      <c r="D94" s="2206" t="s">
        <v>1834</v>
      </c>
      <c r="E94" s="2206" t="s">
        <v>1835</v>
      </c>
      <c r="F94" s="2206" t="s">
        <v>1836</v>
      </c>
      <c r="G94" s="2206" t="s">
        <v>1837</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5">C109&amp;"(含)"&amp;"-"&amp;D109</f>
        <v>(含)-</v>
      </c>
      <c r="D108" s="672" t="str">
        <f t="shared" si="25"/>
        <v>(含)-</v>
      </c>
      <c r="E108" s="672" t="str">
        <f t="shared" si="25"/>
        <v>(含)-</v>
      </c>
      <c r="F108" s="672" t="str">
        <f t="shared" si="25"/>
        <v>(含)-</v>
      </c>
      <c r="G108" s="672" t="str">
        <f t="shared" si="25"/>
        <v>(含)-</v>
      </c>
      <c r="H108" s="672" t="str">
        <f t="shared" si="25"/>
        <v>(含)-</v>
      </c>
      <c r="I108" s="672" t="str">
        <f t="shared" si="25"/>
        <v>(含)-</v>
      </c>
      <c r="J108" s="672" t="str">
        <f t="shared" si="25"/>
        <v>(含)-</v>
      </c>
      <c r="K108" s="2537" t="str">
        <f t="shared" si="25"/>
        <v>(含)-</v>
      </c>
      <c r="L108" s="2538" t="str">
        <f t="shared" si="25"/>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1776</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34:P42"/>
    <mergeCell ref="Y34:Y42"/>
    <mergeCell ref="P43:Q43"/>
    <mergeCell ref="R43:S43"/>
    <mergeCell ref="T43:U43"/>
    <mergeCell ref="V43:W43"/>
    <mergeCell ref="P10:Q10"/>
    <mergeCell ref="Y10:Z10"/>
    <mergeCell ref="P11:P16"/>
    <mergeCell ref="Y11:Y16"/>
    <mergeCell ref="P17:P33"/>
    <mergeCell ref="Y17:Y33"/>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4" type="noConversion"/>
  <conditionalFormatting sqref="F48 H48 J48">
    <cfRule type="containsText" dxfId="168" priority="17" stopIfTrue="1" operator="containsText" text="超过">
      <formula>NOT(ISERROR(SEARCH("超过",F48)))</formula>
    </cfRule>
  </conditionalFormatting>
  <conditionalFormatting sqref="J50">
    <cfRule type="containsText" dxfId="167" priority="16" stopIfTrue="1" operator="containsText" text="超过">
      <formula>NOT(ISERROR(SEARCH("超过",J50)))</formula>
    </cfRule>
  </conditionalFormatting>
  <conditionalFormatting sqref="H50">
    <cfRule type="containsText" dxfId="166" priority="15" stopIfTrue="1" operator="containsText" text="超过">
      <formula>NOT(ISERROR(SEARCH("超过",H50)))</formula>
    </cfRule>
  </conditionalFormatting>
  <conditionalFormatting sqref="F50">
    <cfRule type="containsText" dxfId="165" priority="14" stopIfTrue="1" operator="containsText" text="超过">
      <formula>NOT(ISERROR(SEARCH("超过",F50)))</formula>
    </cfRule>
  </conditionalFormatting>
  <conditionalFormatting sqref="F49 H49 J49">
    <cfRule type="containsText" dxfId="164" priority="13" stopIfTrue="1" operator="containsText" text="超过">
      <formula>NOT(ISERROR(SEARCH("超过",F49)))</formula>
    </cfRule>
  </conditionalFormatting>
  <conditionalFormatting sqref="E48">
    <cfRule type="expression" dxfId="163" priority="12" stopIfTrue="1">
      <formula>$F$48="超过30%"</formula>
    </cfRule>
  </conditionalFormatting>
  <conditionalFormatting sqref="G50">
    <cfRule type="expression" dxfId="162" priority="11"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18"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1"/>
  <sheetViews>
    <sheetView workbookViewId="0">
      <pane xSplit="5" ySplit="2" topLeftCell="F14" activePane="bottomRight" state="frozen"/>
      <selection pane="topRight" activeCell="F1" sqref="F1"/>
      <selection pane="bottomLeft" activeCell="A3" sqref="A3"/>
      <selection pane="bottomRight" activeCell="V14" sqref="V14"/>
    </sheetView>
  </sheetViews>
  <sheetFormatPr defaultColWidth="7" defaultRowHeight="12"/>
  <cols>
    <col min="1" max="4" width="7" style="4038"/>
    <col min="5" max="5" width="7" style="4025"/>
    <col min="6" max="6" width="5.44140625" style="4025" customWidth="1"/>
    <col min="7" max="7" width="16" style="4025" customWidth="1"/>
    <col min="8" max="10" width="7" style="4025"/>
    <col min="11" max="11" width="26.21875" style="4025" customWidth="1"/>
    <col min="12" max="14" width="13.109375" style="4038" customWidth="1"/>
    <col min="15" max="15" width="16.21875" style="4038" customWidth="1"/>
    <col min="16" max="16" width="65.109375" style="4025" customWidth="1"/>
    <col min="17" max="17" width="14.44140625" style="4025" customWidth="1"/>
    <col min="18" max="18" width="9.33203125" style="4038" customWidth="1"/>
    <col min="19" max="19" width="11.21875" style="4038" customWidth="1"/>
    <col min="20" max="20" width="7" style="4038"/>
    <col min="21" max="21" width="9.88671875" style="4038" customWidth="1"/>
    <col min="22" max="16384" width="7" style="4025"/>
  </cols>
  <sheetData>
    <row r="1" spans="1:30 16360:16373" s="3988" customFormat="1" ht="54" customHeight="1">
      <c r="A1" s="4042" t="s">
        <v>3275</v>
      </c>
      <c r="B1" s="4042" t="s">
        <v>3276</v>
      </c>
      <c r="C1" s="4042" t="s">
        <v>3277</v>
      </c>
      <c r="D1" s="4042" t="s">
        <v>3278</v>
      </c>
      <c r="E1" s="3984" t="s">
        <v>3279</v>
      </c>
      <c r="F1" s="3985" t="s">
        <v>3280</v>
      </c>
      <c r="G1" s="3984" t="s">
        <v>3281</v>
      </c>
      <c r="H1" s="3984" t="s">
        <v>3282</v>
      </c>
      <c r="I1" s="3985" t="s">
        <v>3283</v>
      </c>
      <c r="J1" s="3984" t="s">
        <v>3284</v>
      </c>
      <c r="K1" s="3984" t="s">
        <v>3285</v>
      </c>
      <c r="L1" s="4039" t="s">
        <v>3286</v>
      </c>
      <c r="M1" s="4039"/>
      <c r="N1" s="4040" t="s">
        <v>3287</v>
      </c>
      <c r="O1" s="4040" t="s">
        <v>3288</v>
      </c>
      <c r="P1" s="3984" t="s">
        <v>3289</v>
      </c>
      <c r="Q1" s="3985" t="s">
        <v>3290</v>
      </c>
      <c r="R1" s="4027" t="s">
        <v>3291</v>
      </c>
      <c r="S1" s="4027" t="s">
        <v>3292</v>
      </c>
      <c r="T1" s="4027" t="s">
        <v>3293</v>
      </c>
      <c r="U1" s="4027" t="s">
        <v>3294</v>
      </c>
      <c r="V1" s="3986"/>
      <c r="W1" s="3986"/>
      <c r="X1" s="3987"/>
      <c r="Y1" s="3987"/>
      <c r="Z1" s="3987"/>
      <c r="AA1" s="3987"/>
      <c r="AB1" s="3987"/>
    </row>
    <row r="2" spans="1:30 16360:16373" s="3988" customFormat="1" ht="69.900000000000006" customHeight="1">
      <c r="A2" s="4042"/>
      <c r="B2" s="4042"/>
      <c r="C2" s="4042"/>
      <c r="D2" s="4042"/>
      <c r="E2" s="3984"/>
      <c r="F2" s="3985"/>
      <c r="G2" s="3984"/>
      <c r="H2" s="3984"/>
      <c r="I2" s="3985"/>
      <c r="J2" s="3984"/>
      <c r="K2" s="3984"/>
      <c r="L2" s="4041" t="s">
        <v>3295</v>
      </c>
      <c r="M2" s="4041" t="s">
        <v>3296</v>
      </c>
      <c r="N2" s="4040"/>
      <c r="O2" s="4042"/>
      <c r="P2" s="3984"/>
      <c r="Q2" s="3984"/>
      <c r="R2" s="4028"/>
      <c r="S2" s="4028"/>
      <c r="T2" s="4028"/>
      <c r="U2" s="4028"/>
      <c r="V2" s="3986"/>
      <c r="W2" s="3986"/>
      <c r="X2" s="3987"/>
      <c r="Y2" s="3987"/>
      <c r="Z2" s="3987"/>
      <c r="AA2" s="3987"/>
      <c r="AB2" s="3987"/>
    </row>
    <row r="3" spans="1:30 16360:16373" s="3988" customFormat="1" ht="147" hidden="1" customHeight="1">
      <c r="A3" s="4052">
        <v>489</v>
      </c>
      <c r="B3" s="4053">
        <v>2023</v>
      </c>
      <c r="C3" s="4054">
        <v>2</v>
      </c>
      <c r="D3" s="4054">
        <v>1</v>
      </c>
      <c r="E3" s="3989" t="s">
        <v>3297</v>
      </c>
      <c r="F3" s="3989" t="s">
        <v>3298</v>
      </c>
      <c r="G3" s="3990" t="s">
        <v>3299</v>
      </c>
      <c r="H3" s="3990" t="s">
        <v>3300</v>
      </c>
      <c r="I3" s="3990" t="s">
        <v>3301</v>
      </c>
      <c r="J3" s="3990" t="s">
        <v>3302</v>
      </c>
      <c r="K3" s="3990" t="s">
        <v>3303</v>
      </c>
      <c r="L3" s="4043">
        <v>6.84</v>
      </c>
      <c r="M3" s="4043">
        <v>6.84</v>
      </c>
      <c r="N3" s="4043">
        <v>19.14</v>
      </c>
      <c r="O3" s="4044" t="s">
        <v>3304</v>
      </c>
      <c r="P3" s="3990" t="s">
        <v>3305</v>
      </c>
      <c r="Q3" s="3990" t="s">
        <v>3306</v>
      </c>
      <c r="R3" s="4029"/>
      <c r="S3" s="4029"/>
      <c r="T3" s="4029">
        <v>59836.13</v>
      </c>
      <c r="U3" s="4029">
        <f>ROUND((R3+S3+T3)/L3,0)</f>
        <v>8748</v>
      </c>
      <c r="V3" s="3987"/>
      <c r="W3" s="3987"/>
      <c r="X3" s="3987"/>
      <c r="Y3" s="3987"/>
      <c r="AA3" s="3987"/>
      <c r="AB3" s="3987"/>
      <c r="AC3" s="3987"/>
      <c r="AD3" s="3987"/>
    </row>
    <row r="4" spans="1:30 16360:16373" s="3988" customFormat="1" ht="153" hidden="1" customHeight="1">
      <c r="A4" s="4052">
        <v>485</v>
      </c>
      <c r="B4" s="4053">
        <v>2022</v>
      </c>
      <c r="C4" s="4054">
        <v>7</v>
      </c>
      <c r="D4" s="4054">
        <v>2</v>
      </c>
      <c r="E4" s="3989" t="s">
        <v>3307</v>
      </c>
      <c r="F4" s="3989" t="s">
        <v>3298</v>
      </c>
      <c r="G4" s="3990" t="s">
        <v>3308</v>
      </c>
      <c r="H4" s="3990" t="s">
        <v>3309</v>
      </c>
      <c r="I4" s="3990" t="s">
        <v>3310</v>
      </c>
      <c r="J4" s="3990" t="s">
        <v>3311</v>
      </c>
      <c r="K4" s="3990" t="s">
        <v>3312</v>
      </c>
      <c r="L4" s="4043">
        <v>6.78</v>
      </c>
      <c r="M4" s="4043">
        <v>6.78</v>
      </c>
      <c r="N4" s="4043">
        <v>29.81</v>
      </c>
      <c r="O4" s="4043">
        <v>369134.5</v>
      </c>
      <c r="P4" s="3991" t="s">
        <v>3313</v>
      </c>
      <c r="Q4" s="3990" t="s">
        <v>3314</v>
      </c>
      <c r="R4" s="4029">
        <v>219393.41</v>
      </c>
      <c r="S4" s="4029">
        <v>665110.97</v>
      </c>
      <c r="T4" s="4029"/>
      <c r="U4" s="4029">
        <f t="shared" ref="U4:U31" si="0">ROUND((R4+S4+T4)/L4,0)</f>
        <v>130458</v>
      </c>
      <c r="V4" s="3987"/>
      <c r="W4" s="3987"/>
      <c r="X4" s="3987"/>
      <c r="Y4" s="3987"/>
      <c r="AA4" s="3987"/>
      <c r="AB4" s="3987"/>
      <c r="AC4" s="3987"/>
      <c r="AD4" s="3987"/>
    </row>
    <row r="5" spans="1:30 16360:16373" s="3988" customFormat="1" ht="153" hidden="1" customHeight="1">
      <c r="A5" s="4052">
        <v>484</v>
      </c>
      <c r="B5" s="4053">
        <v>2022</v>
      </c>
      <c r="C5" s="4033">
        <v>7</v>
      </c>
      <c r="D5" s="4054">
        <v>1</v>
      </c>
      <c r="E5" s="3989" t="s">
        <v>3315</v>
      </c>
      <c r="F5" s="3989" t="s">
        <v>3298</v>
      </c>
      <c r="G5" s="3990" t="s">
        <v>3316</v>
      </c>
      <c r="H5" s="3990" t="s">
        <v>3317</v>
      </c>
      <c r="I5" s="3990" t="s">
        <v>3310</v>
      </c>
      <c r="J5" s="3990" t="s">
        <v>3318</v>
      </c>
      <c r="K5" s="3990" t="s">
        <v>3319</v>
      </c>
      <c r="L5" s="4043">
        <v>1.206</v>
      </c>
      <c r="M5" s="4043">
        <v>1.21</v>
      </c>
      <c r="N5" s="4043">
        <v>3.0150000000000001</v>
      </c>
      <c r="O5" s="4043">
        <v>99495.41</v>
      </c>
      <c r="P5" s="3991" t="s">
        <v>3320</v>
      </c>
      <c r="Q5" s="3990" t="s">
        <v>3314</v>
      </c>
      <c r="R5" s="4029">
        <v>1369882.47</v>
      </c>
      <c r="S5" s="4029">
        <v>2146520.88</v>
      </c>
      <c r="T5" s="4029"/>
      <c r="U5" s="4029">
        <f t="shared" si="0"/>
        <v>2915757</v>
      </c>
      <c r="V5" s="3987"/>
      <c r="W5" s="3987"/>
      <c r="X5" s="3987"/>
      <c r="Y5" s="3987"/>
      <c r="AA5" s="3987"/>
      <c r="AB5" s="3987"/>
      <c r="AC5" s="3987"/>
      <c r="AD5" s="3987"/>
    </row>
    <row r="6" spans="1:30 16360:16373" s="3988" customFormat="1" ht="153" hidden="1" customHeight="1">
      <c r="A6" s="4052">
        <v>480</v>
      </c>
      <c r="B6" s="4053">
        <v>2022</v>
      </c>
      <c r="C6" s="4033">
        <v>6</v>
      </c>
      <c r="D6" s="4054">
        <v>1</v>
      </c>
      <c r="E6" s="3989" t="s">
        <v>3307</v>
      </c>
      <c r="F6" s="3989" t="s">
        <v>3298</v>
      </c>
      <c r="G6" s="3990" t="s">
        <v>3321</v>
      </c>
      <c r="H6" s="3990" t="s">
        <v>3322</v>
      </c>
      <c r="I6" s="3990" t="s">
        <v>3310</v>
      </c>
      <c r="J6" s="3990" t="s">
        <v>3323</v>
      </c>
      <c r="K6" s="3990" t="s">
        <v>3324</v>
      </c>
      <c r="L6" s="4043">
        <v>3.91</v>
      </c>
      <c r="M6" s="4043">
        <v>3.91</v>
      </c>
      <c r="N6" s="4043">
        <v>15.64</v>
      </c>
      <c r="O6" s="4043">
        <v>180567.4</v>
      </c>
      <c r="P6" s="3991" t="s">
        <v>3325</v>
      </c>
      <c r="Q6" s="3990" t="s">
        <v>3314</v>
      </c>
      <c r="R6" s="4029">
        <v>184597.92</v>
      </c>
      <c r="S6" s="4029">
        <v>450250.58</v>
      </c>
      <c r="T6" s="4029"/>
      <c r="U6" s="4029">
        <f t="shared" si="0"/>
        <v>162365</v>
      </c>
      <c r="V6" s="3987"/>
      <c r="W6" s="3987"/>
      <c r="X6" s="3987"/>
      <c r="Y6" s="3987"/>
      <c r="AA6" s="3987"/>
      <c r="AB6" s="3987"/>
      <c r="AC6" s="3987"/>
      <c r="AD6" s="3987"/>
    </row>
    <row r="7" spans="1:30 16360:16373" s="3988" customFormat="1" ht="153" hidden="1" customHeight="1">
      <c r="A7" s="4052">
        <v>479</v>
      </c>
      <c r="B7" s="4053">
        <v>2022</v>
      </c>
      <c r="C7" s="4033">
        <v>5</v>
      </c>
      <c r="D7" s="4054">
        <v>3</v>
      </c>
      <c r="E7" s="3989" t="s">
        <v>3297</v>
      </c>
      <c r="F7" s="3989" t="s">
        <v>3298</v>
      </c>
      <c r="G7" s="3990" t="s">
        <v>3326</v>
      </c>
      <c r="H7" s="3990" t="s">
        <v>3327</v>
      </c>
      <c r="I7" s="3990" t="s">
        <v>3310</v>
      </c>
      <c r="J7" s="3990" t="s">
        <v>3318</v>
      </c>
      <c r="K7" s="3990" t="s">
        <v>3328</v>
      </c>
      <c r="L7" s="4043">
        <v>3.06</v>
      </c>
      <c r="M7" s="4043">
        <v>3.06</v>
      </c>
      <c r="N7" s="4043">
        <v>7.09</v>
      </c>
      <c r="O7" s="4043">
        <v>224985.63</v>
      </c>
      <c r="P7" s="3991" t="s">
        <v>3329</v>
      </c>
      <c r="Q7" s="3990" t="s">
        <v>3314</v>
      </c>
      <c r="R7" s="4029">
        <v>23289.16</v>
      </c>
      <c r="S7" s="4029">
        <v>637418.47</v>
      </c>
      <c r="T7" s="4029"/>
      <c r="U7" s="4029">
        <f t="shared" si="0"/>
        <v>215918</v>
      </c>
      <c r="V7" s="3987"/>
      <c r="W7" s="3987"/>
      <c r="X7" s="3987"/>
      <c r="Y7" s="3987"/>
      <c r="AA7" s="3987"/>
      <c r="AB7" s="3987"/>
      <c r="AC7" s="3987"/>
      <c r="AD7" s="3987"/>
    </row>
    <row r="8" spans="1:30 16360:16373" s="3988" customFormat="1" ht="153" hidden="1" customHeight="1">
      <c r="A8" s="4052">
        <v>478</v>
      </c>
      <c r="B8" s="4053">
        <v>2022</v>
      </c>
      <c r="C8" s="4033">
        <v>5</v>
      </c>
      <c r="D8" s="4054">
        <v>2</v>
      </c>
      <c r="E8" s="3989" t="s">
        <v>3297</v>
      </c>
      <c r="F8" s="3989" t="s">
        <v>3298</v>
      </c>
      <c r="G8" s="3990" t="s">
        <v>3330</v>
      </c>
      <c r="H8" s="3990" t="s">
        <v>3331</v>
      </c>
      <c r="I8" s="3990" t="s">
        <v>3310</v>
      </c>
      <c r="J8" s="3990" t="s">
        <v>3332</v>
      </c>
      <c r="K8" s="3990" t="s">
        <v>3333</v>
      </c>
      <c r="L8" s="4043">
        <v>2.61</v>
      </c>
      <c r="M8" s="4043">
        <v>2.61</v>
      </c>
      <c r="N8" s="4043">
        <v>6.02</v>
      </c>
      <c r="O8" s="4043">
        <v>190935.2</v>
      </c>
      <c r="P8" s="3991" t="s">
        <v>3334</v>
      </c>
      <c r="Q8" s="3990" t="s">
        <v>3314</v>
      </c>
      <c r="R8" s="4029">
        <v>9356.91</v>
      </c>
      <c r="S8" s="4029">
        <v>554753.47</v>
      </c>
      <c r="T8" s="4029"/>
      <c r="U8" s="4029">
        <f t="shared" si="0"/>
        <v>216134</v>
      </c>
      <c r="V8" s="3987"/>
      <c r="W8" s="3987"/>
      <c r="X8" s="3987"/>
      <c r="Y8" s="3987"/>
      <c r="AA8" s="3987"/>
      <c r="AB8" s="3987"/>
      <c r="AC8" s="3987"/>
      <c r="AD8" s="3987"/>
    </row>
    <row r="9" spans="1:30 16360:16373" s="3988" customFormat="1" ht="153" customHeight="1">
      <c r="A9" s="4055">
        <v>477</v>
      </c>
      <c r="B9" s="4056">
        <v>2022</v>
      </c>
      <c r="C9" s="4057">
        <v>5</v>
      </c>
      <c r="D9" s="4058">
        <v>1</v>
      </c>
      <c r="E9" s="3992" t="s">
        <v>3307</v>
      </c>
      <c r="F9" s="3992" t="s">
        <v>3298</v>
      </c>
      <c r="G9" s="3993" t="s">
        <v>3335</v>
      </c>
      <c r="H9" s="3993" t="s">
        <v>3336</v>
      </c>
      <c r="I9" s="3993" t="s">
        <v>3310</v>
      </c>
      <c r="J9" s="3993" t="s">
        <v>3337</v>
      </c>
      <c r="K9" s="3993" t="s">
        <v>3338</v>
      </c>
      <c r="L9" s="4026">
        <v>25.36</v>
      </c>
      <c r="M9" s="4026">
        <v>14.27</v>
      </c>
      <c r="N9" s="4026">
        <v>15.49</v>
      </c>
      <c r="O9" s="4026">
        <v>270087.59999999998</v>
      </c>
      <c r="P9" s="3994" t="s">
        <v>3339</v>
      </c>
      <c r="Q9" s="3993" t="s">
        <v>3314</v>
      </c>
      <c r="R9" s="4030">
        <v>153448.47</v>
      </c>
      <c r="S9" s="4030">
        <v>445653.63</v>
      </c>
      <c r="T9" s="4030"/>
      <c r="U9" s="4030">
        <f t="shared" si="0"/>
        <v>23624</v>
      </c>
      <c r="V9" s="3987"/>
      <c r="W9" s="3987"/>
      <c r="X9" s="3987"/>
      <c r="Y9" s="3987"/>
      <c r="AA9" s="3987"/>
      <c r="AB9" s="3987"/>
      <c r="AC9" s="3987"/>
      <c r="AD9" s="3987"/>
    </row>
    <row r="10" spans="1:30 16360:16373" s="3988" customFormat="1" ht="153" hidden="1" customHeight="1">
      <c r="A10" s="4052">
        <v>473</v>
      </c>
      <c r="B10" s="4053">
        <v>2022</v>
      </c>
      <c r="C10" s="4033">
        <v>4</v>
      </c>
      <c r="D10" s="4059">
        <v>2</v>
      </c>
      <c r="E10" s="3995" t="s">
        <v>3307</v>
      </c>
      <c r="F10" s="3995" t="s">
        <v>3298</v>
      </c>
      <c r="G10" s="3996" t="s">
        <v>3340</v>
      </c>
      <c r="H10" s="3997" t="s">
        <v>3341</v>
      </c>
      <c r="I10" s="3997" t="s">
        <v>3310</v>
      </c>
      <c r="J10" s="3997" t="s">
        <v>3318</v>
      </c>
      <c r="K10" s="3998" t="s">
        <v>3342</v>
      </c>
      <c r="L10" s="4032">
        <v>2.2200000000000002</v>
      </c>
      <c r="M10" s="4032">
        <v>2.2200000000000002</v>
      </c>
      <c r="N10" s="4032">
        <v>5.55</v>
      </c>
      <c r="O10" s="4032">
        <v>286000</v>
      </c>
      <c r="P10" s="3999" t="s">
        <v>3343</v>
      </c>
      <c r="Q10" s="4000" t="s">
        <v>3344</v>
      </c>
      <c r="R10" s="4029"/>
      <c r="S10" s="4029"/>
      <c r="T10" s="4029"/>
      <c r="U10" s="4029">
        <f t="shared" si="0"/>
        <v>0</v>
      </c>
      <c r="V10" s="3987"/>
      <c r="W10" s="3987"/>
      <c r="X10" s="3987"/>
      <c r="Y10" s="3987"/>
      <c r="AA10" s="3987"/>
      <c r="AB10" s="3987"/>
      <c r="AC10" s="3987"/>
      <c r="AD10" s="3987"/>
    </row>
    <row r="11" spans="1:30 16360:16373" s="3988" customFormat="1" ht="153" hidden="1" customHeight="1">
      <c r="A11" s="4052">
        <v>472</v>
      </c>
      <c r="B11" s="4053">
        <v>2022</v>
      </c>
      <c r="C11" s="4033">
        <v>4</v>
      </c>
      <c r="D11" s="4059">
        <v>1</v>
      </c>
      <c r="E11" s="3997" t="s">
        <v>3307</v>
      </c>
      <c r="F11" s="3997" t="s">
        <v>3298</v>
      </c>
      <c r="G11" s="3997" t="s">
        <v>3345</v>
      </c>
      <c r="H11" s="3997" t="s">
        <v>3346</v>
      </c>
      <c r="I11" s="3997" t="s">
        <v>3310</v>
      </c>
      <c r="J11" s="3997" t="s">
        <v>3347</v>
      </c>
      <c r="K11" s="3997" t="s">
        <v>3348</v>
      </c>
      <c r="L11" s="4032">
        <v>9.06</v>
      </c>
      <c r="M11" s="4032">
        <v>9.06</v>
      </c>
      <c r="N11" s="4044">
        <v>19.690000000000001</v>
      </c>
      <c r="O11" s="4044">
        <v>619848.4</v>
      </c>
      <c r="P11" s="4001" t="s">
        <v>3349</v>
      </c>
      <c r="Q11" s="4001" t="s">
        <v>3314</v>
      </c>
      <c r="R11" s="4029">
        <v>254796.04</v>
      </c>
      <c r="S11" s="4029">
        <v>1336182</v>
      </c>
      <c r="T11" s="4029"/>
      <c r="U11" s="4029">
        <f t="shared" si="0"/>
        <v>175605</v>
      </c>
      <c r="V11" s="3987"/>
      <c r="W11" s="3987"/>
      <c r="X11" s="3987"/>
      <c r="Y11" s="3987"/>
      <c r="AA11" s="3987"/>
      <c r="AB11" s="3987"/>
      <c r="AC11" s="3987"/>
      <c r="AD11" s="3987"/>
    </row>
    <row r="12" spans="1:30 16360:16373" s="4005" customFormat="1" ht="219" hidden="1" customHeight="1">
      <c r="A12" s="4052">
        <v>466</v>
      </c>
      <c r="B12" s="4053">
        <v>2022</v>
      </c>
      <c r="C12" s="4052">
        <v>2</v>
      </c>
      <c r="D12" s="4032">
        <v>4</v>
      </c>
      <c r="E12" s="3997" t="s">
        <v>3315</v>
      </c>
      <c r="F12" s="3997" t="s">
        <v>3298</v>
      </c>
      <c r="G12" s="3997" t="s">
        <v>3350</v>
      </c>
      <c r="H12" s="3997" t="s">
        <v>3351</v>
      </c>
      <c r="I12" s="3997" t="s">
        <v>3310</v>
      </c>
      <c r="J12" s="3997" t="s">
        <v>3352</v>
      </c>
      <c r="K12" s="4002" t="s">
        <v>3353</v>
      </c>
      <c r="L12" s="4032">
        <v>9.49</v>
      </c>
      <c r="M12" s="4032">
        <v>6.28</v>
      </c>
      <c r="N12" s="4044">
        <v>27.55</v>
      </c>
      <c r="O12" s="4044">
        <v>512430</v>
      </c>
      <c r="P12" s="4003" t="s">
        <v>3354</v>
      </c>
      <c r="Q12" s="4004" t="s">
        <v>3355</v>
      </c>
      <c r="R12" s="4031">
        <v>0</v>
      </c>
      <c r="S12" s="4032">
        <v>6102.22</v>
      </c>
      <c r="T12" s="4033"/>
      <c r="U12" s="4029">
        <f t="shared" si="0"/>
        <v>643</v>
      </c>
      <c r="XEF12" s="4006"/>
      <c r="XEG12" s="4006"/>
      <c r="XEH12" s="4006"/>
      <c r="XEI12" s="4006"/>
      <c r="XEJ12" s="4006"/>
      <c r="XEK12" s="4006"/>
      <c r="XEL12" s="4006"/>
      <c r="XEM12" s="4006"/>
      <c r="XEN12" s="4006"/>
      <c r="XEO12" s="4006"/>
      <c r="XEP12" s="4006"/>
      <c r="XEQ12" s="4006"/>
      <c r="XER12" s="4006"/>
      <c r="XES12" s="4006"/>
    </row>
    <row r="13" spans="1:30 16360:16373" s="3988" customFormat="1" ht="153" hidden="1" customHeight="1">
      <c r="A13" s="4052">
        <v>467</v>
      </c>
      <c r="B13" s="4053">
        <v>2022</v>
      </c>
      <c r="C13" s="4029">
        <v>3</v>
      </c>
      <c r="D13" s="4032">
        <v>1</v>
      </c>
      <c r="E13" s="3997" t="s">
        <v>3297</v>
      </c>
      <c r="F13" s="3997" t="s">
        <v>3298</v>
      </c>
      <c r="G13" s="3997" t="s">
        <v>3356</v>
      </c>
      <c r="H13" s="3997" t="s">
        <v>3357</v>
      </c>
      <c r="I13" s="3997" t="s">
        <v>3310</v>
      </c>
      <c r="J13" s="3997" t="s">
        <v>3358</v>
      </c>
      <c r="K13" s="4002" t="s">
        <v>3359</v>
      </c>
      <c r="L13" s="4032">
        <v>8.3000000000000007</v>
      </c>
      <c r="M13" s="4032">
        <v>8.3000000000000007</v>
      </c>
      <c r="N13" s="4044">
        <v>9.9600000000000009</v>
      </c>
      <c r="O13" s="4044">
        <v>185814.92</v>
      </c>
      <c r="P13" s="4003" t="s">
        <v>3360</v>
      </c>
      <c r="Q13" s="4004" t="s">
        <v>3314</v>
      </c>
      <c r="R13" s="4029">
        <v>197179.87</v>
      </c>
      <c r="S13" s="4029">
        <v>796642.32</v>
      </c>
      <c r="T13" s="4029"/>
      <c r="U13" s="4029">
        <f t="shared" si="0"/>
        <v>119738</v>
      </c>
    </row>
    <row r="14" spans="1:30 16360:16373" s="3988" customFormat="1" ht="153" customHeight="1">
      <c r="A14" s="4055">
        <v>468</v>
      </c>
      <c r="B14" s="4056">
        <v>2022</v>
      </c>
      <c r="C14" s="4030">
        <v>3</v>
      </c>
      <c r="D14" s="4045">
        <v>2</v>
      </c>
      <c r="E14" s="4007" t="s">
        <v>3297</v>
      </c>
      <c r="F14" s="4007" t="s">
        <v>3298</v>
      </c>
      <c r="G14" s="4007" t="s">
        <v>3361</v>
      </c>
      <c r="H14" s="4007" t="s">
        <v>3362</v>
      </c>
      <c r="I14" s="4007" t="s">
        <v>3310</v>
      </c>
      <c r="J14" s="4007" t="s">
        <v>3363</v>
      </c>
      <c r="K14" s="4008" t="s">
        <v>3364</v>
      </c>
      <c r="L14" s="4045">
        <v>6.4</v>
      </c>
      <c r="M14" s="4045">
        <v>6.4</v>
      </c>
      <c r="N14" s="4046">
        <v>19.2</v>
      </c>
      <c r="O14" s="4046">
        <v>142360.32999999999</v>
      </c>
      <c r="P14" s="4009" t="s">
        <v>3365</v>
      </c>
      <c r="Q14" s="4010" t="s">
        <v>3314</v>
      </c>
      <c r="R14" s="4030">
        <v>3085.36</v>
      </c>
      <c r="S14" s="4030">
        <v>194663.4</v>
      </c>
      <c r="T14" s="4030"/>
      <c r="U14" s="4030">
        <f t="shared" si="0"/>
        <v>30898</v>
      </c>
      <c r="V14" s="3987"/>
    </row>
    <row r="15" spans="1:30 16360:16373" s="4006" customFormat="1" ht="234" hidden="1" customHeight="1">
      <c r="A15" s="4053">
        <v>463</v>
      </c>
      <c r="B15" s="4053">
        <v>2022</v>
      </c>
      <c r="C15" s="4053">
        <v>2</v>
      </c>
      <c r="D15" s="4032">
        <v>1</v>
      </c>
      <c r="E15" s="3997" t="s">
        <v>3366</v>
      </c>
      <c r="F15" s="3997" t="s">
        <v>3298</v>
      </c>
      <c r="G15" s="3997" t="s">
        <v>3367</v>
      </c>
      <c r="H15" s="3997" t="s">
        <v>3368</v>
      </c>
      <c r="I15" s="3997" t="s">
        <v>3310</v>
      </c>
      <c r="J15" s="3997" t="s">
        <v>3369</v>
      </c>
      <c r="K15" s="4002" t="s">
        <v>3370</v>
      </c>
      <c r="L15" s="4032">
        <v>3.97</v>
      </c>
      <c r="M15" s="4032">
        <v>3.97</v>
      </c>
      <c r="N15" s="4044">
        <v>6.33</v>
      </c>
      <c r="O15" s="4044">
        <v>192869.86</v>
      </c>
      <c r="P15" s="4003" t="s">
        <v>3371</v>
      </c>
      <c r="Q15" s="4004" t="s">
        <v>3372</v>
      </c>
      <c r="R15" s="4031">
        <v>57435.3</v>
      </c>
      <c r="S15" s="4032">
        <v>311629.83</v>
      </c>
      <c r="T15" s="4029"/>
      <c r="U15" s="4029">
        <f t="shared" si="0"/>
        <v>92964</v>
      </c>
    </row>
    <row r="16" spans="1:30 16360:16373" s="4005" customFormat="1" ht="174.9" hidden="1" customHeight="1">
      <c r="A16" s="4052">
        <v>464</v>
      </c>
      <c r="B16" s="4053">
        <v>2022</v>
      </c>
      <c r="C16" s="4052">
        <v>2</v>
      </c>
      <c r="D16" s="4032">
        <v>2</v>
      </c>
      <c r="E16" s="3997" t="s">
        <v>3315</v>
      </c>
      <c r="F16" s="3997" t="s">
        <v>3298</v>
      </c>
      <c r="G16" s="3997" t="s">
        <v>3373</v>
      </c>
      <c r="H16" s="3997" t="s">
        <v>3351</v>
      </c>
      <c r="I16" s="3997" t="s">
        <v>3310</v>
      </c>
      <c r="J16" s="3997" t="s">
        <v>3318</v>
      </c>
      <c r="K16" s="4002" t="s">
        <v>3374</v>
      </c>
      <c r="L16" s="4032">
        <v>3.45</v>
      </c>
      <c r="M16" s="4032">
        <v>3.45</v>
      </c>
      <c r="N16" s="4044">
        <v>8.6300000000000008</v>
      </c>
      <c r="O16" s="4044">
        <v>319147.2</v>
      </c>
      <c r="P16" s="4003" t="s">
        <v>3375</v>
      </c>
      <c r="Q16" s="4004" t="s">
        <v>3376</v>
      </c>
      <c r="R16" s="4031"/>
      <c r="S16" s="4032"/>
      <c r="T16" s="4033"/>
      <c r="U16" s="4029">
        <f t="shared" si="0"/>
        <v>0</v>
      </c>
      <c r="XEF16" s="4006"/>
      <c r="XEG16" s="4006"/>
      <c r="XEH16" s="4006"/>
      <c r="XEI16" s="4006"/>
      <c r="XEJ16" s="4006"/>
      <c r="XEK16" s="4006"/>
      <c r="XEL16" s="4006"/>
      <c r="XEM16" s="4006"/>
      <c r="XEN16" s="4006"/>
      <c r="XEO16" s="4006"/>
      <c r="XEP16" s="4006"/>
      <c r="XEQ16" s="4006"/>
      <c r="XER16" s="4006"/>
      <c r="XES16" s="4006"/>
    </row>
    <row r="17" spans="1:30 16360:16374" s="4005" customFormat="1" ht="177" hidden="1" customHeight="1">
      <c r="A17" s="4052">
        <v>465</v>
      </c>
      <c r="B17" s="4053">
        <v>2022</v>
      </c>
      <c r="C17" s="4052">
        <v>2</v>
      </c>
      <c r="D17" s="4032">
        <v>3</v>
      </c>
      <c r="E17" s="3997" t="s">
        <v>3315</v>
      </c>
      <c r="F17" s="3997" t="s">
        <v>3298</v>
      </c>
      <c r="G17" s="3997" t="s">
        <v>3377</v>
      </c>
      <c r="H17" s="3997" t="s">
        <v>3378</v>
      </c>
      <c r="I17" s="3997" t="s">
        <v>3310</v>
      </c>
      <c r="J17" s="3997" t="s">
        <v>3318</v>
      </c>
      <c r="K17" s="4002" t="s">
        <v>3379</v>
      </c>
      <c r="L17" s="4032">
        <v>2.7039749</v>
      </c>
      <c r="M17" s="4032">
        <v>2.7039749</v>
      </c>
      <c r="N17" s="4044">
        <f>M17*2.8</f>
        <v>7.5711297199999992</v>
      </c>
      <c r="O17" s="4044">
        <v>469900.95</v>
      </c>
      <c r="P17" s="3999" t="s">
        <v>3380</v>
      </c>
      <c r="Q17" s="4004" t="s">
        <v>3376</v>
      </c>
      <c r="R17" s="4031"/>
      <c r="S17" s="4032"/>
      <c r="T17" s="4033"/>
      <c r="U17" s="4029">
        <f t="shared" si="0"/>
        <v>0</v>
      </c>
      <c r="XEF17" s="4006"/>
      <c r="XEG17" s="4006"/>
      <c r="XEH17" s="4006"/>
      <c r="XEI17" s="4006"/>
      <c r="XEJ17" s="4006"/>
      <c r="XEK17" s="4006"/>
      <c r="XEL17" s="4006"/>
      <c r="XEM17" s="4006"/>
      <c r="XEN17" s="4006"/>
      <c r="XEO17" s="4006"/>
      <c r="XEP17" s="4006"/>
      <c r="XEQ17" s="4006"/>
      <c r="XER17" s="4006"/>
      <c r="XES17" s="4006"/>
    </row>
    <row r="18" spans="1:30 16360:16374" s="4005" customFormat="1" ht="197.1" hidden="1" customHeight="1">
      <c r="A18" s="4052">
        <v>470</v>
      </c>
      <c r="B18" s="4053">
        <v>2022</v>
      </c>
      <c r="C18" s="4053">
        <v>1</v>
      </c>
      <c r="D18" s="4032">
        <v>7</v>
      </c>
      <c r="E18" s="3997" t="s">
        <v>3381</v>
      </c>
      <c r="F18" s="3997" t="s">
        <v>3298</v>
      </c>
      <c r="G18" s="3997" t="s">
        <v>3382</v>
      </c>
      <c r="H18" s="3997" t="s">
        <v>3383</v>
      </c>
      <c r="I18" s="3997" t="s">
        <v>3310</v>
      </c>
      <c r="J18" s="3997" t="s">
        <v>3384</v>
      </c>
      <c r="K18" s="3998" t="s">
        <v>3385</v>
      </c>
      <c r="L18" s="4032">
        <v>5.82</v>
      </c>
      <c r="M18" s="4032">
        <v>4.2354000000000003</v>
      </c>
      <c r="N18" s="4044">
        <v>10.2188</v>
      </c>
      <c r="O18" s="4044">
        <v>172643.91</v>
      </c>
      <c r="P18" s="4003" t="s">
        <v>3386</v>
      </c>
      <c r="Q18" s="4004" t="s">
        <v>3376</v>
      </c>
      <c r="R18" s="4034">
        <v>0</v>
      </c>
      <c r="S18" s="4032">
        <v>31402.51</v>
      </c>
      <c r="T18" s="4033"/>
      <c r="U18" s="4029">
        <f t="shared" si="0"/>
        <v>5396</v>
      </c>
      <c r="XEG18" s="4006"/>
      <c r="XEH18" s="4006"/>
      <c r="XEI18" s="4006"/>
      <c r="XEJ18" s="4006"/>
      <c r="XEK18" s="4006"/>
      <c r="XEL18" s="4006"/>
      <c r="XEM18" s="4006"/>
      <c r="XEN18" s="4006"/>
      <c r="XEO18" s="4006"/>
      <c r="XEP18" s="4006"/>
      <c r="XEQ18" s="4006"/>
      <c r="XER18" s="4006"/>
      <c r="XES18" s="4006"/>
      <c r="XET18" s="4006"/>
    </row>
    <row r="19" spans="1:30 16360:16374" s="3988" customFormat="1" ht="168" hidden="1">
      <c r="A19" s="4060">
        <v>463</v>
      </c>
      <c r="B19" s="4029">
        <v>2021</v>
      </c>
      <c r="C19" s="4029">
        <v>10</v>
      </c>
      <c r="D19" s="4032">
        <v>7</v>
      </c>
      <c r="E19" s="3997" t="s">
        <v>3307</v>
      </c>
      <c r="F19" s="3997" t="s">
        <v>3298</v>
      </c>
      <c r="G19" s="3997" t="s">
        <v>3387</v>
      </c>
      <c r="H19" s="3997" t="s">
        <v>3388</v>
      </c>
      <c r="I19" s="3997" t="s">
        <v>3310</v>
      </c>
      <c r="J19" s="3997" t="s">
        <v>3389</v>
      </c>
      <c r="K19" s="4002" t="s">
        <v>3390</v>
      </c>
      <c r="L19" s="4044">
        <v>4.72</v>
      </c>
      <c r="M19" s="4044">
        <v>4.72</v>
      </c>
      <c r="N19" s="4044">
        <v>11.96</v>
      </c>
      <c r="O19" s="4044">
        <v>206098.15</v>
      </c>
      <c r="P19" s="4011" t="s">
        <v>3391</v>
      </c>
      <c r="Q19" s="4012" t="s">
        <v>3392</v>
      </c>
      <c r="R19" s="4029">
        <v>110467.13</v>
      </c>
      <c r="S19" s="4029">
        <v>52283.35</v>
      </c>
      <c r="T19" s="4029"/>
      <c r="U19" s="4029">
        <f t="shared" si="0"/>
        <v>34481</v>
      </c>
      <c r="V19" s="3987"/>
      <c r="W19" s="3987"/>
      <c r="X19" s="3987"/>
      <c r="Y19" s="3987"/>
      <c r="Z19" s="3987"/>
      <c r="AA19" s="3987"/>
      <c r="AB19" s="3987"/>
      <c r="AC19" s="3987"/>
      <c r="AD19" s="3987"/>
    </row>
    <row r="20" spans="1:30 16360:16374" s="4006" customFormat="1" ht="177.9" hidden="1" customHeight="1">
      <c r="A20" s="4053">
        <v>464</v>
      </c>
      <c r="B20" s="4053">
        <v>2022</v>
      </c>
      <c r="C20" s="4053">
        <v>1</v>
      </c>
      <c r="D20" s="4032">
        <v>1</v>
      </c>
      <c r="E20" s="3997" t="s">
        <v>3307</v>
      </c>
      <c r="F20" s="3997" t="s">
        <v>3298</v>
      </c>
      <c r="G20" s="3995" t="s">
        <v>3393</v>
      </c>
      <c r="H20" s="3995" t="s">
        <v>3394</v>
      </c>
      <c r="I20" s="3995" t="s">
        <v>3310</v>
      </c>
      <c r="J20" s="3998" t="s">
        <v>3395</v>
      </c>
      <c r="K20" s="4002" t="s">
        <v>3396</v>
      </c>
      <c r="L20" s="4032">
        <v>6.39</v>
      </c>
      <c r="M20" s="4032">
        <v>6.39</v>
      </c>
      <c r="N20" s="4035">
        <v>20.63</v>
      </c>
      <c r="O20" s="4032">
        <v>601170.94999999995</v>
      </c>
      <c r="P20" s="4013" t="s">
        <v>3397</v>
      </c>
      <c r="Q20" s="4004" t="s">
        <v>3398</v>
      </c>
      <c r="R20" s="4034">
        <v>132946.32</v>
      </c>
      <c r="S20" s="4035">
        <v>619243.69999999995</v>
      </c>
      <c r="T20" s="4029"/>
      <c r="U20" s="4029">
        <f t="shared" si="0"/>
        <v>117714</v>
      </c>
    </row>
    <row r="21" spans="1:30 16360:16374" s="3988" customFormat="1" ht="180" hidden="1">
      <c r="A21" s="4060">
        <v>457</v>
      </c>
      <c r="B21" s="4029">
        <v>2021</v>
      </c>
      <c r="C21" s="4029">
        <v>10</v>
      </c>
      <c r="D21" s="4032">
        <v>1</v>
      </c>
      <c r="E21" s="3997" t="s">
        <v>3381</v>
      </c>
      <c r="F21" s="3997" t="s">
        <v>3298</v>
      </c>
      <c r="G21" s="3997" t="s">
        <v>3399</v>
      </c>
      <c r="H21" s="3997" t="s">
        <v>3400</v>
      </c>
      <c r="I21" s="3997" t="s">
        <v>3310</v>
      </c>
      <c r="J21" s="3997" t="s">
        <v>3401</v>
      </c>
      <c r="K21" s="4002" t="s">
        <v>3402</v>
      </c>
      <c r="L21" s="4032">
        <v>8.19</v>
      </c>
      <c r="M21" s="4032">
        <v>8.19</v>
      </c>
      <c r="N21" s="4044">
        <v>24.41</v>
      </c>
      <c r="O21" s="4044">
        <v>536145.78</v>
      </c>
      <c r="P21" s="4003" t="s">
        <v>3403</v>
      </c>
      <c r="Q21" s="4004" t="s">
        <v>3404</v>
      </c>
      <c r="R21" s="4029">
        <v>99703.11</v>
      </c>
      <c r="S21" s="4029">
        <v>2369274.59</v>
      </c>
      <c r="T21" s="4029"/>
      <c r="U21" s="4029">
        <f t="shared" si="0"/>
        <v>301462</v>
      </c>
      <c r="V21" s="3987"/>
      <c r="W21" s="3987"/>
      <c r="X21" s="3987"/>
      <c r="Y21" s="3987"/>
      <c r="Z21" s="3987"/>
      <c r="AA21" s="3987"/>
      <c r="AB21" s="3987"/>
      <c r="AC21" s="3987"/>
      <c r="AD21" s="3987"/>
    </row>
    <row r="22" spans="1:30 16360:16374" s="3988" customFormat="1" ht="192" hidden="1">
      <c r="A22" s="4060">
        <v>452</v>
      </c>
      <c r="B22" s="4053">
        <v>2021</v>
      </c>
      <c r="C22" s="4029">
        <v>9</v>
      </c>
      <c r="D22" s="4035">
        <v>1</v>
      </c>
      <c r="E22" s="3995" t="s">
        <v>3381</v>
      </c>
      <c r="F22" s="3995" t="s">
        <v>3298</v>
      </c>
      <c r="G22" s="3995" t="s">
        <v>3405</v>
      </c>
      <c r="H22" s="3995" t="s">
        <v>3362</v>
      </c>
      <c r="I22" s="3995" t="s">
        <v>3310</v>
      </c>
      <c r="J22" s="3995" t="s">
        <v>3406</v>
      </c>
      <c r="K22" s="3998" t="s">
        <v>3407</v>
      </c>
      <c r="L22" s="4035">
        <v>7.37</v>
      </c>
      <c r="M22" s="4035">
        <v>7.37</v>
      </c>
      <c r="N22" s="4035">
        <v>9.4600000000000009</v>
      </c>
      <c r="O22" s="4035">
        <v>330467.826</v>
      </c>
      <c r="P22" s="3999" t="s">
        <v>3408</v>
      </c>
      <c r="Q22" s="4012" t="s">
        <v>3404</v>
      </c>
      <c r="R22" s="4029">
        <v>175071.66</v>
      </c>
      <c r="S22" s="4029">
        <v>755086.95</v>
      </c>
      <c r="T22" s="4029"/>
      <c r="U22" s="4029">
        <f t="shared" si="0"/>
        <v>126209</v>
      </c>
      <c r="V22" s="3987"/>
      <c r="W22" s="3987"/>
      <c r="X22" s="3987"/>
      <c r="Y22" s="3987"/>
      <c r="Z22" s="3987"/>
      <c r="AA22" s="3987"/>
      <c r="AB22" s="3987"/>
      <c r="AC22" s="3987"/>
      <c r="AD22" s="3987"/>
    </row>
    <row r="23" spans="1:30 16360:16374" s="4017" customFormat="1" ht="165" hidden="1" customHeight="1">
      <c r="A23" s="4060">
        <v>449</v>
      </c>
      <c r="B23" s="4060">
        <v>2021</v>
      </c>
      <c r="C23" s="4060">
        <v>8</v>
      </c>
      <c r="D23" s="4060">
        <v>1</v>
      </c>
      <c r="E23" s="4004" t="s">
        <v>3315</v>
      </c>
      <c r="F23" s="4004" t="s">
        <v>3298</v>
      </c>
      <c r="G23" s="4004" t="s">
        <v>3409</v>
      </c>
      <c r="H23" s="4014" t="s">
        <v>3410</v>
      </c>
      <c r="I23" s="4014" t="s">
        <v>3310</v>
      </c>
      <c r="J23" s="4012" t="s">
        <v>3352</v>
      </c>
      <c r="K23" s="4004" t="s">
        <v>3411</v>
      </c>
      <c r="L23" s="4035">
        <v>1.06</v>
      </c>
      <c r="M23" s="4035">
        <v>1.06</v>
      </c>
      <c r="N23" s="4035">
        <v>4.7699999999999996</v>
      </c>
      <c r="O23" s="4047">
        <v>101206.89</v>
      </c>
      <c r="P23" s="4015" t="s">
        <v>3412</v>
      </c>
      <c r="Q23" s="4016" t="s">
        <v>3413</v>
      </c>
      <c r="R23" s="4036">
        <v>7692.23</v>
      </c>
      <c r="S23" s="4037">
        <v>112470.68</v>
      </c>
      <c r="T23" s="4031"/>
      <c r="U23" s="4029">
        <f t="shared" si="0"/>
        <v>113361</v>
      </c>
    </row>
    <row r="24" spans="1:30 16360:16374" s="3988" customFormat="1" ht="144" hidden="1">
      <c r="A24" s="4060">
        <v>443</v>
      </c>
      <c r="B24" s="4061">
        <v>2021</v>
      </c>
      <c r="C24" s="4029">
        <v>5</v>
      </c>
      <c r="D24" s="4061">
        <v>3</v>
      </c>
      <c r="E24" s="4014" t="s">
        <v>3414</v>
      </c>
      <c r="F24" s="4014" t="s">
        <v>3298</v>
      </c>
      <c r="G24" s="4000" t="s">
        <v>3415</v>
      </c>
      <c r="H24" s="4004" t="s">
        <v>3416</v>
      </c>
      <c r="I24" s="4004" t="s">
        <v>3417</v>
      </c>
      <c r="J24" s="4004" t="s">
        <v>3418</v>
      </c>
      <c r="K24" s="4000" t="s">
        <v>3419</v>
      </c>
      <c r="L24" s="4047">
        <v>1.63</v>
      </c>
      <c r="M24" s="4047">
        <v>0.6</v>
      </c>
      <c r="N24" s="4047">
        <v>1.5</v>
      </c>
      <c r="O24" s="4047">
        <v>13978.26</v>
      </c>
      <c r="P24" s="4018" t="s">
        <v>3420</v>
      </c>
      <c r="Q24" s="4004" t="s">
        <v>3421</v>
      </c>
      <c r="R24" s="4029"/>
      <c r="S24" s="4029"/>
      <c r="T24" s="4029"/>
      <c r="U24" s="4029">
        <f t="shared" si="0"/>
        <v>0</v>
      </c>
      <c r="V24" s="3987"/>
      <c r="W24" s="3987"/>
      <c r="X24" s="3987"/>
      <c r="Y24" s="3987"/>
      <c r="Z24" s="3987"/>
      <c r="AA24" s="3987"/>
      <c r="AB24" s="3987"/>
    </row>
    <row r="25" spans="1:30 16360:16374" s="3988" customFormat="1" ht="240">
      <c r="A25" s="4030">
        <v>444</v>
      </c>
      <c r="B25" s="4062">
        <v>2021</v>
      </c>
      <c r="C25" s="4030">
        <v>5</v>
      </c>
      <c r="D25" s="4062">
        <v>4</v>
      </c>
      <c r="E25" s="4019" t="s">
        <v>3366</v>
      </c>
      <c r="F25" s="4019" t="s">
        <v>3298</v>
      </c>
      <c r="G25" s="4020" t="s">
        <v>3422</v>
      </c>
      <c r="H25" s="4010" t="s">
        <v>3423</v>
      </c>
      <c r="I25" s="4010" t="s">
        <v>3310</v>
      </c>
      <c r="J25" s="4010" t="s">
        <v>3424</v>
      </c>
      <c r="K25" s="4020" t="s">
        <v>3425</v>
      </c>
      <c r="L25" s="4048">
        <v>10.75</v>
      </c>
      <c r="M25" s="4048">
        <v>10.75</v>
      </c>
      <c r="N25" s="4048">
        <v>25.43</v>
      </c>
      <c r="O25" s="4048" t="s">
        <v>3426</v>
      </c>
      <c r="P25" s="4021" t="s">
        <v>3427</v>
      </c>
      <c r="Q25" s="4010" t="s">
        <v>3376</v>
      </c>
      <c r="R25" s="4030">
        <v>27401.06</v>
      </c>
      <c r="S25" s="4030">
        <v>252216.46</v>
      </c>
      <c r="T25" s="4030"/>
      <c r="U25" s="4030">
        <f t="shared" si="0"/>
        <v>26011</v>
      </c>
      <c r="V25" s="3987"/>
      <c r="W25" s="3987"/>
      <c r="X25" s="3987"/>
      <c r="Y25" s="3987"/>
      <c r="Z25" s="3987"/>
      <c r="AA25" s="3987"/>
      <c r="AB25" s="3987"/>
    </row>
    <row r="26" spans="1:30 16360:16374" s="3988" customFormat="1" ht="168" hidden="1">
      <c r="A26" s="4060">
        <v>441</v>
      </c>
      <c r="B26" s="4061">
        <v>2021</v>
      </c>
      <c r="C26" s="4029">
        <v>5</v>
      </c>
      <c r="D26" s="4061">
        <v>1</v>
      </c>
      <c r="E26" s="4014" t="s">
        <v>3315</v>
      </c>
      <c r="F26" s="4014" t="s">
        <v>3298</v>
      </c>
      <c r="G26" s="4000" t="s">
        <v>3428</v>
      </c>
      <c r="H26" s="4004" t="s">
        <v>3429</v>
      </c>
      <c r="I26" s="4004" t="s">
        <v>3310</v>
      </c>
      <c r="J26" s="4004" t="s">
        <v>3318</v>
      </c>
      <c r="K26" s="4000" t="s">
        <v>3430</v>
      </c>
      <c r="L26" s="4047">
        <v>3.68</v>
      </c>
      <c r="M26" s="4047">
        <v>3.68</v>
      </c>
      <c r="N26" s="4047">
        <v>9.2100000000000009</v>
      </c>
      <c r="O26" s="4047">
        <v>323155.75</v>
      </c>
      <c r="P26" s="4018" t="s">
        <v>3431</v>
      </c>
      <c r="Q26" s="4004" t="s">
        <v>3432</v>
      </c>
      <c r="R26" s="4029"/>
      <c r="S26" s="4029"/>
      <c r="T26" s="4029"/>
      <c r="U26" s="4029">
        <f t="shared" si="0"/>
        <v>0</v>
      </c>
      <c r="V26" s="3987"/>
      <c r="W26" s="3987"/>
      <c r="X26" s="3987"/>
      <c r="Y26" s="3987"/>
      <c r="Z26" s="3987"/>
      <c r="AA26" s="3987"/>
      <c r="AB26" s="3987"/>
    </row>
    <row r="27" spans="1:30 16360:16374" s="3988" customFormat="1" ht="180" hidden="1">
      <c r="A27" s="4060">
        <v>442</v>
      </c>
      <c r="B27" s="4061">
        <v>2021</v>
      </c>
      <c r="C27" s="4029">
        <v>5</v>
      </c>
      <c r="D27" s="4061">
        <v>2</v>
      </c>
      <c r="E27" s="4014" t="s">
        <v>3315</v>
      </c>
      <c r="F27" s="4014" t="s">
        <v>3298</v>
      </c>
      <c r="G27" s="4000" t="s">
        <v>3433</v>
      </c>
      <c r="H27" s="4004" t="s">
        <v>3429</v>
      </c>
      <c r="I27" s="4004" t="s">
        <v>3310</v>
      </c>
      <c r="J27" s="4004" t="s">
        <v>3318</v>
      </c>
      <c r="K27" s="4000" t="s">
        <v>3434</v>
      </c>
      <c r="L27" s="4047">
        <v>6.19</v>
      </c>
      <c r="M27" s="4047">
        <v>6.19</v>
      </c>
      <c r="N27" s="4047">
        <v>15.47</v>
      </c>
      <c r="O27" s="4047">
        <v>726960</v>
      </c>
      <c r="P27" s="4018" t="s">
        <v>3435</v>
      </c>
      <c r="Q27" s="4004" t="s">
        <v>3436</v>
      </c>
      <c r="R27" s="4029"/>
      <c r="S27" s="4029"/>
      <c r="T27" s="4029"/>
      <c r="U27" s="4029">
        <f t="shared" si="0"/>
        <v>0</v>
      </c>
      <c r="V27" s="3987"/>
      <c r="W27" s="3987"/>
      <c r="X27" s="3987"/>
      <c r="Y27" s="3987"/>
      <c r="Z27" s="3987"/>
      <c r="AA27" s="3987"/>
      <c r="AB27" s="3987"/>
    </row>
    <row r="28" spans="1:30 16360:16374" s="3988" customFormat="1" ht="156" hidden="1">
      <c r="A28" s="4060">
        <v>434</v>
      </c>
      <c r="B28" s="4061">
        <v>2021</v>
      </c>
      <c r="C28" s="4029">
        <v>4</v>
      </c>
      <c r="D28" s="4032">
        <v>3</v>
      </c>
      <c r="E28" s="3997" t="s">
        <v>3307</v>
      </c>
      <c r="F28" s="3997" t="s">
        <v>3298</v>
      </c>
      <c r="G28" s="3997" t="s">
        <v>3437</v>
      </c>
      <c r="H28" s="3997" t="s">
        <v>3438</v>
      </c>
      <c r="I28" s="3997" t="s">
        <v>3310</v>
      </c>
      <c r="J28" s="3997" t="s">
        <v>3439</v>
      </c>
      <c r="K28" s="4002" t="s">
        <v>3440</v>
      </c>
      <c r="L28" s="4049" t="s">
        <v>3441</v>
      </c>
      <c r="M28" s="4049" t="s">
        <v>3442</v>
      </c>
      <c r="N28" s="4032" t="s">
        <v>3443</v>
      </c>
      <c r="O28" s="4032" t="s">
        <v>3444</v>
      </c>
      <c r="P28" s="4018" t="s">
        <v>3445</v>
      </c>
      <c r="Q28" s="4004" t="s">
        <v>3446</v>
      </c>
      <c r="R28" s="4029">
        <v>13440.63</v>
      </c>
      <c r="S28" s="4029">
        <v>157441.72</v>
      </c>
      <c r="T28" s="4029"/>
      <c r="U28" s="4029">
        <f>ROUND((13440.63+157441.72)/22.65,0)</f>
        <v>7544</v>
      </c>
      <c r="V28" s="3987"/>
      <c r="W28" s="3987"/>
      <c r="X28" s="3987"/>
      <c r="Y28" s="3987"/>
      <c r="Z28" s="3987"/>
      <c r="AA28" s="3987"/>
      <c r="AB28" s="3987"/>
    </row>
    <row r="29" spans="1:30 16360:16374" s="3988" customFormat="1" ht="180" hidden="1">
      <c r="A29" s="4060">
        <v>421</v>
      </c>
      <c r="B29" s="4061">
        <v>2021</v>
      </c>
      <c r="C29" s="4029">
        <v>3</v>
      </c>
      <c r="D29" s="4032">
        <v>1</v>
      </c>
      <c r="E29" s="3997" t="s">
        <v>3381</v>
      </c>
      <c r="F29" s="3997" t="s">
        <v>3298</v>
      </c>
      <c r="G29" s="3997" t="s">
        <v>3447</v>
      </c>
      <c r="H29" s="3997" t="s">
        <v>3400</v>
      </c>
      <c r="I29" s="3997" t="s">
        <v>3310</v>
      </c>
      <c r="J29" s="3997" t="s">
        <v>3448</v>
      </c>
      <c r="K29" s="3997" t="s">
        <v>3402</v>
      </c>
      <c r="L29" s="4032">
        <v>10.58</v>
      </c>
      <c r="M29" s="4032">
        <v>10.58</v>
      </c>
      <c r="N29" s="4032">
        <v>32.21</v>
      </c>
      <c r="O29" s="4050">
        <v>684647.43</v>
      </c>
      <c r="P29" s="3998" t="s">
        <v>3449</v>
      </c>
      <c r="Q29" s="4004" t="s">
        <v>3446</v>
      </c>
      <c r="R29" s="4029">
        <v>99703.11</v>
      </c>
      <c r="S29" s="4029">
        <v>2369274.59</v>
      </c>
      <c r="T29" s="4029"/>
      <c r="U29" s="4029">
        <f t="shared" si="0"/>
        <v>233363</v>
      </c>
      <c r="V29" s="3987"/>
      <c r="W29" s="3987"/>
      <c r="X29" s="3987"/>
      <c r="Y29" s="3987"/>
      <c r="Z29" s="3987"/>
      <c r="AA29" s="3987"/>
      <c r="AB29" s="3987"/>
    </row>
    <row r="30" spans="1:30 16360:16374" s="3988" customFormat="1" ht="168" hidden="1">
      <c r="A30" s="4060">
        <v>417</v>
      </c>
      <c r="B30" s="4061">
        <v>2021</v>
      </c>
      <c r="C30" s="4029">
        <v>2</v>
      </c>
      <c r="D30" s="4061">
        <v>1</v>
      </c>
      <c r="E30" s="3997" t="s">
        <v>3315</v>
      </c>
      <c r="F30" s="3997" t="s">
        <v>3298</v>
      </c>
      <c r="G30" s="3997" t="s">
        <v>3450</v>
      </c>
      <c r="H30" s="3997" t="s">
        <v>3429</v>
      </c>
      <c r="I30" s="3997" t="s">
        <v>3310</v>
      </c>
      <c r="J30" s="3997" t="s">
        <v>3451</v>
      </c>
      <c r="K30" s="3998" t="s">
        <v>3452</v>
      </c>
      <c r="L30" s="4051">
        <v>11.39</v>
      </c>
      <c r="M30" s="4051">
        <v>11.39</v>
      </c>
      <c r="N30" s="4044">
        <v>27.61</v>
      </c>
      <c r="O30" s="4035">
        <v>917292.13</v>
      </c>
      <c r="P30" s="4022" t="s">
        <v>3453</v>
      </c>
      <c r="Q30" s="4012" t="s">
        <v>3454</v>
      </c>
      <c r="R30" s="4029"/>
      <c r="S30" s="4029"/>
      <c r="T30" s="4029"/>
      <c r="U30" s="4029">
        <f t="shared" si="0"/>
        <v>0</v>
      </c>
      <c r="V30" s="3987"/>
      <c r="W30" s="3987"/>
      <c r="X30" s="3987"/>
      <c r="Y30" s="3987"/>
      <c r="Z30" s="3987"/>
      <c r="AA30" s="3987"/>
      <c r="AB30" s="3987"/>
    </row>
    <row r="31" spans="1:30 16360:16374" s="3988" customFormat="1" ht="192">
      <c r="A31" s="4030">
        <v>418</v>
      </c>
      <c r="B31" s="4062">
        <v>2021</v>
      </c>
      <c r="C31" s="4030">
        <v>2</v>
      </c>
      <c r="D31" s="4045">
        <v>2</v>
      </c>
      <c r="E31" s="4007" t="s">
        <v>3307</v>
      </c>
      <c r="F31" s="4007" t="s">
        <v>3298</v>
      </c>
      <c r="G31" s="4007" t="s">
        <v>3458</v>
      </c>
      <c r="H31" s="4007" t="s">
        <v>3438</v>
      </c>
      <c r="I31" s="4007" t="s">
        <v>3310</v>
      </c>
      <c r="J31" s="4007" t="s">
        <v>3455</v>
      </c>
      <c r="K31" s="4023" t="s">
        <v>3456</v>
      </c>
      <c r="L31" s="4045">
        <v>26.7</v>
      </c>
      <c r="M31" s="4045">
        <v>15.61</v>
      </c>
      <c r="N31" s="4045">
        <v>16.526</v>
      </c>
      <c r="O31" s="4045">
        <v>281956.03999999998</v>
      </c>
      <c r="P31" s="4024" t="s">
        <v>3457</v>
      </c>
      <c r="Q31" s="4010" t="s">
        <v>3446</v>
      </c>
      <c r="R31" s="4030">
        <v>153448.47</v>
      </c>
      <c r="S31" s="4030">
        <v>445653.63</v>
      </c>
      <c r="T31" s="4030"/>
      <c r="U31" s="4030">
        <f t="shared" si="0"/>
        <v>22438</v>
      </c>
      <c r="V31" s="3987"/>
      <c r="W31" s="3987"/>
      <c r="X31" s="3987"/>
      <c r="Y31" s="3987"/>
      <c r="Z31" s="3987"/>
      <c r="AA31" s="3987"/>
      <c r="AB31" s="3987"/>
    </row>
  </sheetData>
  <mergeCells count="20">
    <mergeCell ref="T1:T2"/>
    <mergeCell ref="U1:U2"/>
    <mergeCell ref="N1:N2"/>
    <mergeCell ref="O1:O2"/>
    <mergeCell ref="P1:P2"/>
    <mergeCell ref="Q1:Q2"/>
    <mergeCell ref="R1:R2"/>
    <mergeCell ref="S1:S2"/>
    <mergeCell ref="G1:G2"/>
    <mergeCell ref="H1:H2"/>
    <mergeCell ref="I1:I2"/>
    <mergeCell ref="J1:J2"/>
    <mergeCell ref="K1:K2"/>
    <mergeCell ref="L1:M1"/>
    <mergeCell ref="A1:A2"/>
    <mergeCell ref="B1:B2"/>
    <mergeCell ref="C1:C2"/>
    <mergeCell ref="D1:D2"/>
    <mergeCell ref="E1:E2"/>
    <mergeCell ref="F1:F2"/>
  </mergeCells>
  <phoneticPr fontId="224" type="noConversion"/>
  <dataValidations count="1">
    <dataValidation type="list" allowBlank="1" showInputMessage="1" showErrorMessage="1" sqref="F3 F5:F31">
      <formula1>"公开出让,协议出让,划拨"</formula1>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8" zoomScale="80" zoomScaleNormal="50" zoomScaleSheetLayoutView="80" workbookViewId="0">
      <selection activeCell="C69" sqref="C69"/>
    </sheetView>
  </sheetViews>
  <sheetFormatPr defaultColWidth="9" defaultRowHeight="13.8"/>
  <cols>
    <col min="1" max="1" width="13.33203125" style="4106" customWidth="1"/>
    <col min="2" max="2" width="15.77734375" style="4106" customWidth="1"/>
    <col min="3" max="3" width="16.88671875" style="4106" customWidth="1"/>
    <col min="4" max="4" width="12.21875" style="4106" customWidth="1"/>
    <col min="5" max="5" width="14.33203125" style="4106" customWidth="1"/>
    <col min="6" max="6" width="12.21875" style="4106" customWidth="1"/>
    <col min="7" max="7" width="14.44140625" style="4106" customWidth="1"/>
    <col min="8" max="8" width="12.21875" style="4106" customWidth="1"/>
    <col min="9" max="9" width="14.44140625" style="4106" customWidth="1"/>
    <col min="10" max="10" width="12.21875" style="4106" customWidth="1"/>
    <col min="11" max="11" width="12.21875" style="4477" customWidth="1"/>
    <col min="12" max="12" width="12.21875" style="4478" customWidth="1"/>
    <col min="13" max="15" width="12.21875" style="4106" customWidth="1"/>
    <col min="16" max="16" width="4.77734375" style="4106" customWidth="1"/>
    <col min="17" max="17" width="19.44140625" style="4106" customWidth="1"/>
    <col min="18" max="22" width="6.109375" style="4106" customWidth="1"/>
    <col min="23" max="23" width="5.77734375" style="4106" customWidth="1"/>
    <col min="24" max="24" width="4.21875" style="4106" customWidth="1"/>
    <col min="25" max="25" width="3.44140625" style="4106" customWidth="1"/>
    <col min="26" max="26" width="19.77734375" style="4106" customWidth="1"/>
    <col min="27" max="28" width="9.33203125" style="4106" customWidth="1"/>
    <col min="29" max="16384" width="9" style="4106"/>
  </cols>
  <sheetData>
    <row r="1" spans="1:29" s="4075" customFormat="1" ht="28.5" customHeight="1">
      <c r="A1" s="4064" t="s">
        <v>3468</v>
      </c>
      <c r="B1" s="4065"/>
      <c r="C1" s="4066" t="s">
        <v>3469</v>
      </c>
      <c r="D1" s="4067" t="s">
        <v>3470</v>
      </c>
      <c r="E1" s="4068"/>
      <c r="F1" s="4069"/>
      <c r="G1" s="4068"/>
      <c r="H1" s="4068"/>
      <c r="I1" s="4068"/>
      <c r="J1" s="4068"/>
      <c r="K1" s="4070"/>
      <c r="L1" s="4071"/>
      <c r="M1" s="4072"/>
      <c r="N1" s="4072"/>
      <c r="O1" s="4072"/>
      <c r="P1" s="4073"/>
      <c r="Q1" s="4073"/>
      <c r="R1" s="4073"/>
      <c r="S1" s="4073"/>
      <c r="T1" s="4073"/>
      <c r="U1" s="4073"/>
      <c r="V1" s="4073"/>
      <c r="W1" s="4073"/>
      <c r="X1" s="4073"/>
      <c r="Y1" s="4073"/>
      <c r="Z1" s="4073"/>
      <c r="AA1" s="4073"/>
      <c r="AB1" s="4073"/>
      <c r="AC1" s="4074"/>
    </row>
    <row r="2" spans="1:29" s="4075" customFormat="1" ht="28.5" customHeight="1">
      <c r="A2" s="410" t="s">
        <v>3471</v>
      </c>
      <c r="B2" s="4076">
        <f>F62</f>
        <v>9478</v>
      </c>
      <c r="C2" s="4077"/>
      <c r="D2" s="4077"/>
      <c r="E2" s="4077"/>
      <c r="F2" s="4078"/>
      <c r="G2" s="4077"/>
      <c r="H2" s="4077"/>
      <c r="I2" s="4077"/>
      <c r="J2" s="4077"/>
      <c r="K2" s="4079"/>
      <c r="L2" s="4080"/>
      <c r="M2" s="4073"/>
      <c r="N2" s="4073"/>
      <c r="O2" s="4073"/>
      <c r="P2" s="4073"/>
      <c r="Q2" s="4073"/>
      <c r="R2" s="4073"/>
      <c r="S2" s="4073"/>
      <c r="T2" s="4073"/>
      <c r="U2" s="4073"/>
      <c r="V2" s="4073"/>
      <c r="W2" s="4073"/>
      <c r="X2" s="4073"/>
      <c r="Y2" s="4073"/>
      <c r="Z2" s="4073"/>
      <c r="AA2" s="4073"/>
      <c r="AB2" s="4073"/>
      <c r="AC2" s="4074"/>
    </row>
    <row r="3" spans="1:29" s="4075" customFormat="1" ht="28.5" customHeight="1">
      <c r="A3" s="1238" t="s">
        <v>3472</v>
      </c>
      <c r="B3" s="4081">
        <f>ROUND(B2*10000/'[4]数据-汇总表'!E3,0)</f>
        <v>8826</v>
      </c>
      <c r="C3" s="4082"/>
      <c r="D3" s="4082"/>
      <c r="E3" s="4082"/>
      <c r="F3" s="4082"/>
      <c r="G3" s="4077"/>
      <c r="H3" s="4077"/>
      <c r="I3" s="4077"/>
      <c r="J3" s="4077"/>
      <c r="K3" s="4079"/>
      <c r="L3" s="4080"/>
      <c r="M3" s="4073"/>
      <c r="N3" s="4073"/>
      <c r="O3" s="4073"/>
      <c r="P3" s="4073"/>
      <c r="Q3" s="4073"/>
      <c r="R3" s="4073"/>
      <c r="S3" s="4073"/>
      <c r="T3" s="4073"/>
      <c r="U3" s="4073"/>
      <c r="V3" s="4073"/>
      <c r="W3" s="4073"/>
      <c r="X3" s="4073"/>
      <c r="Y3" s="4073"/>
      <c r="Z3" s="4073"/>
      <c r="AA3" s="4073"/>
      <c r="AB3" s="4083"/>
      <c r="AC3" s="4083"/>
    </row>
    <row r="4" spans="1:29" s="4075" customFormat="1" ht="28.5" customHeight="1">
      <c r="A4" s="4084" t="s">
        <v>3473</v>
      </c>
      <c r="B4" s="4085">
        <f>IF(B43="单位面积地价",C45,ROUND(B2*10000/'[4]数据-汇总表'!D3,0))</f>
        <v>8826</v>
      </c>
      <c r="C4" s="4082"/>
      <c r="D4" s="4082"/>
      <c r="E4" s="4082"/>
      <c r="F4" s="4082"/>
      <c r="G4" s="4077"/>
      <c r="H4" s="4077"/>
      <c r="I4" s="4077"/>
      <c r="J4" s="4077"/>
      <c r="K4" s="4079"/>
      <c r="L4" s="4080"/>
      <c r="M4" s="4073"/>
      <c r="N4" s="4073"/>
      <c r="O4" s="4073"/>
      <c r="P4" s="4073"/>
      <c r="Q4" s="4073"/>
      <c r="R4" s="4073"/>
      <c r="S4" s="4073"/>
      <c r="T4" s="4073"/>
      <c r="U4" s="4073"/>
      <c r="V4" s="4073"/>
      <c r="W4" s="4073"/>
      <c r="X4" s="4073"/>
      <c r="Y4" s="4073"/>
      <c r="Z4" s="4073"/>
      <c r="AA4" s="4073"/>
      <c r="AB4" s="4073"/>
      <c r="AC4" s="4083"/>
    </row>
    <row r="5" spans="1:29" s="4075" customFormat="1" ht="28.5" customHeight="1" thickBot="1">
      <c r="A5" s="416"/>
      <c r="B5" s="4086">
        <f>ROUND(B2/('[4]数据-汇总表'!D3/666.67),0)</f>
        <v>588</v>
      </c>
      <c r="C5" s="4087" t="s">
        <v>3474</v>
      </c>
      <c r="D5" s="4082"/>
      <c r="E5" s="4082"/>
      <c r="F5" s="4082"/>
      <c r="G5" s="4077"/>
      <c r="H5" s="4077"/>
      <c r="I5" s="4077"/>
      <c r="J5" s="4077"/>
      <c r="K5" s="4079"/>
      <c r="L5" s="4080"/>
      <c r="M5" s="4073"/>
      <c r="N5" s="4073"/>
      <c r="O5" s="4073"/>
      <c r="P5" s="4073"/>
      <c r="Q5" s="4073"/>
      <c r="R5" s="4073"/>
      <c r="S5" s="4073"/>
      <c r="T5" s="4073"/>
      <c r="U5" s="4073"/>
      <c r="V5" s="4073"/>
      <c r="W5" s="4073"/>
      <c r="X5" s="4073"/>
      <c r="Y5" s="4073"/>
      <c r="Z5" s="4073"/>
      <c r="AA5" s="4073"/>
      <c r="AB5" s="4088"/>
      <c r="AC5" s="4083"/>
    </row>
    <row r="6" spans="1:29" ht="14.4">
      <c r="A6" s="4089" t="s">
        <v>3475</v>
      </c>
      <c r="B6" s="4090"/>
      <c r="C6" s="4091" t="s">
        <v>3476</v>
      </c>
      <c r="D6" s="4092"/>
      <c r="E6" s="4093" t="s">
        <v>3477</v>
      </c>
      <c r="F6" s="4094"/>
      <c r="G6" s="4091" t="s">
        <v>3478</v>
      </c>
      <c r="H6" s="4092"/>
      <c r="I6" s="4091" t="s">
        <v>3479</v>
      </c>
      <c r="J6" s="4092"/>
      <c r="K6" s="4095" t="s">
        <v>3480</v>
      </c>
      <c r="L6" s="4096"/>
      <c r="M6" s="4097"/>
      <c r="N6" s="4097"/>
      <c r="O6" s="4097"/>
      <c r="P6" s="4098" t="s">
        <v>3481</v>
      </c>
      <c r="Q6" s="4099"/>
      <c r="R6" s="4100" t="s">
        <v>3482</v>
      </c>
      <c r="S6" s="4101"/>
      <c r="T6" s="4100" t="s">
        <v>3483</v>
      </c>
      <c r="U6" s="4101"/>
      <c r="V6" s="4102" t="s">
        <v>3479</v>
      </c>
      <c r="W6" s="4102"/>
      <c r="X6" s="4103"/>
      <c r="Y6" s="4100" t="s">
        <v>3481</v>
      </c>
      <c r="Z6" s="4101"/>
      <c r="AA6" s="4104" t="s">
        <v>3477</v>
      </c>
      <c r="AB6" s="4105" t="s">
        <v>3484</v>
      </c>
      <c r="AC6" s="4104" t="s">
        <v>3479</v>
      </c>
    </row>
    <row r="7" spans="1:29">
      <c r="A7" s="4107"/>
      <c r="B7" s="4108"/>
      <c r="C7" s="4109" t="str">
        <f>项目基本情况!C10</f>
        <v>北京市朝阳区十里堡1号</v>
      </c>
      <c r="D7" s="4110"/>
      <c r="E7" s="4111" t="str">
        <f>'案例（海淀）'!B3</f>
        <v>永丰产业基地（新）园区土地一级开发项目F1地块</v>
      </c>
      <c r="F7" s="4112"/>
      <c r="G7" s="4109" t="str">
        <f>'案例（海淀）'!B4</f>
        <v>永丰产业基地（新）园区土地一级开发项目F2地块</v>
      </c>
      <c r="H7" s="4110"/>
      <c r="I7" s="4109" t="str">
        <f>'案例（海淀）'!B6</f>
        <v>北部地区温泉镇HD00-0301-6003等地块</v>
      </c>
      <c r="J7" s="4110"/>
      <c r="K7" s="4095"/>
      <c r="L7" s="4096"/>
      <c r="M7" s="4097"/>
      <c r="N7" s="4097"/>
      <c r="O7" s="4097"/>
      <c r="P7" s="4113"/>
      <c r="Q7" s="4114"/>
      <c r="R7" s="4115"/>
      <c r="S7" s="4116"/>
      <c r="T7" s="4115"/>
      <c r="U7" s="4116"/>
      <c r="V7" s="4102"/>
      <c r="W7" s="4102"/>
      <c r="X7" s="4103"/>
      <c r="Y7" s="4115"/>
      <c r="Z7" s="4116"/>
      <c r="AA7" s="4105"/>
      <c r="AB7" s="4105"/>
      <c r="AC7" s="4105"/>
    </row>
    <row r="8" spans="1:29" ht="15" thickBot="1">
      <c r="A8" s="4117"/>
      <c r="B8" s="4118"/>
      <c r="C8" s="4119" t="s">
        <v>2195</v>
      </c>
      <c r="D8" s="4120"/>
      <c r="E8" s="4121" t="s">
        <v>2195</v>
      </c>
      <c r="F8" s="4122"/>
      <c r="G8" s="4119" t="s">
        <v>2195</v>
      </c>
      <c r="H8" s="4120"/>
      <c r="I8" s="4119" t="s">
        <v>3485</v>
      </c>
      <c r="J8" s="4120"/>
      <c r="K8" s="4095" t="s">
        <v>477</v>
      </c>
      <c r="L8" s="4096"/>
      <c r="M8" s="4097"/>
      <c r="N8" s="4097"/>
      <c r="O8" s="4097"/>
      <c r="P8" s="4123"/>
      <c r="Q8" s="4124"/>
      <c r="R8" s="4115"/>
      <c r="S8" s="4116"/>
      <c r="T8" s="4125"/>
      <c r="U8" s="4126"/>
      <c r="V8" s="4102"/>
      <c r="W8" s="4102"/>
      <c r="X8" s="4103"/>
      <c r="Y8" s="4125"/>
      <c r="Z8" s="4126"/>
      <c r="AA8" s="4127"/>
      <c r="AB8" s="4127"/>
      <c r="AC8" s="4127"/>
    </row>
    <row r="9" spans="1:29" s="4145" customFormat="1" ht="15" thickBot="1">
      <c r="A9" s="4128"/>
      <c r="B9" s="4129" t="s">
        <v>3486</v>
      </c>
      <c r="C9" s="4130">
        <f>'数据-取费表'!B2</f>
        <v>45506</v>
      </c>
      <c r="D9" s="4131">
        <v>100</v>
      </c>
      <c r="E9" s="4504">
        <f>'案例（海淀）'!I3</f>
        <v>44435</v>
      </c>
      <c r="F9" s="4133">
        <f>SUMIF(66:66,YEAR(E9)&amp;"-"&amp;INT((MONTH(E9)+2)/3),67:67)</f>
        <v>96.05</v>
      </c>
      <c r="G9" s="4505">
        <f>'案例（海淀）'!I4</f>
        <v>44704</v>
      </c>
      <c r="H9" s="4131">
        <f>SUMIF(66:66,YEAR(G9)&amp;"-"&amp;INT((MONTH(G9)+2)/3),67:67)</f>
        <v>96.71</v>
      </c>
      <c r="I9" s="4505">
        <f>'案例（海淀）'!I6</f>
        <v>45062</v>
      </c>
      <c r="J9" s="4131">
        <f>SUMIF(66:66,YEAR(I9)&amp;"-"&amp;INT((MONTH(I9)+2)/3),67:67)</f>
        <v>97.6</v>
      </c>
      <c r="K9" s="4135"/>
      <c r="L9" s="4136"/>
      <c r="M9" s="4137"/>
      <c r="N9" s="4137"/>
      <c r="O9" s="4137"/>
      <c r="P9" s="4138" t="s">
        <v>3487</v>
      </c>
      <c r="Q9" s="4139"/>
      <c r="R9" s="4140" t="s">
        <v>7</v>
      </c>
      <c r="S9" s="4141">
        <f t="shared" ref="S9:S17" si="0">F9</f>
        <v>96.05</v>
      </c>
      <c r="T9" s="4140" t="s">
        <v>3488</v>
      </c>
      <c r="U9" s="4141">
        <f t="shared" ref="U9:U17" si="1">H9</f>
        <v>96.71</v>
      </c>
      <c r="V9" s="4140" t="s">
        <v>3489</v>
      </c>
      <c r="W9" s="4141">
        <f t="shared" ref="W9:W17" si="2">J9</f>
        <v>97.6</v>
      </c>
      <c r="X9" s="4142"/>
      <c r="Y9" s="4138" t="s">
        <v>3490</v>
      </c>
      <c r="Z9" s="4143"/>
      <c r="AA9" s="4144">
        <f>D9/F9</f>
        <v>1.0411244143675169</v>
      </c>
      <c r="AB9" s="4144">
        <f>D9/H9</f>
        <v>1.0340192327577293</v>
      </c>
      <c r="AC9" s="4144">
        <f>D9/J9</f>
        <v>1.0245901639344264</v>
      </c>
    </row>
    <row r="10" spans="1:29" s="4145" customFormat="1" ht="15" thickBot="1">
      <c r="A10" s="4146"/>
      <c r="B10" s="4147" t="s">
        <v>3491</v>
      </c>
      <c r="C10" s="4148" t="s">
        <v>481</v>
      </c>
      <c r="D10" s="4131">
        <v>100</v>
      </c>
      <c r="E10" s="4148" t="s">
        <v>3459</v>
      </c>
      <c r="F10" s="4133">
        <f>SUMIF(69:69,E10,70:70)-SUMIF(69:69,C10,70:70)+100</f>
        <v>100</v>
      </c>
      <c r="G10" s="4148" t="s">
        <v>3459</v>
      </c>
      <c r="H10" s="4131">
        <f>SUMIF(69:69,G10,70:70)-SUMIF(69:69,C10,70:70)+100</f>
        <v>100</v>
      </c>
      <c r="I10" s="4148" t="s">
        <v>3459</v>
      </c>
      <c r="J10" s="4131">
        <f>SUMIF(69:69,I10,70:70)-SUMIF(69:69,C10,70:70)+100</f>
        <v>100</v>
      </c>
      <c r="K10" s="4135"/>
      <c r="L10" s="4136"/>
      <c r="M10" s="4137"/>
      <c r="N10" s="4137"/>
      <c r="O10" s="4137"/>
      <c r="P10" s="4138" t="s">
        <v>3492</v>
      </c>
      <c r="Q10" s="4143"/>
      <c r="R10" s="4140" t="s">
        <v>3488</v>
      </c>
      <c r="S10" s="4141">
        <f t="shared" si="0"/>
        <v>100</v>
      </c>
      <c r="T10" s="4140" t="s">
        <v>3488</v>
      </c>
      <c r="U10" s="4141">
        <f t="shared" si="1"/>
        <v>100</v>
      </c>
      <c r="V10" s="4140" t="s">
        <v>3493</v>
      </c>
      <c r="W10" s="4141">
        <f t="shared" si="2"/>
        <v>100</v>
      </c>
      <c r="X10" s="4142"/>
      <c r="Y10" s="4138" t="s">
        <v>3492</v>
      </c>
      <c r="Z10" s="4143"/>
      <c r="AA10" s="4144">
        <f t="shared" ref="AA10:AA42" si="3">D10/F10</f>
        <v>1</v>
      </c>
      <c r="AB10" s="4144">
        <f t="shared" ref="AB10:AB42" si="4">D10/H10</f>
        <v>1</v>
      </c>
      <c r="AC10" s="4144">
        <f t="shared" ref="AC10:AC42" si="5">D10/J10</f>
        <v>1</v>
      </c>
    </row>
    <row r="11" spans="1:29" s="4145" customFormat="1" ht="14.4">
      <c r="A11" s="4149"/>
      <c r="B11" s="4150" t="s">
        <v>3494</v>
      </c>
      <c r="C11" s="4151"/>
      <c r="D11" s="4152">
        <v>100</v>
      </c>
      <c r="E11" s="4151"/>
      <c r="F11" s="4152">
        <f>SUMIF(71:71,E11,72:72)-SUMIF(71:71,C11,72:72)+100</f>
        <v>100</v>
      </c>
      <c r="G11" s="4151"/>
      <c r="H11" s="4152">
        <f>SUMIF(71:71,G11,72:72)-SUMIF(71:71,C11,72:72)+100</f>
        <v>100</v>
      </c>
      <c r="I11" s="4151"/>
      <c r="J11" s="4152">
        <f>SUMIF(71:71,I11,72:72)-SUMIF(71:71,C11,72:72)+100</f>
        <v>100</v>
      </c>
      <c r="K11" s="4135"/>
      <c r="L11" s="4136"/>
      <c r="M11" s="4137"/>
      <c r="N11" s="4137"/>
      <c r="O11" s="4153"/>
      <c r="P11" s="4154" t="s">
        <v>3495</v>
      </c>
      <c r="Q11" s="4155" t="str">
        <f t="shared" ref="Q11:Q17" si="6">B11</f>
        <v>用途</v>
      </c>
      <c r="R11" s="4140" t="s">
        <v>3488</v>
      </c>
      <c r="S11" s="4141">
        <f t="shared" si="0"/>
        <v>100</v>
      </c>
      <c r="T11" s="4140" t="s">
        <v>3496</v>
      </c>
      <c r="U11" s="4141">
        <f t="shared" si="1"/>
        <v>100</v>
      </c>
      <c r="V11" s="4140" t="s">
        <v>3496</v>
      </c>
      <c r="W11" s="4141">
        <f t="shared" si="2"/>
        <v>100</v>
      </c>
      <c r="X11" s="4142"/>
      <c r="Y11" s="4156" t="s">
        <v>3497</v>
      </c>
      <c r="Z11" s="4157" t="str">
        <f t="shared" ref="Z11:Z17" si="7">Q11</f>
        <v>用途</v>
      </c>
      <c r="AA11" s="4144">
        <f t="shared" si="3"/>
        <v>1</v>
      </c>
      <c r="AB11" s="4144">
        <f t="shared" si="4"/>
        <v>1</v>
      </c>
      <c r="AC11" s="4144">
        <f t="shared" si="5"/>
        <v>1</v>
      </c>
    </row>
    <row r="12" spans="1:29" s="4165" customFormat="1" ht="28.8">
      <c r="A12" s="4158"/>
      <c r="B12" s="4147" t="s">
        <v>3498</v>
      </c>
      <c r="C12" s="4159">
        <v>50</v>
      </c>
      <c r="D12" s="4160">
        <v>100</v>
      </c>
      <c r="E12" s="4159"/>
      <c r="F12" s="4160">
        <f>ROUND(100/'[4]数据-取费表'!G16,0)</f>
        <v>100</v>
      </c>
      <c r="G12" s="4159"/>
      <c r="H12" s="4160">
        <f>ROUND(100/'[4]数据-取费表'!G16,0)</f>
        <v>100</v>
      </c>
      <c r="I12" s="4159"/>
      <c r="J12" s="4160">
        <f>ROUND(100/'[4]数据-取费表'!G16,0)</f>
        <v>100</v>
      </c>
      <c r="K12" s="4161"/>
      <c r="L12" s="4162"/>
      <c r="M12" s="4163"/>
      <c r="N12" s="4163"/>
      <c r="O12" s="4164"/>
      <c r="P12" s="4154"/>
      <c r="Q12" s="4155" t="str">
        <f t="shared" si="6"/>
        <v>土地使用年限（年）</v>
      </c>
      <c r="R12" s="4140" t="s">
        <v>7</v>
      </c>
      <c r="S12" s="4141">
        <f t="shared" si="0"/>
        <v>100</v>
      </c>
      <c r="T12" s="4140" t="s">
        <v>3493</v>
      </c>
      <c r="U12" s="4141">
        <f t="shared" si="1"/>
        <v>100</v>
      </c>
      <c r="V12" s="4140" t="s">
        <v>7</v>
      </c>
      <c r="W12" s="4141">
        <f t="shared" si="2"/>
        <v>100</v>
      </c>
      <c r="X12" s="4142"/>
      <c r="Y12" s="4156"/>
      <c r="Z12" s="4157" t="str">
        <f t="shared" si="7"/>
        <v>土地使用年限（年）</v>
      </c>
      <c r="AA12" s="4144">
        <f t="shared" si="3"/>
        <v>1</v>
      </c>
      <c r="AB12" s="4144">
        <f t="shared" si="4"/>
        <v>1</v>
      </c>
      <c r="AC12" s="4144">
        <f t="shared" si="5"/>
        <v>1</v>
      </c>
    </row>
    <row r="13" spans="1:29" ht="15">
      <c r="A13" s="4166"/>
      <c r="B13" s="4147" t="s">
        <v>3499</v>
      </c>
      <c r="C13" s="4167">
        <v>1</v>
      </c>
      <c r="D13" s="4160">
        <v>100</v>
      </c>
      <c r="E13" s="4167">
        <v>1</v>
      </c>
      <c r="F13" s="4160">
        <f>LOOKUP(E13,76:76,77:77)-LOOKUP(C13,76:76,77:77)+100</f>
        <v>100</v>
      </c>
      <c r="G13" s="4168">
        <v>1</v>
      </c>
      <c r="H13" s="4160">
        <f>LOOKUP(G13,76:76,77:77)-LOOKUP(C13,76:76,77:77)+100</f>
        <v>100</v>
      </c>
      <c r="I13" s="4167">
        <v>1</v>
      </c>
      <c r="J13" s="4160">
        <f>LOOKUP(I13,76:76,77:77)-LOOKUP(C13,76:76,77:77)+100</f>
        <v>100</v>
      </c>
      <c r="K13" s="4169"/>
      <c r="L13" s="4170"/>
      <c r="M13" s="4097"/>
      <c r="N13" s="4097"/>
      <c r="O13" s="4171"/>
      <c r="P13" s="4154"/>
      <c r="Q13" s="4155" t="str">
        <f t="shared" si="6"/>
        <v>容积率</v>
      </c>
      <c r="R13" s="4140" t="s">
        <v>7</v>
      </c>
      <c r="S13" s="4141">
        <f t="shared" si="0"/>
        <v>100</v>
      </c>
      <c r="T13" s="4140" t="s">
        <v>7</v>
      </c>
      <c r="U13" s="4141">
        <f t="shared" si="1"/>
        <v>100</v>
      </c>
      <c r="V13" s="4140" t="s">
        <v>7</v>
      </c>
      <c r="W13" s="4141">
        <f t="shared" si="2"/>
        <v>100</v>
      </c>
      <c r="X13" s="4142"/>
      <c r="Y13" s="4156"/>
      <c r="Z13" s="4157" t="str">
        <f t="shared" si="7"/>
        <v>容积率</v>
      </c>
      <c r="AA13" s="4144">
        <f t="shared" si="3"/>
        <v>1</v>
      </c>
      <c r="AB13" s="4144">
        <f t="shared" si="4"/>
        <v>1</v>
      </c>
      <c r="AC13" s="4144">
        <f t="shared" si="5"/>
        <v>1</v>
      </c>
    </row>
    <row r="14" spans="1:29" s="4145" customFormat="1" ht="15">
      <c r="A14" s="4172"/>
      <c r="B14" s="4173">
        <v>111</v>
      </c>
      <c r="C14" s="4159"/>
      <c r="D14" s="4174">
        <v>100</v>
      </c>
      <c r="E14" s="4175"/>
      <c r="F14" s="4160">
        <f>SUMIF(78:78,E14,79:79)-SUMIF(78:78,C14,79:79)+100</f>
        <v>100</v>
      </c>
      <c r="G14" s="4176"/>
      <c r="H14" s="4160">
        <f>SUMIF(78:78,G14,79:79)-SUMIF(78:78,C14,79:79)+100</f>
        <v>100</v>
      </c>
      <c r="I14" s="4175"/>
      <c r="J14" s="4160">
        <f>SUMIF(78:78,I14,79:79)-SUMIF(78:78,C14,79:79)+100</f>
        <v>100</v>
      </c>
      <c r="K14" s="4161"/>
      <c r="L14" s="4136"/>
      <c r="M14" s="4137"/>
      <c r="N14" s="4137"/>
      <c r="O14" s="4153"/>
      <c r="P14" s="4154"/>
      <c r="Q14" s="4155">
        <f t="shared" si="6"/>
        <v>111</v>
      </c>
      <c r="R14" s="4140" t="s">
        <v>7</v>
      </c>
      <c r="S14" s="4141">
        <f t="shared" si="0"/>
        <v>100</v>
      </c>
      <c r="T14" s="4140" t="s">
        <v>7</v>
      </c>
      <c r="U14" s="4141">
        <f t="shared" si="1"/>
        <v>100</v>
      </c>
      <c r="V14" s="4140" t="s">
        <v>7</v>
      </c>
      <c r="W14" s="4141">
        <f t="shared" si="2"/>
        <v>100</v>
      </c>
      <c r="X14" s="4142"/>
      <c r="Y14" s="4156"/>
      <c r="Z14" s="4157">
        <f t="shared" si="7"/>
        <v>111</v>
      </c>
      <c r="AA14" s="4144">
        <f>D14/F14</f>
        <v>1</v>
      </c>
      <c r="AB14" s="4144">
        <f>D14/H14</f>
        <v>1</v>
      </c>
      <c r="AC14" s="4144">
        <f>D14/J14</f>
        <v>1</v>
      </c>
    </row>
    <row r="15" spans="1:29" ht="15">
      <c r="A15" s="4172"/>
      <c r="B15" s="4173">
        <v>111</v>
      </c>
      <c r="C15" s="4177"/>
      <c r="D15" s="4178">
        <v>100</v>
      </c>
      <c r="E15" s="4175"/>
      <c r="F15" s="4160">
        <f>SUMIF(80:80,E15,81:81)-SUMIF(80:80,C15,81:81)+100</f>
        <v>100</v>
      </c>
      <c r="G15" s="4176"/>
      <c r="H15" s="4178">
        <f>SUMIF(80:80,G15,81:81)-SUMIF(80:80,C15,81:81)+100</f>
        <v>100</v>
      </c>
      <c r="I15" s="4175"/>
      <c r="J15" s="4178">
        <f>SUMIF(80:80,I15,81:81)-SUMIF(80:80,C15,81:81)+100</f>
        <v>100</v>
      </c>
      <c r="K15" s="4161"/>
      <c r="L15" s="4179"/>
      <c r="M15" s="4097"/>
      <c r="N15" s="4097"/>
      <c r="O15" s="4171"/>
      <c r="P15" s="4154"/>
      <c r="Q15" s="4155">
        <f t="shared" si="6"/>
        <v>111</v>
      </c>
      <c r="R15" s="4140" t="s">
        <v>7</v>
      </c>
      <c r="S15" s="4141">
        <f t="shared" si="0"/>
        <v>100</v>
      </c>
      <c r="T15" s="4140" t="s">
        <v>7</v>
      </c>
      <c r="U15" s="4141">
        <f t="shared" si="1"/>
        <v>100</v>
      </c>
      <c r="V15" s="4140" t="s">
        <v>7</v>
      </c>
      <c r="W15" s="4141">
        <f t="shared" si="2"/>
        <v>100</v>
      </c>
      <c r="X15" s="4142"/>
      <c r="Y15" s="4156"/>
      <c r="Z15" s="4157">
        <f t="shared" si="7"/>
        <v>111</v>
      </c>
      <c r="AA15" s="4144">
        <f t="shared" si="3"/>
        <v>1</v>
      </c>
      <c r="AB15" s="4144">
        <f t="shared" si="4"/>
        <v>1</v>
      </c>
      <c r="AC15" s="4144">
        <f t="shared" si="5"/>
        <v>1</v>
      </c>
    </row>
    <row r="16" spans="1:29" ht="15.6" thickBot="1">
      <c r="A16" s="4180"/>
      <c r="B16" s="4181">
        <v>111</v>
      </c>
      <c r="C16" s="4182"/>
      <c r="D16" s="4183">
        <v>100</v>
      </c>
      <c r="E16" s="4175"/>
      <c r="F16" s="4183">
        <f>SUMIF(82:82,E16,83:83)-SUMIF(82:82,C16,83:83)+100</f>
        <v>100</v>
      </c>
      <c r="G16" s="4176"/>
      <c r="H16" s="4183">
        <f>SUMIF(82:82,G16,83:83)-SUMIF(82:82,C16,83:83)+100</f>
        <v>100</v>
      </c>
      <c r="I16" s="4175"/>
      <c r="J16" s="4183">
        <f>SUMIF(82:82,I16,83:83)-SUMIF(82:82,C16,83:83)+100</f>
        <v>100</v>
      </c>
      <c r="K16" s="4161"/>
      <c r="L16" s="4179"/>
      <c r="M16" s="4097"/>
      <c r="N16" s="4097"/>
      <c r="O16" s="4171"/>
      <c r="P16" s="4154"/>
      <c r="Q16" s="4155">
        <f t="shared" si="6"/>
        <v>111</v>
      </c>
      <c r="R16" s="4140" t="s">
        <v>7</v>
      </c>
      <c r="S16" s="4141">
        <f t="shared" si="0"/>
        <v>100</v>
      </c>
      <c r="T16" s="4140" t="s">
        <v>3489</v>
      </c>
      <c r="U16" s="4141">
        <f t="shared" si="1"/>
        <v>100</v>
      </c>
      <c r="V16" s="4140" t="s">
        <v>7</v>
      </c>
      <c r="W16" s="4141">
        <f t="shared" si="2"/>
        <v>100</v>
      </c>
      <c r="X16" s="4142"/>
      <c r="Y16" s="4156"/>
      <c r="Z16" s="4157">
        <f t="shared" si="7"/>
        <v>111</v>
      </c>
      <c r="AA16" s="4144">
        <f t="shared" si="3"/>
        <v>1</v>
      </c>
      <c r="AB16" s="4144">
        <f t="shared" si="4"/>
        <v>1</v>
      </c>
      <c r="AC16" s="4144">
        <f t="shared" si="5"/>
        <v>1</v>
      </c>
    </row>
    <row r="17" spans="1:29" ht="55.2">
      <c r="A17" s="4184" t="s">
        <v>3500</v>
      </c>
      <c r="B17" s="4185" t="s">
        <v>3501</v>
      </c>
      <c r="C17" s="4186" t="str">
        <f>[4]估价对象房地状况!G15</f>
        <v>估价对象位于海淀区，区域工业成熟度一般，产业集聚程度一般</v>
      </c>
      <c r="D17" s="4187">
        <v>100</v>
      </c>
      <c r="E17" s="4188"/>
      <c r="F17" s="4187">
        <f>SUMIF(84:84,E18,85:85)-SUMIF(84:84,C18,85:85)+100</f>
        <v>102</v>
      </c>
      <c r="G17" s="4188"/>
      <c r="H17" s="4187">
        <f>SUMIF(84:84,G18,85:85)-SUMIF(84:84,C18,85:85)+100</f>
        <v>102</v>
      </c>
      <c r="I17" s="4189"/>
      <c r="J17" s="4187">
        <f>SUMIF(84:84,I18,85:85)-SUMIF(84:84,C18,85:85)+100</f>
        <v>100</v>
      </c>
      <c r="K17" s="4169">
        <v>2</v>
      </c>
      <c r="L17" s="4179"/>
      <c r="M17" s="4097"/>
      <c r="N17" s="4097"/>
      <c r="O17" s="4171"/>
      <c r="P17" s="4190" t="s">
        <v>3502</v>
      </c>
      <c r="Q17" s="4191" t="str">
        <f t="shared" si="6"/>
        <v>产业集聚程度</v>
      </c>
      <c r="R17" s="4192" t="s">
        <v>3488</v>
      </c>
      <c r="S17" s="4193">
        <f t="shared" si="0"/>
        <v>102</v>
      </c>
      <c r="T17" s="4192" t="s">
        <v>3496</v>
      </c>
      <c r="U17" s="4193">
        <f t="shared" si="1"/>
        <v>102</v>
      </c>
      <c r="V17" s="4192" t="s">
        <v>3493</v>
      </c>
      <c r="W17" s="4193">
        <f t="shared" si="2"/>
        <v>100</v>
      </c>
      <c r="X17" s="4103"/>
      <c r="Y17" s="4190" t="s">
        <v>3503</v>
      </c>
      <c r="Z17" s="4194" t="str">
        <f t="shared" si="7"/>
        <v>产业集聚程度</v>
      </c>
      <c r="AA17" s="4195">
        <f t="shared" si="3"/>
        <v>0.98039215686274506</v>
      </c>
      <c r="AB17" s="4195">
        <f t="shared" si="4"/>
        <v>0.98039215686274506</v>
      </c>
      <c r="AC17" s="4195">
        <f t="shared" si="5"/>
        <v>1</v>
      </c>
    </row>
    <row r="18" spans="1:29" ht="15">
      <c r="A18" s="4196"/>
      <c r="B18" s="4197"/>
      <c r="C18" s="4198" t="s">
        <v>3504</v>
      </c>
      <c r="D18" s="4199"/>
      <c r="E18" s="4200" t="s">
        <v>3505</v>
      </c>
      <c r="F18" s="4199"/>
      <c r="G18" s="4200" t="s">
        <v>3505</v>
      </c>
      <c r="H18" s="4201"/>
      <c r="I18" s="4200" t="s">
        <v>3504</v>
      </c>
      <c r="J18" s="4199"/>
      <c r="K18" s="4161"/>
      <c r="L18" s="4179"/>
      <c r="M18" s="4097"/>
      <c r="N18" s="4097"/>
      <c r="O18" s="4171"/>
      <c r="P18" s="4202"/>
      <c r="Q18" s="4191"/>
      <c r="R18" s="4192"/>
      <c r="S18" s="4193"/>
      <c r="T18" s="4192"/>
      <c r="U18" s="4193"/>
      <c r="V18" s="4192"/>
      <c r="W18" s="4193"/>
      <c r="X18" s="4103"/>
      <c r="Y18" s="4202"/>
      <c r="Z18" s="4194"/>
      <c r="AA18" s="4195">
        <v>1</v>
      </c>
      <c r="AB18" s="4195">
        <v>1</v>
      </c>
      <c r="AC18" s="4195">
        <v>1</v>
      </c>
    </row>
    <row r="19" spans="1:29" ht="69">
      <c r="A19" s="4196"/>
      <c r="B19" s="4203" t="s">
        <v>3506</v>
      </c>
      <c r="C19" s="4204" t="str">
        <f>[4]估价对象房地状况!G16</f>
        <v>估价对象周边道路状况、公共交通通达情况、停车便捷程度，综合评价交通便捷度较好</v>
      </c>
      <c r="D19" s="4201">
        <v>100</v>
      </c>
      <c r="E19" s="4205"/>
      <c r="F19" s="4206">
        <f>SUMIF(86:86,E20,87:87)-SUMIF(86:86,C20,87:87)+100</f>
        <v>100</v>
      </c>
      <c r="G19" s="4205"/>
      <c r="H19" s="4206">
        <f>SUMIF(86:86,G20,87:87)-SUMIF(86:86,C20,87:87)+100</f>
        <v>100</v>
      </c>
      <c r="I19" s="4207"/>
      <c r="J19" s="4201">
        <f>SUMIF(86:86,I20,87:87)-SUMIF(86:86,C20,87:87)+100</f>
        <v>100</v>
      </c>
      <c r="K19" s="4169"/>
      <c r="L19" s="4179"/>
      <c r="M19" s="4097"/>
      <c r="N19" s="4097"/>
      <c r="O19" s="4171"/>
      <c r="P19" s="4202"/>
      <c r="Q19" s="4191" t="str">
        <f>B19</f>
        <v>交通便捷度</v>
      </c>
      <c r="R19" s="4192" t="s">
        <v>3496</v>
      </c>
      <c r="S19" s="4193">
        <f>F19</f>
        <v>100</v>
      </c>
      <c r="T19" s="4192" t="s">
        <v>3488</v>
      </c>
      <c r="U19" s="4193">
        <f>H19</f>
        <v>100</v>
      </c>
      <c r="V19" s="4192" t="s">
        <v>3493</v>
      </c>
      <c r="W19" s="4193">
        <f>J19</f>
        <v>100</v>
      </c>
      <c r="X19" s="4103"/>
      <c r="Y19" s="4202"/>
      <c r="Z19" s="4194" t="str">
        <f>Q19</f>
        <v>交通便捷度</v>
      </c>
      <c r="AA19" s="4195">
        <f t="shared" si="3"/>
        <v>1</v>
      </c>
      <c r="AB19" s="4195">
        <f t="shared" si="4"/>
        <v>1</v>
      </c>
      <c r="AC19" s="4195">
        <f t="shared" si="5"/>
        <v>1</v>
      </c>
    </row>
    <row r="20" spans="1:29" ht="15">
      <c r="A20" s="4196"/>
      <c r="B20" s="4208"/>
      <c r="C20" s="4198" t="s">
        <v>3505</v>
      </c>
      <c r="D20" s="4199"/>
      <c r="E20" s="4209" t="s">
        <v>3505</v>
      </c>
      <c r="F20" s="4199"/>
      <c r="G20" s="4209" t="s">
        <v>3505</v>
      </c>
      <c r="H20" s="4199"/>
      <c r="I20" s="4210" t="s">
        <v>3505</v>
      </c>
      <c r="J20" s="4199"/>
      <c r="K20" s="4161"/>
      <c r="L20" s="4179"/>
      <c r="M20" s="4097"/>
      <c r="N20" s="4097"/>
      <c r="O20" s="4171"/>
      <c r="P20" s="4202"/>
      <c r="Q20" s="4191"/>
      <c r="R20" s="4192"/>
      <c r="S20" s="4193"/>
      <c r="T20" s="4192"/>
      <c r="U20" s="4193"/>
      <c r="V20" s="4192"/>
      <c r="W20" s="4193"/>
      <c r="X20" s="4103"/>
      <c r="Y20" s="4202"/>
      <c r="Z20" s="4194"/>
      <c r="AA20" s="4195">
        <v>1</v>
      </c>
      <c r="AB20" s="4195">
        <v>1</v>
      </c>
      <c r="AC20" s="4195">
        <v>1</v>
      </c>
    </row>
    <row r="21" spans="1:29" ht="28.8">
      <c r="A21" s="4107"/>
      <c r="B21" s="4203" t="s">
        <v>535</v>
      </c>
      <c r="C21" s="4204">
        <f>[4]估价对象房地状况!G17</f>
        <v>0</v>
      </c>
      <c r="D21" s="4201">
        <v>100</v>
      </c>
      <c r="E21" s="4205"/>
      <c r="F21" s="4211">
        <f>SUMIF(88:88,E22,89:89)-SUMIF(88:88,C22,89:89)+100</f>
        <v>102</v>
      </c>
      <c r="G21" s="4207"/>
      <c r="H21" s="4211">
        <f>SUMIF(88:88,G22,89:89)-SUMIF(88:88,C22,89:89)+100</f>
        <v>102</v>
      </c>
      <c r="I21" s="4207"/>
      <c r="J21" s="4211">
        <f>SUMIF(88:88,I22,89:89)-SUMIF(88:88,C22,89:89)+100</f>
        <v>102</v>
      </c>
      <c r="K21" s="4212">
        <v>1</v>
      </c>
      <c r="L21" s="4179"/>
      <c r="M21" s="4097"/>
      <c r="N21" s="4097"/>
      <c r="O21" s="4171"/>
      <c r="P21" s="4202"/>
      <c r="Q21" s="4191" t="str">
        <f t="shared" ref="Q21:Q35" si="8">B21</f>
        <v>区域土地利用方向</v>
      </c>
      <c r="R21" s="4192" t="s">
        <v>3507</v>
      </c>
      <c r="S21" s="4193">
        <f>F21</f>
        <v>102</v>
      </c>
      <c r="T21" s="4192" t="s">
        <v>3493</v>
      </c>
      <c r="U21" s="4193">
        <f>H21</f>
        <v>102</v>
      </c>
      <c r="V21" s="4192" t="s">
        <v>3507</v>
      </c>
      <c r="W21" s="4193">
        <f>J21</f>
        <v>102</v>
      </c>
      <c r="X21" s="4103"/>
      <c r="Y21" s="4202"/>
      <c r="Z21" s="4194" t="str">
        <f>Q21</f>
        <v>区域土地利用方向</v>
      </c>
      <c r="AA21" s="4195">
        <f t="shared" si="3"/>
        <v>0.98039215686274506</v>
      </c>
      <c r="AB21" s="4195">
        <f t="shared" si="4"/>
        <v>0.98039215686274506</v>
      </c>
      <c r="AC21" s="4195">
        <f t="shared" si="5"/>
        <v>0.98039215686274506</v>
      </c>
    </row>
    <row r="22" spans="1:29" ht="15">
      <c r="A22" s="4107"/>
      <c r="B22" s="4213"/>
      <c r="C22" s="4198" t="s">
        <v>3508</v>
      </c>
      <c r="D22" s="4199"/>
      <c r="E22" s="4209" t="s">
        <v>3505</v>
      </c>
      <c r="F22" s="4214"/>
      <c r="G22" s="4210" t="s">
        <v>3505</v>
      </c>
      <c r="H22" s="4214"/>
      <c r="I22" s="4210" t="s">
        <v>3505</v>
      </c>
      <c r="J22" s="4214"/>
      <c r="K22" s="4215"/>
      <c r="L22" s="4179"/>
      <c r="M22" s="4097"/>
      <c r="N22" s="4097"/>
      <c r="O22" s="4171"/>
      <c r="P22" s="4202"/>
      <c r="Q22" s="4191"/>
      <c r="R22" s="4192"/>
      <c r="S22" s="4193"/>
      <c r="T22" s="4192"/>
      <c r="U22" s="4193"/>
      <c r="V22" s="4192"/>
      <c r="W22" s="4193"/>
      <c r="X22" s="4103"/>
      <c r="Y22" s="4202"/>
      <c r="Z22" s="4194"/>
      <c r="AA22" s="4195"/>
      <c r="AB22" s="4195"/>
      <c r="AC22" s="4195"/>
    </row>
    <row r="23" spans="1:29" ht="69">
      <c r="A23" s="4107"/>
      <c r="B23" s="4208" t="s">
        <v>3509</v>
      </c>
      <c r="C23" s="4204" t="str">
        <f>[4]估价对象房地状况!G18</f>
        <v>该区域内没有污染型企业，绿化情况教好，卫生条件教好，整体环境状况较好</v>
      </c>
      <c r="D23" s="4201">
        <v>100</v>
      </c>
      <c r="E23" s="4205"/>
      <c r="F23" s="4201">
        <f>SUMIF(90:90,E24,91:91)-SUMIF(90:90,C24,91:91)+100</f>
        <v>100</v>
      </c>
      <c r="G23" s="4205"/>
      <c r="H23" s="4201">
        <f>SUMIF(90:90,G24,91:91)-SUMIF(90:90,C24,91:91)+100</f>
        <v>100</v>
      </c>
      <c r="I23" s="4207"/>
      <c r="J23" s="4201">
        <f>SUMIF(90:90,I24,91:91)-SUMIF(90:90,C24,91:91)+100</f>
        <v>100</v>
      </c>
      <c r="K23" s="4169"/>
      <c r="L23" s="4179"/>
      <c r="M23" s="4097"/>
      <c r="N23" s="4097"/>
      <c r="O23" s="4171"/>
      <c r="P23" s="4202"/>
      <c r="Q23" s="4191" t="str">
        <f t="shared" si="8"/>
        <v>环境状况</v>
      </c>
      <c r="R23" s="4192" t="s">
        <v>3493</v>
      </c>
      <c r="S23" s="4193">
        <f>F23</f>
        <v>100</v>
      </c>
      <c r="T23" s="4192" t="s">
        <v>7</v>
      </c>
      <c r="U23" s="4193">
        <f>H23</f>
        <v>100</v>
      </c>
      <c r="V23" s="4192" t="s">
        <v>7</v>
      </c>
      <c r="W23" s="4193">
        <f>J23</f>
        <v>100</v>
      </c>
      <c r="X23" s="4103"/>
      <c r="Y23" s="4202"/>
      <c r="Z23" s="4194" t="str">
        <f>Q23</f>
        <v>环境状况</v>
      </c>
      <c r="AA23" s="4195">
        <f t="shared" si="3"/>
        <v>1</v>
      </c>
      <c r="AB23" s="4195">
        <f t="shared" si="4"/>
        <v>1</v>
      </c>
      <c r="AC23" s="4195">
        <f t="shared" si="5"/>
        <v>1</v>
      </c>
    </row>
    <row r="24" spans="1:29" ht="15">
      <c r="A24" s="4107"/>
      <c r="B24" s="4213"/>
      <c r="C24" s="4198" t="s">
        <v>3505</v>
      </c>
      <c r="D24" s="4199"/>
      <c r="E24" s="4200" t="s">
        <v>3505</v>
      </c>
      <c r="F24" s="4199"/>
      <c r="G24" s="4200" t="s">
        <v>3505</v>
      </c>
      <c r="H24" s="4199"/>
      <c r="I24" s="4198" t="s">
        <v>3505</v>
      </c>
      <c r="J24" s="4199"/>
      <c r="K24" s="4161"/>
      <c r="L24" s="4179"/>
      <c r="M24" s="4097"/>
      <c r="N24" s="4097"/>
      <c r="O24" s="4171"/>
      <c r="P24" s="4202"/>
      <c r="Q24" s="4191"/>
      <c r="R24" s="4192"/>
      <c r="S24" s="4193"/>
      <c r="T24" s="4192"/>
      <c r="U24" s="4193"/>
      <c r="V24" s="4192"/>
      <c r="W24" s="4193"/>
      <c r="X24" s="4103"/>
      <c r="Y24" s="4202"/>
      <c r="Z24" s="4194"/>
      <c r="AA24" s="4195">
        <v>1</v>
      </c>
      <c r="AB24" s="4195">
        <v>1</v>
      </c>
      <c r="AC24" s="4195">
        <v>1</v>
      </c>
    </row>
    <row r="25" spans="1:29" s="4145" customFormat="1" ht="41.4">
      <c r="A25" s="4216"/>
      <c r="B25" s="4217" t="s">
        <v>1673</v>
      </c>
      <c r="C25" s="4204" t="str">
        <f>[4]估价对象房地状况!G19</f>
        <v>估价对象所在区域公共配套设施齐备情况好</v>
      </c>
      <c r="D25" s="4201">
        <v>100</v>
      </c>
      <c r="E25" s="4205"/>
      <c r="F25" s="4201">
        <f>SUMIF(92:92,E26,93:93)-SUMIF(92:92,C26,93:93)+100</f>
        <v>100</v>
      </c>
      <c r="G25" s="4205"/>
      <c r="H25" s="4201">
        <f>SUMIF(92:92,G26,93:93)-SUMIF(92:92,C26,93:93)+100</f>
        <v>100</v>
      </c>
      <c r="I25" s="4207"/>
      <c r="J25" s="4201">
        <f>SUMIF(92:92,I26,93:93)-SUMIF(92:92,C26,93:93)+100</f>
        <v>100</v>
      </c>
      <c r="K25" s="4169"/>
      <c r="L25" s="4136"/>
      <c r="M25" s="4137"/>
      <c r="N25" s="4137"/>
      <c r="O25" s="4153"/>
      <c r="P25" s="4202"/>
      <c r="Q25" s="4155" t="str">
        <f t="shared" si="8"/>
        <v>公共配套设施</v>
      </c>
      <c r="R25" s="4140" t="s">
        <v>7</v>
      </c>
      <c r="S25" s="4141">
        <f>F25</f>
        <v>100</v>
      </c>
      <c r="T25" s="4140" t="s">
        <v>7</v>
      </c>
      <c r="U25" s="4141">
        <f>H25</f>
        <v>100</v>
      </c>
      <c r="V25" s="4140" t="s">
        <v>7</v>
      </c>
      <c r="W25" s="4141">
        <f>J25</f>
        <v>100</v>
      </c>
      <c r="X25" s="4142"/>
      <c r="Y25" s="4202"/>
      <c r="Z25" s="4157" t="str">
        <f>Q25</f>
        <v>公共配套设施</v>
      </c>
      <c r="AA25" s="4195">
        <f>D25/F25</f>
        <v>1</v>
      </c>
      <c r="AB25" s="4195">
        <f>D25/H25</f>
        <v>1</v>
      </c>
      <c r="AC25" s="4195">
        <f>D25/J25</f>
        <v>1</v>
      </c>
    </row>
    <row r="26" spans="1:29" s="4145" customFormat="1" ht="15">
      <c r="A26" s="4216"/>
      <c r="B26" s="4213"/>
      <c r="C26" s="4218" t="s">
        <v>3505</v>
      </c>
      <c r="D26" s="4199"/>
      <c r="E26" s="4200" t="s">
        <v>3505</v>
      </c>
      <c r="F26" s="4199"/>
      <c r="G26" s="4200" t="s">
        <v>3505</v>
      </c>
      <c r="H26" s="4199"/>
      <c r="I26" s="4198" t="s">
        <v>3505</v>
      </c>
      <c r="J26" s="4199"/>
      <c r="K26" s="4161"/>
      <c r="L26" s="4136"/>
      <c r="M26" s="4137"/>
      <c r="N26" s="4137"/>
      <c r="O26" s="4153"/>
      <c r="P26" s="4202"/>
      <c r="Q26" s="4155"/>
      <c r="R26" s="4140"/>
      <c r="S26" s="4141"/>
      <c r="T26" s="4140"/>
      <c r="U26" s="4141"/>
      <c r="V26" s="4140"/>
      <c r="W26" s="4141"/>
      <c r="X26" s="4142"/>
      <c r="Y26" s="4202"/>
      <c r="Z26" s="4157"/>
      <c r="AA26" s="4144">
        <v>1</v>
      </c>
      <c r="AB26" s="4144">
        <v>1</v>
      </c>
      <c r="AC26" s="4144">
        <v>1</v>
      </c>
    </row>
    <row r="27" spans="1:29" s="4145" customFormat="1" ht="15">
      <c r="A27" s="4216"/>
      <c r="B27" s="4217" t="s">
        <v>3510</v>
      </c>
      <c r="C27" s="4204" t="str">
        <f>[4]估价对象房地状况!G20</f>
        <v>七通</v>
      </c>
      <c r="D27" s="4201">
        <v>100</v>
      </c>
      <c r="E27" s="4205"/>
      <c r="F27" s="4201">
        <f>SUMIF(94:94,E28,95:95)-SUMIF(94:94,C28,95:95)+100</f>
        <v>100</v>
      </c>
      <c r="G27" s="4205"/>
      <c r="H27" s="4201">
        <f>SUMIF(94:94,G28,95:95)-SUMIF(94:94,C28,95:95)+100</f>
        <v>100</v>
      </c>
      <c r="I27" s="4207"/>
      <c r="J27" s="4201">
        <f>SUMIF(94:94,I28,95:95)-SUMIF(94:94,C28,95:95)+100</f>
        <v>100</v>
      </c>
      <c r="K27" s="4169"/>
      <c r="L27" s="4136"/>
      <c r="M27" s="4137"/>
      <c r="N27" s="4137"/>
      <c r="O27" s="4153"/>
      <c r="P27" s="4202"/>
      <c r="Q27" s="4155" t="str">
        <f>B27</f>
        <v>基础设施水平</v>
      </c>
      <c r="R27" s="4140" t="s">
        <v>7</v>
      </c>
      <c r="S27" s="4141">
        <f>F27</f>
        <v>100</v>
      </c>
      <c r="T27" s="4140" t="s">
        <v>7</v>
      </c>
      <c r="U27" s="4141">
        <f>H27</f>
        <v>100</v>
      </c>
      <c r="V27" s="4140" t="s">
        <v>7</v>
      </c>
      <c r="W27" s="4141">
        <f>J27</f>
        <v>100</v>
      </c>
      <c r="X27" s="4142"/>
      <c r="Y27" s="4202"/>
      <c r="Z27" s="4157" t="str">
        <f>Q27</f>
        <v>基础设施水平</v>
      </c>
      <c r="AA27" s="4195">
        <f>D27/F27</f>
        <v>1</v>
      </c>
      <c r="AB27" s="4195">
        <f>D27/H27</f>
        <v>1</v>
      </c>
      <c r="AC27" s="4195">
        <f>D27/J27</f>
        <v>1</v>
      </c>
    </row>
    <row r="28" spans="1:29" s="4145" customFormat="1" ht="15">
      <c r="A28" s="4216"/>
      <c r="B28" s="4213"/>
      <c r="C28" s="4218" t="s">
        <v>3511</v>
      </c>
      <c r="D28" s="4199"/>
      <c r="E28" s="4219" t="s">
        <v>3511</v>
      </c>
      <c r="F28" s="4199"/>
      <c r="G28" s="4219" t="s">
        <v>3511</v>
      </c>
      <c r="H28" s="4199"/>
      <c r="I28" s="4219" t="s">
        <v>3511</v>
      </c>
      <c r="J28" s="4199"/>
      <c r="K28" s="4161"/>
      <c r="L28" s="4136"/>
      <c r="M28" s="4137"/>
      <c r="N28" s="4137"/>
      <c r="O28" s="4153"/>
      <c r="P28" s="4202"/>
      <c r="Q28" s="4155"/>
      <c r="R28" s="4140"/>
      <c r="S28" s="4141"/>
      <c r="T28" s="4140"/>
      <c r="U28" s="4141"/>
      <c r="V28" s="4140"/>
      <c r="W28" s="4141"/>
      <c r="X28" s="4142"/>
      <c r="Y28" s="4202"/>
      <c r="Z28" s="4157"/>
      <c r="AA28" s="4144">
        <v>1</v>
      </c>
      <c r="AB28" s="4144">
        <v>1</v>
      </c>
      <c r="AC28" s="4144">
        <v>1</v>
      </c>
    </row>
    <row r="29" spans="1:29" ht="15">
      <c r="A29" s="4196"/>
      <c r="B29" s="4213" t="s">
        <v>710</v>
      </c>
      <c r="C29" s="4220" t="s">
        <v>3512</v>
      </c>
      <c r="D29" s="4178">
        <v>100</v>
      </c>
      <c r="E29" s="4221" t="s">
        <v>3512</v>
      </c>
      <c r="F29" s="4178">
        <f>SUMIF(96:96,E29,97:97)-SUMIF(96:96,C29,97:97)+100</f>
        <v>100</v>
      </c>
      <c r="G29" s="4221" t="s">
        <v>3512</v>
      </c>
      <c r="H29" s="4178">
        <f>SUMIF(96:96,G29,97:97)-SUMIF(96:96,C29,97:97)+100</f>
        <v>100</v>
      </c>
      <c r="I29" s="4221" t="s">
        <v>3512</v>
      </c>
      <c r="J29" s="4178">
        <f>SUMIF(96:96,I29,97:97)-SUMIF(96:96,C29,97:97)+100</f>
        <v>100</v>
      </c>
      <c r="K29" s="4169">
        <v>2</v>
      </c>
      <c r="L29" s="4179"/>
      <c r="M29" s="4097"/>
      <c r="N29" s="4097"/>
      <c r="O29" s="4171"/>
      <c r="P29" s="4202"/>
      <c r="Q29" s="4191" t="str">
        <f t="shared" si="8"/>
        <v>临街状况</v>
      </c>
      <c r="R29" s="4192" t="s">
        <v>7</v>
      </c>
      <c r="S29" s="4193">
        <f t="shared" ref="S29:S42" si="9">F29</f>
        <v>100</v>
      </c>
      <c r="T29" s="4192" t="s">
        <v>7</v>
      </c>
      <c r="U29" s="4193">
        <f t="shared" ref="U29:U42" si="10">H29</f>
        <v>100</v>
      </c>
      <c r="V29" s="4192" t="s">
        <v>7</v>
      </c>
      <c r="W29" s="4193">
        <f t="shared" ref="W29:W42" si="11">J29</f>
        <v>100</v>
      </c>
      <c r="X29" s="4103"/>
      <c r="Y29" s="4202"/>
      <c r="Z29" s="4194" t="str">
        <f t="shared" ref="Z29:Z42" si="12">Q29</f>
        <v>临街状况</v>
      </c>
      <c r="AA29" s="4195">
        <f t="shared" si="3"/>
        <v>1</v>
      </c>
      <c r="AB29" s="4195">
        <f t="shared" si="4"/>
        <v>1</v>
      </c>
      <c r="AC29" s="4195">
        <f t="shared" si="5"/>
        <v>1</v>
      </c>
    </row>
    <row r="30" spans="1:29" ht="28.8">
      <c r="A30" s="4196"/>
      <c r="B30" s="4208" t="s">
        <v>724</v>
      </c>
      <c r="C30" s="4222">
        <f>[4]估价对象房地状况!G22</f>
        <v>0</v>
      </c>
      <c r="D30" s="4201">
        <v>100</v>
      </c>
      <c r="E30" s="4205"/>
      <c r="F30" s="4201">
        <f>SUMIF(98:98,E31,99:99)-SUMIF(98:98,C31,99:99)+100</f>
        <v>100</v>
      </c>
      <c r="G30" s="4205"/>
      <c r="H30" s="4201">
        <f>SUMIF(98:98,G31,99:99)-SUMIF(98:98,C31,99:99)+100</f>
        <v>100</v>
      </c>
      <c r="I30" s="4207"/>
      <c r="J30" s="4201">
        <f>SUMIF(98:98,I31,99:99)-SUMIF(98:98,C31,99:99)+100</f>
        <v>100</v>
      </c>
      <c r="K30" s="4169"/>
      <c r="L30" s="4179"/>
      <c r="M30" s="4097"/>
      <c r="N30" s="4097"/>
      <c r="O30" s="4171"/>
      <c r="P30" s="4202"/>
      <c r="Q30" s="4191" t="str">
        <f t="shared" si="8"/>
        <v>毗邻道路的类型与等级</v>
      </c>
      <c r="R30" s="4192" t="s">
        <v>7</v>
      </c>
      <c r="S30" s="4193">
        <f t="shared" si="9"/>
        <v>100</v>
      </c>
      <c r="T30" s="4192" t="s">
        <v>7</v>
      </c>
      <c r="U30" s="4193">
        <f t="shared" si="10"/>
        <v>100</v>
      </c>
      <c r="V30" s="4192" t="s">
        <v>7</v>
      </c>
      <c r="W30" s="4193">
        <f t="shared" si="11"/>
        <v>100</v>
      </c>
      <c r="X30" s="4103"/>
      <c r="Y30" s="4202"/>
      <c r="Z30" s="4194" t="str">
        <f t="shared" si="12"/>
        <v>毗邻道路的类型与等级</v>
      </c>
      <c r="AA30" s="4195">
        <f t="shared" si="3"/>
        <v>1</v>
      </c>
      <c r="AB30" s="4195">
        <f t="shared" si="4"/>
        <v>1</v>
      </c>
      <c r="AC30" s="4195">
        <f t="shared" si="5"/>
        <v>1</v>
      </c>
    </row>
    <row r="31" spans="1:29" ht="15">
      <c r="A31" s="4196"/>
      <c r="B31" s="4213"/>
      <c r="C31" s="4198"/>
      <c r="D31" s="4199"/>
      <c r="E31" s="4198"/>
      <c r="F31" s="4199"/>
      <c r="G31" s="4198"/>
      <c r="H31" s="4199"/>
      <c r="I31" s="4198"/>
      <c r="J31" s="4199"/>
      <c r="K31" s="4223"/>
      <c r="L31" s="4179"/>
      <c r="M31" s="4097"/>
      <c r="N31" s="4097"/>
      <c r="O31" s="4171"/>
      <c r="P31" s="4202"/>
      <c r="Q31" s="4191"/>
      <c r="R31" s="4192"/>
      <c r="S31" s="4193"/>
      <c r="T31" s="4192"/>
      <c r="U31" s="4193"/>
      <c r="V31" s="4192"/>
      <c r="W31" s="4193"/>
      <c r="X31" s="4103"/>
      <c r="Y31" s="4202"/>
      <c r="Z31" s="4194"/>
      <c r="AA31" s="4195">
        <v>1</v>
      </c>
      <c r="AB31" s="4195">
        <v>1</v>
      </c>
      <c r="AC31" s="4195">
        <v>1</v>
      </c>
    </row>
    <row r="32" spans="1:29" ht="15">
      <c r="A32" s="4196"/>
      <c r="B32" s="4224" t="s">
        <v>3513</v>
      </c>
      <c r="C32" s="4225" t="str">
        <f>[4]估价对象房地状况!G23</f>
        <v>六级</v>
      </c>
      <c r="D32" s="4178">
        <v>100</v>
      </c>
      <c r="E32" s="4221" t="s">
        <v>1152</v>
      </c>
      <c r="F32" s="4178">
        <f>SUMIF(100:100,E32,101:101)-SUMIF(100:100,C32,101:101)+100</f>
        <v>100</v>
      </c>
      <c r="G32" s="4221" t="s">
        <v>1152</v>
      </c>
      <c r="H32" s="4178">
        <f>SUMIF(100:100,G32,101:101)-SUMIF(100:100,C32,101:101)+100</f>
        <v>100</v>
      </c>
      <c r="I32" s="4221" t="s">
        <v>1153</v>
      </c>
      <c r="J32" s="4178">
        <f>SUMIF(100:100,I32,101:101)-SUMIF(100:100,C32,101:101)+100</f>
        <v>100</v>
      </c>
      <c r="K32" s="4226">
        <v>0</v>
      </c>
      <c r="L32" s="4179"/>
      <c r="M32" s="4097"/>
      <c r="N32" s="4097"/>
      <c r="O32" s="4171"/>
      <c r="P32" s="4202"/>
      <c r="Q32" s="4191" t="str">
        <f t="shared" si="8"/>
        <v>土地级别</v>
      </c>
      <c r="R32" s="4192" t="s">
        <v>7</v>
      </c>
      <c r="S32" s="4193">
        <f t="shared" si="9"/>
        <v>100</v>
      </c>
      <c r="T32" s="4192" t="s">
        <v>7</v>
      </c>
      <c r="U32" s="4193">
        <f t="shared" si="10"/>
        <v>100</v>
      </c>
      <c r="V32" s="4192" t="s">
        <v>7</v>
      </c>
      <c r="W32" s="4193">
        <f t="shared" si="11"/>
        <v>100</v>
      </c>
      <c r="X32" s="4103"/>
      <c r="Y32" s="4202"/>
      <c r="Z32" s="4194" t="str">
        <f t="shared" si="12"/>
        <v>土地级别</v>
      </c>
      <c r="AA32" s="4195">
        <f t="shared" si="3"/>
        <v>1</v>
      </c>
      <c r="AB32" s="4195">
        <f t="shared" si="4"/>
        <v>1</v>
      </c>
      <c r="AC32" s="4195">
        <f t="shared" si="5"/>
        <v>1</v>
      </c>
    </row>
    <row r="33" spans="1:29" ht="15">
      <c r="A33" s="4107"/>
      <c r="B33" s="4227">
        <v>111</v>
      </c>
      <c r="C33" s="4176"/>
      <c r="D33" s="4178">
        <v>100</v>
      </c>
      <c r="E33" s="4228"/>
      <c r="F33" s="4178">
        <f>SUMIF(102:102,E33,103:103)-SUMIF(102:102,C33,103:103)+100</f>
        <v>100</v>
      </c>
      <c r="G33" s="4228"/>
      <c r="H33" s="4178">
        <f>SUMIF(102:102,G33,103:103)-SUMIF(102:102,C33,103:103)+100</f>
        <v>100</v>
      </c>
      <c r="I33" s="4175"/>
      <c r="J33" s="4178">
        <f>SUMIF(102:102,I33,103:103)-SUMIF(102:102,C33,103:103)+100</f>
        <v>100</v>
      </c>
      <c r="K33" s="4223"/>
      <c r="L33" s="4179"/>
      <c r="M33" s="4097"/>
      <c r="N33" s="4097"/>
      <c r="O33" s="4171"/>
      <c r="P33" s="4202"/>
      <c r="Q33" s="4191">
        <f t="shared" si="8"/>
        <v>111</v>
      </c>
      <c r="R33" s="4192" t="s">
        <v>7</v>
      </c>
      <c r="S33" s="4193">
        <f t="shared" si="9"/>
        <v>100</v>
      </c>
      <c r="T33" s="4192" t="s">
        <v>7</v>
      </c>
      <c r="U33" s="4193">
        <f t="shared" si="10"/>
        <v>100</v>
      </c>
      <c r="V33" s="4192" t="s">
        <v>7</v>
      </c>
      <c r="W33" s="4193">
        <f t="shared" si="11"/>
        <v>100</v>
      </c>
      <c r="X33" s="4103"/>
      <c r="Y33" s="4202"/>
      <c r="Z33" s="4194">
        <f t="shared" si="12"/>
        <v>111</v>
      </c>
      <c r="AA33" s="4195">
        <f t="shared" si="3"/>
        <v>1</v>
      </c>
      <c r="AB33" s="4195">
        <f t="shared" si="4"/>
        <v>1</v>
      </c>
      <c r="AC33" s="4195">
        <f t="shared" si="5"/>
        <v>1</v>
      </c>
    </row>
    <row r="34" spans="1:29" ht="15">
      <c r="A34" s="4229"/>
      <c r="B34" s="4230">
        <v>111</v>
      </c>
      <c r="C34" s="4176"/>
      <c r="D34" s="4178">
        <v>100</v>
      </c>
      <c r="E34" s="4228"/>
      <c r="F34" s="4178">
        <f>SUMIF(104:104,E35,105:105)-SUMIF(104:104,C35,105:105)+100</f>
        <v>100</v>
      </c>
      <c r="G34" s="4228"/>
      <c r="H34" s="4178">
        <f>SUMIF(104:104,G34,105:105)-SUMIF(104:104,C34,105:105)+100</f>
        <v>100</v>
      </c>
      <c r="I34" s="4176"/>
      <c r="J34" s="4178">
        <f>SUMIF(104:104,I34,105:105)-SUMIF(104:104,C34,105:105)+100</f>
        <v>100</v>
      </c>
      <c r="K34" s="4223"/>
      <c r="L34" s="4179"/>
      <c r="M34" s="4097"/>
      <c r="N34" s="4097"/>
      <c r="O34" s="4171"/>
      <c r="P34" s="4231" t="s">
        <v>499</v>
      </c>
      <c r="Q34" s="4191">
        <f t="shared" si="8"/>
        <v>111</v>
      </c>
      <c r="R34" s="4192" t="s">
        <v>7</v>
      </c>
      <c r="S34" s="4193">
        <f t="shared" si="9"/>
        <v>100</v>
      </c>
      <c r="T34" s="4192" t="s">
        <v>7</v>
      </c>
      <c r="U34" s="4193">
        <f t="shared" si="10"/>
        <v>100</v>
      </c>
      <c r="V34" s="4192" t="s">
        <v>7</v>
      </c>
      <c r="W34" s="4193">
        <f t="shared" si="11"/>
        <v>100</v>
      </c>
      <c r="X34" s="4103"/>
      <c r="Y34" s="4232" t="s">
        <v>499</v>
      </c>
      <c r="Z34" s="4194">
        <f t="shared" si="12"/>
        <v>111</v>
      </c>
      <c r="AA34" s="4195">
        <f t="shared" si="3"/>
        <v>1</v>
      </c>
      <c r="AB34" s="4195">
        <f t="shared" si="4"/>
        <v>1</v>
      </c>
      <c r="AC34" s="4195">
        <f t="shared" si="5"/>
        <v>1</v>
      </c>
    </row>
    <row r="35" spans="1:29" s="4244" customFormat="1" ht="15.6" thickBot="1">
      <c r="A35" s="4233"/>
      <c r="B35" s="4234">
        <v>111</v>
      </c>
      <c r="C35" s="4235"/>
      <c r="D35" s="4236">
        <v>100</v>
      </c>
      <c r="E35" s="4237"/>
      <c r="F35" s="4183">
        <f>SUMIF(106:106,E35,107:107)-SUMIF(106:106,C35,107:107)+100</f>
        <v>100</v>
      </c>
      <c r="G35" s="4237"/>
      <c r="H35" s="4183">
        <f>SUMIF(106:106,G35,107:107)-SUMIF(106:106,C35,107:107)+100</f>
        <v>100</v>
      </c>
      <c r="I35" s="4235"/>
      <c r="J35" s="4183">
        <f>SUMIF(106:106,I35,107:107)-SUMIF(106:106,C35,107:107)+100</f>
        <v>100</v>
      </c>
      <c r="K35" s="4223"/>
      <c r="L35" s="4170"/>
      <c r="M35" s="4238"/>
      <c r="N35" s="4238"/>
      <c r="O35" s="4239"/>
      <c r="P35" s="4232"/>
      <c r="Q35" s="4191">
        <f t="shared" si="8"/>
        <v>111</v>
      </c>
      <c r="R35" s="4240" t="s">
        <v>7</v>
      </c>
      <c r="S35" s="4241">
        <f t="shared" si="9"/>
        <v>100</v>
      </c>
      <c r="T35" s="4240" t="s">
        <v>7</v>
      </c>
      <c r="U35" s="4241">
        <f t="shared" si="10"/>
        <v>100</v>
      </c>
      <c r="V35" s="4240" t="s">
        <v>7</v>
      </c>
      <c r="W35" s="4241">
        <f t="shared" si="11"/>
        <v>100</v>
      </c>
      <c r="X35" s="4242"/>
      <c r="Y35" s="4232"/>
      <c r="Z35" s="4243">
        <f t="shared" si="12"/>
        <v>111</v>
      </c>
      <c r="AA35" s="4195">
        <f t="shared" si="3"/>
        <v>1</v>
      </c>
      <c r="AB35" s="4195">
        <f t="shared" si="4"/>
        <v>1</v>
      </c>
      <c r="AC35" s="4195">
        <f t="shared" si="5"/>
        <v>1</v>
      </c>
    </row>
    <row r="36" spans="1:29" ht="15">
      <c r="A36" s="4245" t="s">
        <v>3514</v>
      </c>
      <c r="B36" s="4213" t="s">
        <v>541</v>
      </c>
      <c r="C36" s="4246">
        <f>'数据-基础表'!A3</f>
        <v>106677.19</v>
      </c>
      <c r="D36" s="4247">
        <v>100</v>
      </c>
      <c r="E36" s="4246">
        <f>'案例（海淀）'!$D$3</f>
        <v>180055.75</v>
      </c>
      <c r="F36" s="4247">
        <f>LOOKUP(E36,109:109,110:110)-LOOKUP(C36,109:109,110:110)+100</f>
        <v>99</v>
      </c>
      <c r="G36" s="4246">
        <f>'案例（海淀）'!$D$4</f>
        <v>187577</v>
      </c>
      <c r="H36" s="4247">
        <f>LOOKUP(G36,109:109,110:110)-LOOKUP(C36,109:109,110:110)+100</f>
        <v>99</v>
      </c>
      <c r="I36" s="4248">
        <f>'案例（海淀）'!$D$6</f>
        <v>156502.60800000001</v>
      </c>
      <c r="J36" s="4247">
        <f>LOOKUP(I36,109:109,110:110)-LOOKUP(C36,109:109,110:110)+100</f>
        <v>99</v>
      </c>
      <c r="K36" s="4223"/>
      <c r="L36" s="4179"/>
      <c r="M36" s="4097"/>
      <c r="N36" s="4097"/>
      <c r="O36" s="4171"/>
      <c r="P36" s="4232"/>
      <c r="Q36" s="4191" t="str">
        <f>B36</f>
        <v>宗地面积</v>
      </c>
      <c r="R36" s="4192" t="s">
        <v>7</v>
      </c>
      <c r="S36" s="4193">
        <f t="shared" si="9"/>
        <v>99</v>
      </c>
      <c r="T36" s="4192" t="s">
        <v>7</v>
      </c>
      <c r="U36" s="4193">
        <f t="shared" si="10"/>
        <v>99</v>
      </c>
      <c r="V36" s="4192" t="s">
        <v>7</v>
      </c>
      <c r="W36" s="4193">
        <f t="shared" si="11"/>
        <v>99</v>
      </c>
      <c r="X36" s="4103"/>
      <c r="Y36" s="4232"/>
      <c r="Z36" s="4194" t="str">
        <f t="shared" si="12"/>
        <v>宗地面积</v>
      </c>
      <c r="AA36" s="4195">
        <f t="shared" si="3"/>
        <v>1.0101010101010102</v>
      </c>
      <c r="AB36" s="4195">
        <f t="shared" si="4"/>
        <v>1.0101010101010102</v>
      </c>
      <c r="AC36" s="4195">
        <f t="shared" si="5"/>
        <v>1.0101010101010102</v>
      </c>
    </row>
    <row r="37" spans="1:29" ht="27.6">
      <c r="A37" s="4249"/>
      <c r="B37" s="4224" t="s">
        <v>542</v>
      </c>
      <c r="C37" s="4250" t="s">
        <v>3627</v>
      </c>
      <c r="D37" s="4178">
        <v>100</v>
      </c>
      <c r="E37" s="4250" t="s">
        <v>3515</v>
      </c>
      <c r="F37" s="4178">
        <f>SUMIF(111:111,E37,112:112)-SUMIF(111:111,C37,112:112)+100</f>
        <v>104</v>
      </c>
      <c r="G37" s="4250" t="s">
        <v>3515</v>
      </c>
      <c r="H37" s="4178">
        <f>SUMIF(111:111,G37,112:112)-SUMIF(111:111,C37,112:112)+100</f>
        <v>104</v>
      </c>
      <c r="I37" s="4250" t="s">
        <v>3515</v>
      </c>
      <c r="J37" s="4178">
        <f>SUMIF(111:111,I37,112:112)-SUMIF(111:111,C37,112:112)+100</f>
        <v>104</v>
      </c>
      <c r="K37" s="4226">
        <v>2</v>
      </c>
      <c r="L37" s="4179"/>
      <c r="M37" s="4097"/>
      <c r="N37" s="4097"/>
      <c r="O37" s="4171"/>
      <c r="P37" s="4232"/>
      <c r="Q37" s="4191" t="str">
        <f t="shared" ref="Q37:Q42" si="13">B37</f>
        <v>宗地形状</v>
      </c>
      <c r="R37" s="4192" t="s">
        <v>7</v>
      </c>
      <c r="S37" s="4193">
        <f t="shared" si="9"/>
        <v>104</v>
      </c>
      <c r="T37" s="4192" t="s">
        <v>7</v>
      </c>
      <c r="U37" s="4193">
        <f t="shared" si="10"/>
        <v>104</v>
      </c>
      <c r="V37" s="4192" t="s">
        <v>7</v>
      </c>
      <c r="W37" s="4193">
        <f t="shared" si="11"/>
        <v>104</v>
      </c>
      <c r="X37" s="4103"/>
      <c r="Y37" s="4232"/>
      <c r="Z37" s="4194" t="str">
        <f t="shared" si="12"/>
        <v>宗地形状</v>
      </c>
      <c r="AA37" s="4195">
        <f t="shared" si="3"/>
        <v>0.96153846153846156</v>
      </c>
      <c r="AB37" s="4195">
        <f t="shared" si="4"/>
        <v>0.96153846153846156</v>
      </c>
      <c r="AC37" s="4195">
        <f t="shared" si="5"/>
        <v>0.96153846153846156</v>
      </c>
    </row>
    <row r="38" spans="1:29" s="4145" customFormat="1" ht="15">
      <c r="A38" s="4251"/>
      <c r="B38" s="4252" t="s">
        <v>1776</v>
      </c>
      <c r="C38" s="4253" t="s">
        <v>3511</v>
      </c>
      <c r="D38" s="4160">
        <v>100</v>
      </c>
      <c r="E38" s="4253" t="s">
        <v>3511</v>
      </c>
      <c r="F38" s="4178">
        <f>SUMIF(113:113,E38,114:114)-SUMIF(113:113,C38,114:114)+100</f>
        <v>100</v>
      </c>
      <c r="G38" s="4253" t="s">
        <v>3511</v>
      </c>
      <c r="H38" s="4178">
        <f>SUMIF(113:113,G38,114:114)-SUMIF(113:113,C38,114:114)+100</f>
        <v>100</v>
      </c>
      <c r="I38" s="4253" t="s">
        <v>3511</v>
      </c>
      <c r="J38" s="4178">
        <f>SUMIF(113:113,I38,114:114)-SUMIF(113:113,C38,114:114)+100</f>
        <v>100</v>
      </c>
      <c r="K38" s="4226"/>
      <c r="L38" s="4136"/>
      <c r="M38" s="4137"/>
      <c r="N38" s="4137"/>
      <c r="O38" s="4153"/>
      <c r="P38" s="4232"/>
      <c r="Q38" s="4191" t="str">
        <f t="shared" si="13"/>
        <v>宗地开发程度</v>
      </c>
      <c r="R38" s="4140" t="s">
        <v>7</v>
      </c>
      <c r="S38" s="4141">
        <f t="shared" si="9"/>
        <v>100</v>
      </c>
      <c r="T38" s="4140" t="s">
        <v>7</v>
      </c>
      <c r="U38" s="4141">
        <f t="shared" si="10"/>
        <v>100</v>
      </c>
      <c r="V38" s="4140" t="s">
        <v>7</v>
      </c>
      <c r="W38" s="4141">
        <f t="shared" si="11"/>
        <v>100</v>
      </c>
      <c r="X38" s="4142"/>
      <c r="Y38" s="4232"/>
      <c r="Z38" s="4157" t="str">
        <f t="shared" si="12"/>
        <v>宗地开发程度</v>
      </c>
      <c r="AA38" s="4144">
        <f t="shared" si="3"/>
        <v>1</v>
      </c>
      <c r="AB38" s="4144">
        <f t="shared" si="4"/>
        <v>1</v>
      </c>
      <c r="AC38" s="4144">
        <f t="shared" si="5"/>
        <v>1</v>
      </c>
    </row>
    <row r="39" spans="1:29" ht="15">
      <c r="A39" s="4249"/>
      <c r="B39" s="4224" t="s">
        <v>544</v>
      </c>
      <c r="C39" s="4250"/>
      <c r="D39" s="4178">
        <v>100</v>
      </c>
      <c r="E39" s="4250"/>
      <c r="F39" s="4178">
        <f>SUMIF(115:115,E39,116:116)-SUMIF(115:115,C39,116:116)+100</f>
        <v>100</v>
      </c>
      <c r="G39" s="4250"/>
      <c r="H39" s="4178">
        <f>SUMIF(115:115,G39,116:116)-SUMIF(115:115,C39,116:116)+100</f>
        <v>100</v>
      </c>
      <c r="I39" s="4250"/>
      <c r="J39" s="4178">
        <f>SUMIF(115:115,I39,116:116)-SUMIF(115:115,C39,116:116)+100</f>
        <v>100</v>
      </c>
      <c r="K39" s="4226"/>
      <c r="L39" s="4179"/>
      <c r="M39" s="4097"/>
      <c r="N39" s="4097"/>
      <c r="O39" s="4171"/>
      <c r="P39" s="4232" t="s">
        <v>499</v>
      </c>
      <c r="Q39" s="4191" t="str">
        <f t="shared" si="13"/>
        <v>工程地质条件</v>
      </c>
      <c r="R39" s="4192" t="s">
        <v>7</v>
      </c>
      <c r="S39" s="4193">
        <f t="shared" si="9"/>
        <v>100</v>
      </c>
      <c r="T39" s="4192" t="s">
        <v>7</v>
      </c>
      <c r="U39" s="4193">
        <f t="shared" si="10"/>
        <v>100</v>
      </c>
      <c r="V39" s="4192" t="s">
        <v>7</v>
      </c>
      <c r="W39" s="4193">
        <f t="shared" si="11"/>
        <v>100</v>
      </c>
      <c r="X39" s="4103"/>
      <c r="Y39" s="4232" t="s">
        <v>499</v>
      </c>
      <c r="Z39" s="4194" t="str">
        <f t="shared" si="12"/>
        <v>工程地质条件</v>
      </c>
      <c r="AA39" s="4195">
        <f t="shared" si="3"/>
        <v>1</v>
      </c>
      <c r="AB39" s="4195">
        <f t="shared" si="4"/>
        <v>1</v>
      </c>
      <c r="AC39" s="4195">
        <f t="shared" si="5"/>
        <v>1</v>
      </c>
    </row>
    <row r="40" spans="1:29" ht="15">
      <c r="A40" s="4249"/>
      <c r="B40" s="4230">
        <v>111</v>
      </c>
      <c r="C40" s="4176"/>
      <c r="D40" s="4178">
        <v>100</v>
      </c>
      <c r="E40" s="4176"/>
      <c r="F40" s="4178">
        <f>SUMIF(117:117,E40,118:118)-SUMIF(117:117,C40,118:118)+100</f>
        <v>100</v>
      </c>
      <c r="G40" s="4176"/>
      <c r="H40" s="4178">
        <f>SUMIF(117:117,G40,118:118)-SUMIF(117:117,C40,118:118)+100</f>
        <v>100</v>
      </c>
      <c r="I40" s="4175"/>
      <c r="J40" s="4178">
        <f>SUMIF(117:117,I40,118:118)-SUMIF(117:117,C40,118:118)+100</f>
        <v>100</v>
      </c>
      <c r="K40" s="4223"/>
      <c r="L40" s="4179"/>
      <c r="M40" s="4097"/>
      <c r="N40" s="4097"/>
      <c r="O40" s="4171"/>
      <c r="P40" s="4232"/>
      <c r="Q40" s="4191">
        <f t="shared" si="13"/>
        <v>111</v>
      </c>
      <c r="R40" s="4192" t="s">
        <v>7</v>
      </c>
      <c r="S40" s="4193">
        <f t="shared" si="9"/>
        <v>100</v>
      </c>
      <c r="T40" s="4192" t="s">
        <v>7</v>
      </c>
      <c r="U40" s="4193">
        <f t="shared" si="10"/>
        <v>100</v>
      </c>
      <c r="V40" s="4192" t="s">
        <v>7</v>
      </c>
      <c r="W40" s="4193">
        <f t="shared" si="11"/>
        <v>100</v>
      </c>
      <c r="X40" s="4103"/>
      <c r="Y40" s="4232"/>
      <c r="Z40" s="4194">
        <f t="shared" si="12"/>
        <v>111</v>
      </c>
      <c r="AA40" s="4195">
        <f t="shared" si="3"/>
        <v>1</v>
      </c>
      <c r="AB40" s="4195">
        <f t="shared" si="4"/>
        <v>1</v>
      </c>
      <c r="AC40" s="4195">
        <f t="shared" si="5"/>
        <v>1</v>
      </c>
    </row>
    <row r="41" spans="1:29" ht="15">
      <c r="A41" s="4249"/>
      <c r="B41" s="4230">
        <v>111</v>
      </c>
      <c r="C41" s="4176"/>
      <c r="D41" s="4178">
        <v>100</v>
      </c>
      <c r="E41" s="4176"/>
      <c r="F41" s="4178">
        <f>SUMIF(119:119,E41,120:120)-SUMIF(119:119,C41,120:120)+100</f>
        <v>100</v>
      </c>
      <c r="G41" s="4176"/>
      <c r="H41" s="4178">
        <f>SUMIF(119:119,G41,120:120)-SUMIF(119:119,C41,120:120)+100</f>
        <v>100</v>
      </c>
      <c r="I41" s="4175"/>
      <c r="J41" s="4178">
        <f>SUMIF(119:119,I41,120:120)-SUMIF(119:119,C41,120:120)+100</f>
        <v>100</v>
      </c>
      <c r="K41" s="4223"/>
      <c r="L41" s="4179"/>
      <c r="M41" s="4097"/>
      <c r="N41" s="4097"/>
      <c r="O41" s="4171"/>
      <c r="P41" s="4232"/>
      <c r="Q41" s="4191">
        <f t="shared" si="13"/>
        <v>111</v>
      </c>
      <c r="R41" s="4192" t="s">
        <v>7</v>
      </c>
      <c r="S41" s="4193">
        <f t="shared" si="9"/>
        <v>100</v>
      </c>
      <c r="T41" s="4192" t="s">
        <v>7</v>
      </c>
      <c r="U41" s="4193">
        <f t="shared" si="10"/>
        <v>100</v>
      </c>
      <c r="V41" s="4192" t="s">
        <v>7</v>
      </c>
      <c r="W41" s="4193">
        <f t="shared" si="11"/>
        <v>100</v>
      </c>
      <c r="X41" s="4103"/>
      <c r="Y41" s="4232"/>
      <c r="Z41" s="4194">
        <f t="shared" si="12"/>
        <v>111</v>
      </c>
      <c r="AA41" s="4195">
        <f t="shared" si="3"/>
        <v>1</v>
      </c>
      <c r="AB41" s="4195">
        <f t="shared" si="4"/>
        <v>1</v>
      </c>
      <c r="AC41" s="4195">
        <f t="shared" si="5"/>
        <v>1</v>
      </c>
    </row>
    <row r="42" spans="1:29" s="4244" customFormat="1" ht="15.6" thickBot="1">
      <c r="A42" s="4254"/>
      <c r="B42" s="4230">
        <v>111</v>
      </c>
      <c r="C42" s="4255"/>
      <c r="D42" s="4236">
        <v>100</v>
      </c>
      <c r="E42" s="4176"/>
      <c r="F42" s="4183">
        <f>SUMIF(121:121,E42,122:122)-SUMIF(121:121,C42,122:122)+100</f>
        <v>100</v>
      </c>
      <c r="G42" s="4176"/>
      <c r="H42" s="4183">
        <f>SUMIF(121:121,G42,122:122)-SUMIF(121:121,C42,122:122)+100</f>
        <v>100</v>
      </c>
      <c r="I42" s="4175"/>
      <c r="J42" s="4183">
        <f>SUMIF(121:121,I42,122:122)-SUMIF(121:121,C42,122:122)+100</f>
        <v>100</v>
      </c>
      <c r="K42" s="4256"/>
      <c r="L42" s="4170"/>
      <c r="M42" s="4238"/>
      <c r="N42" s="4238"/>
      <c r="O42" s="4239"/>
      <c r="P42" s="4232"/>
      <c r="Q42" s="4191">
        <f t="shared" si="13"/>
        <v>111</v>
      </c>
      <c r="R42" s="4240" t="s">
        <v>7</v>
      </c>
      <c r="S42" s="4241">
        <f t="shared" si="9"/>
        <v>100</v>
      </c>
      <c r="T42" s="4240" t="s">
        <v>7</v>
      </c>
      <c r="U42" s="4241">
        <f t="shared" si="10"/>
        <v>100</v>
      </c>
      <c r="V42" s="4240" t="s">
        <v>7</v>
      </c>
      <c r="W42" s="4241">
        <f t="shared" si="11"/>
        <v>100</v>
      </c>
      <c r="X42" s="4242"/>
      <c r="Y42" s="4232"/>
      <c r="Z42" s="4243">
        <f t="shared" si="12"/>
        <v>111</v>
      </c>
      <c r="AA42" s="4195">
        <f t="shared" si="3"/>
        <v>1</v>
      </c>
      <c r="AB42" s="4195">
        <f t="shared" si="4"/>
        <v>1</v>
      </c>
      <c r="AC42" s="4195">
        <f t="shared" si="5"/>
        <v>1</v>
      </c>
    </row>
    <row r="43" spans="1:29" ht="14.4">
      <c r="A43" s="4257" t="s">
        <v>505</v>
      </c>
      <c r="B43" s="4258" t="s">
        <v>2196</v>
      </c>
      <c r="C43" s="4259" t="s">
        <v>0</v>
      </c>
      <c r="D43" s="4260"/>
      <c r="E43" s="4261">
        <f>'案例（海淀）'!$J$3</f>
        <v>10277</v>
      </c>
      <c r="F43" s="4262"/>
      <c r="G43" s="4263">
        <f>'案例（海淀）'!$J$4</f>
        <v>8875</v>
      </c>
      <c r="H43" s="4264"/>
      <c r="I43" s="4261">
        <f>'案例（海淀）'!$J$6</f>
        <v>8121</v>
      </c>
      <c r="J43" s="4264"/>
      <c r="K43" s="4265"/>
      <c r="L43" s="4266"/>
      <c r="M43" s="4097"/>
      <c r="N43" s="4097"/>
      <c r="O43" s="4267"/>
      <c r="P43" s="4154" t="str">
        <f>A43</f>
        <v>成交单价</v>
      </c>
      <c r="Q43" s="4154"/>
      <c r="R43" s="4102">
        <f>E43</f>
        <v>10277</v>
      </c>
      <c r="S43" s="4102"/>
      <c r="T43" s="4102">
        <f>G43</f>
        <v>8875</v>
      </c>
      <c r="U43" s="4102"/>
      <c r="V43" s="4102">
        <f>I43</f>
        <v>8121</v>
      </c>
      <c r="W43" s="4102"/>
      <c r="X43" s="4268"/>
      <c r="Y43" s="4269"/>
      <c r="Z43" s="4268"/>
      <c r="AA43" s="4268"/>
      <c r="AB43" s="4268"/>
      <c r="AC43" s="4268"/>
    </row>
    <row r="44" spans="1:29" ht="15" thickBot="1">
      <c r="A44" s="4270" t="s">
        <v>1974</v>
      </c>
      <c r="B44" s="4271"/>
      <c r="C44" s="4272">
        <f>R45</f>
        <v>8826</v>
      </c>
      <c r="D44" s="4273" t="s">
        <v>2260</v>
      </c>
      <c r="E44" s="4272">
        <f>R44</f>
        <v>9988</v>
      </c>
      <c r="F44" s="4274"/>
      <c r="G44" s="4275">
        <f>T44</f>
        <v>8567</v>
      </c>
      <c r="H44" s="4274"/>
      <c r="I44" s="4272">
        <f>V44</f>
        <v>7923</v>
      </c>
      <c r="J44" s="4274"/>
      <c r="K44" s="4276">
        <f>F44+H44+J44</f>
        <v>0</v>
      </c>
      <c r="L44" s="4266"/>
      <c r="M44" s="4097"/>
      <c r="N44" s="4097"/>
      <c r="O44" s="4267"/>
      <c r="P44" s="4154" t="str">
        <f>A44</f>
        <v>比较价格（元/平方米）</v>
      </c>
      <c r="Q44" s="4154"/>
      <c r="R44" s="4277">
        <f>ROUND(PRODUCT(R43,AA9:AA42),0)</f>
        <v>9988</v>
      </c>
      <c r="S44" s="4277"/>
      <c r="T44" s="4277">
        <f>ROUND(PRODUCT(T43,AB9:AB42),0)</f>
        <v>8567</v>
      </c>
      <c r="U44" s="4277"/>
      <c r="V44" s="4277">
        <f>ROUND(PRODUCT(V43,AC9:AC42),0)</f>
        <v>7923</v>
      </c>
      <c r="W44" s="4277"/>
      <c r="X44" s="4268"/>
      <c r="Y44" s="4268"/>
      <c r="Z44" s="4268"/>
      <c r="AA44" s="4268"/>
      <c r="AB44" s="4268"/>
      <c r="AC44" s="4268"/>
    </row>
    <row r="45" spans="1:29" ht="15" thickBot="1">
      <c r="A45" s="4278" t="s">
        <v>3516</v>
      </c>
      <c r="B45" s="4279"/>
      <c r="C45" s="4280">
        <f>R45</f>
        <v>8826</v>
      </c>
      <c r="D45" s="4280"/>
      <c r="E45" s="4280"/>
      <c r="F45" s="4280"/>
      <c r="G45" s="4280"/>
      <c r="H45" s="4280"/>
      <c r="I45" s="4280"/>
      <c r="J45" s="4280"/>
      <c r="K45" s="4281"/>
      <c r="L45" s="4266"/>
      <c r="M45" s="4097"/>
      <c r="N45" s="4097"/>
      <c r="O45" s="4267"/>
      <c r="P45" s="4282" t="str">
        <f>A45</f>
        <v>估价对象XX用房的比较价格（楼面单价，元/平方米）</v>
      </c>
      <c r="Q45" s="4283"/>
      <c r="R45" s="4284">
        <f>ROUND(IF(D44="简单平均",AVERAGE(R44:W44),R44*F44+T44*H44+V44*J44),0)</f>
        <v>8826</v>
      </c>
      <c r="S45" s="4284"/>
      <c r="T45" s="4284"/>
      <c r="U45" s="4284"/>
      <c r="V45" s="4284"/>
      <c r="W45" s="4284"/>
      <c r="X45" s="4268"/>
      <c r="Y45" s="4268"/>
      <c r="Z45" s="4268"/>
      <c r="AA45" s="4268"/>
      <c r="AB45" s="4268"/>
      <c r="AC45" s="4268"/>
    </row>
    <row r="46" spans="1:29">
      <c r="A46" s="4285"/>
      <c r="B46" s="4285"/>
      <c r="C46" s="4285"/>
      <c r="D46" s="4285"/>
      <c r="E46" s="4285"/>
      <c r="F46" s="4285"/>
      <c r="G46" s="4286"/>
      <c r="H46" s="4285"/>
      <c r="I46" s="4285"/>
      <c r="J46" s="4285"/>
      <c r="K46" s="4287"/>
      <c r="L46" s="4288"/>
      <c r="M46" s="4097"/>
      <c r="N46" s="4097"/>
      <c r="O46" s="4267"/>
      <c r="P46" s="4267"/>
      <c r="Q46" s="4267"/>
      <c r="R46" s="4267"/>
      <c r="S46" s="4267"/>
      <c r="T46" s="4267"/>
      <c r="U46" s="4267"/>
      <c r="V46" s="4267"/>
      <c r="W46" s="4267"/>
      <c r="X46" s="4267"/>
      <c r="Y46" s="4267"/>
      <c r="Z46" s="4267"/>
      <c r="AA46" s="4267"/>
      <c r="AB46" s="4267"/>
      <c r="AC46" s="4267"/>
    </row>
    <row r="47" spans="1:29">
      <c r="A47" s="4285"/>
      <c r="B47" s="4285"/>
      <c r="C47" s="4285"/>
      <c r="D47" s="4285"/>
      <c r="E47" s="4285"/>
      <c r="F47" s="4285"/>
      <c r="G47" s="4285"/>
      <c r="H47" s="4285"/>
      <c r="I47" s="4285"/>
      <c r="J47" s="4285"/>
      <c r="K47" s="4287"/>
      <c r="L47" s="4288"/>
      <c r="M47" s="4097"/>
      <c r="N47" s="4097"/>
      <c r="O47" s="4267"/>
      <c r="P47" s="4267"/>
      <c r="Q47" s="4267"/>
      <c r="R47" s="4267"/>
      <c r="S47" s="4267"/>
      <c r="T47" s="4267"/>
      <c r="U47" s="4267"/>
      <c r="V47" s="4267"/>
      <c r="W47" s="4267"/>
      <c r="X47" s="4267"/>
      <c r="Y47" s="4267"/>
      <c r="Z47" s="4267"/>
      <c r="AA47" s="4267"/>
      <c r="AB47" s="4267"/>
      <c r="AC47" s="4267"/>
    </row>
    <row r="48" spans="1:29" ht="13.5" customHeight="1">
      <c r="A48" s="4285"/>
      <c r="B48" s="4285"/>
      <c r="C48" s="4289" t="s">
        <v>3517</v>
      </c>
      <c r="D48" s="4290"/>
      <c r="E48" s="4291">
        <f>IF(E43&lt;E44,E44/E43-1,E43/E44-1)</f>
        <v>2.8934721665999197E-2</v>
      </c>
      <c r="F48" s="4292" t="str">
        <f>IF(OR(E48&gt;=0.3,E48&lt;=-0.3),"超过30%","")</f>
        <v/>
      </c>
      <c r="G48" s="4291">
        <f>IF(G43&lt;G44,G44/G43-1,G43/G44-1)</f>
        <v>3.5951908486051121E-2</v>
      </c>
      <c r="H48" s="4292" t="str">
        <f>IF(OR(G48&gt;=0.3,G48&lt;=-0.3),"超过30%","")</f>
        <v/>
      </c>
      <c r="I48" s="4291">
        <f>IF(I43&lt;I44,I44/I43-1,I43/I44-1)</f>
        <v>2.4990533888678446E-2</v>
      </c>
      <c r="J48" s="4292" t="str">
        <f>IF(OR(I48&gt;=0.3,I48&lt;=-0.3),"超过30%","")</f>
        <v/>
      </c>
      <c r="K48" s="4287"/>
      <c r="L48" s="4288"/>
      <c r="M48" s="4097"/>
      <c r="N48" s="4097"/>
      <c r="O48" s="4267"/>
      <c r="P48" s="4267"/>
      <c r="Q48" s="4267"/>
      <c r="R48" s="4267"/>
      <c r="S48" s="4267"/>
      <c r="T48" s="4267"/>
      <c r="U48" s="4267"/>
      <c r="V48" s="4267"/>
      <c r="W48" s="4267"/>
      <c r="X48" s="4267"/>
      <c r="Y48" s="4267"/>
      <c r="Z48" s="4267"/>
      <c r="AA48" s="4267"/>
      <c r="AB48" s="4267"/>
      <c r="AC48" s="4267"/>
    </row>
    <row r="49" spans="1:29" ht="13.5" customHeight="1">
      <c r="A49" s="4285"/>
      <c r="B49" s="4285"/>
      <c r="C49" s="4289" t="s">
        <v>3518</v>
      </c>
      <c r="D49" s="4293"/>
      <c r="E49" s="4291">
        <f>IF(E44&lt;G44,G44/E44-1,E44/G44-1)</f>
        <v>0.16586903233337225</v>
      </c>
      <c r="F49" s="4292" t="str">
        <f>IF(OR(E49&gt;=0.2,E49&lt;=-0.2),"超过20%","")</f>
        <v/>
      </c>
      <c r="G49" s="4291">
        <f>IF(G44&lt;I44,I44/G44-1,G44/I44-1)</f>
        <v>8.1282342547015052E-2</v>
      </c>
      <c r="H49" s="4292" t="str">
        <f>IF(OR(G49&gt;=0.2,G49&lt;=-0.2),"超过20%","")</f>
        <v/>
      </c>
      <c r="I49" s="4291">
        <f>IF(I44&lt;E44,E44/I44-1,I44/E44-1)</f>
        <v>0.26063359838445033</v>
      </c>
      <c r="J49" s="4292" t="str">
        <f>IF(OR(I49&gt;=0.2,I49&lt;=-0.2),"超过20%","")</f>
        <v>超过20%</v>
      </c>
      <c r="K49" s="4287"/>
      <c r="L49" s="4288"/>
      <c r="M49" s="4267"/>
      <c r="N49" s="4267"/>
      <c r="O49" s="4267"/>
      <c r="P49" s="4267"/>
      <c r="Q49" s="4267"/>
      <c r="R49" s="4267"/>
      <c r="S49" s="4267"/>
      <c r="T49" s="4267"/>
      <c r="U49" s="4267"/>
      <c r="V49" s="4267"/>
      <c r="W49" s="4267"/>
      <c r="X49" s="4267"/>
      <c r="Y49" s="4267"/>
      <c r="Z49" s="4267"/>
      <c r="AA49" s="4267"/>
      <c r="AB49" s="4267"/>
      <c r="AC49" s="4267"/>
    </row>
    <row r="50" spans="1:29" s="4298" customFormat="1" ht="13.5" customHeight="1">
      <c r="A50" s="4294"/>
      <c r="B50" s="4294"/>
      <c r="C50" s="4289" t="s">
        <v>3519</v>
      </c>
      <c r="D50" s="4293"/>
      <c r="E50" s="4291">
        <f>IF(E43&lt;G43,G43/E43-1,E43/G43-1)</f>
        <v>0.1579718309859155</v>
      </c>
      <c r="F50" s="4292" t="str">
        <f>IF(OR(E50&gt;=0.3,E50&lt;=-0.3),"超过30%","")</f>
        <v/>
      </c>
      <c r="G50" s="4291">
        <f>IF(G43&lt;I43,I43/G43-1,G43/I43-1)</f>
        <v>9.2845708656569492E-2</v>
      </c>
      <c r="H50" s="4292" t="str">
        <f>IF(OR(G50&gt;=0.3,G50&lt;=-0.3),"超过30%","")</f>
        <v/>
      </c>
      <c r="I50" s="4291">
        <f>IF(I43&lt;E43,E43/I43-1,I43/E43-1)</f>
        <v>0.2654845462381481</v>
      </c>
      <c r="J50" s="4292" t="str">
        <f>IF(OR(I50&gt;=0.3,I50&lt;=-0.3),"超过30%","")</f>
        <v/>
      </c>
      <c r="K50" s="4295"/>
      <c r="L50" s="4296"/>
      <c r="M50" s="4297"/>
      <c r="N50" s="4297"/>
      <c r="O50" s="4297"/>
      <c r="P50" s="4297"/>
      <c r="Q50" s="4297"/>
      <c r="R50" s="4297"/>
      <c r="S50" s="4297"/>
      <c r="T50" s="4297"/>
      <c r="U50" s="4297"/>
      <c r="V50" s="4297"/>
      <c r="W50" s="4297"/>
      <c r="X50" s="4297"/>
      <c r="Y50" s="4297"/>
      <c r="Z50" s="4297"/>
      <c r="AA50" s="4297"/>
      <c r="AB50" s="4297"/>
      <c r="AC50" s="4297"/>
    </row>
    <row r="51" spans="1:29" s="4298" customFormat="1" ht="14.4" thickBot="1">
      <c r="A51" s="4294"/>
      <c r="B51" s="4299"/>
      <c r="C51" s="4300"/>
      <c r="D51" s="4297"/>
      <c r="E51" s="4297"/>
      <c r="F51" s="4297"/>
      <c r="G51" s="4297"/>
      <c r="H51" s="4297"/>
      <c r="I51" s="4297"/>
      <c r="J51" s="4297"/>
      <c r="K51" s="4295"/>
      <c r="L51" s="4296"/>
      <c r="M51" s="4297"/>
      <c r="N51" s="4297"/>
      <c r="O51" s="4297"/>
      <c r="P51" s="4297"/>
      <c r="Q51" s="4297"/>
      <c r="R51" s="4297"/>
      <c r="S51" s="4297"/>
      <c r="T51" s="4297"/>
      <c r="U51" s="4297"/>
      <c r="V51" s="4297"/>
      <c r="W51" s="4297"/>
      <c r="X51" s="4297"/>
      <c r="Y51" s="4297"/>
      <c r="Z51" s="4297"/>
      <c r="AA51" s="4297"/>
      <c r="AB51" s="4297"/>
      <c r="AC51" s="4297"/>
    </row>
    <row r="52" spans="1:29" ht="28.8">
      <c r="A52" s="4301" t="s">
        <v>3520</v>
      </c>
      <c r="B52" s="4302" t="s">
        <v>3521</v>
      </c>
      <c r="C52" s="4303" t="s">
        <v>1252</v>
      </c>
      <c r="D52" s="4304" t="s">
        <v>3522</v>
      </c>
      <c r="E52" s="4305" t="s">
        <v>3523</v>
      </c>
      <c r="F52" s="4306" t="s">
        <v>3524</v>
      </c>
      <c r="G52" s="4307" t="s">
        <v>1641</v>
      </c>
      <c r="H52" s="4308"/>
      <c r="I52" s="4309" t="s">
        <v>1464</v>
      </c>
      <c r="J52" s="4310">
        <f>[4]项目基本情况!F41</f>
        <v>0</v>
      </c>
      <c r="K52" s="4311" t="s">
        <v>3525</v>
      </c>
      <c r="L52" s="4288"/>
      <c r="M52" s="4267"/>
      <c r="N52" s="4267"/>
      <c r="O52" s="4267"/>
      <c r="P52" s="4267"/>
      <c r="Q52" s="4267"/>
      <c r="R52" s="4267"/>
      <c r="S52" s="4267"/>
      <c r="T52" s="4267"/>
      <c r="U52" s="4267"/>
      <c r="V52" s="4267"/>
      <c r="W52" s="4267"/>
      <c r="X52" s="4267"/>
      <c r="Y52" s="4267"/>
      <c r="Z52" s="4267"/>
      <c r="AA52" s="4267"/>
      <c r="AB52" s="4267"/>
      <c r="AC52" s="4267"/>
    </row>
    <row r="53" spans="1:29" s="4321" customFormat="1" ht="13.2">
      <c r="A53" s="4312" t="s">
        <v>3526</v>
      </c>
      <c r="B53" s="602">
        <f>C45</f>
        <v>8826</v>
      </c>
      <c r="C53" s="4313">
        <v>1</v>
      </c>
      <c r="D53" s="4314">
        <v>1</v>
      </c>
      <c r="E53" s="4313">
        <f>'[4]数据-汇总表'!E8+'[4]数据-汇总表'!E9</f>
        <v>10738.85</v>
      </c>
      <c r="F53" s="1706">
        <f t="shared" ref="F53:F61" si="14">ROUND(B53*E53/10000,0)</f>
        <v>9478</v>
      </c>
      <c r="G53" s="4315"/>
      <c r="H53" s="4316"/>
      <c r="I53" s="4317">
        <v>1</v>
      </c>
      <c r="J53" s="4318">
        <v>1</v>
      </c>
      <c r="K53" s="4319"/>
      <c r="L53" s="4320"/>
      <c r="M53" s="4320"/>
      <c r="N53" s="4320"/>
      <c r="O53" s="4320"/>
      <c r="P53" s="4320"/>
      <c r="Q53" s="4320"/>
      <c r="R53" s="4320"/>
      <c r="S53" s="4320"/>
      <c r="T53" s="4320"/>
      <c r="U53" s="4320"/>
      <c r="V53" s="4320"/>
      <c r="W53" s="4320"/>
      <c r="X53" s="4320"/>
      <c r="Y53" s="4320"/>
      <c r="Z53" s="4320"/>
      <c r="AA53" s="4320"/>
      <c r="AB53" s="4320"/>
      <c r="AC53" s="4320"/>
    </row>
    <row r="54" spans="1:29" s="4321" customFormat="1" ht="13.2">
      <c r="A54" s="605" t="s">
        <v>3527</v>
      </c>
      <c r="B54" s="606">
        <f>ROUND($C$45*C54*D54,0)</f>
        <v>0</v>
      </c>
      <c r="C54" s="4322">
        <f t="shared" ref="C54:C61" si="15">IF($C$52="北京市系数",I54,J54)</f>
        <v>0</v>
      </c>
      <c r="D54" s="4323">
        <v>0.25</v>
      </c>
      <c r="E54" s="607"/>
      <c r="F54" s="1706">
        <f t="shared" si="14"/>
        <v>0</v>
      </c>
      <c r="G54" s="4324" t="s">
        <v>1642</v>
      </c>
      <c r="H54" s="4325">
        <f>[4]项目基本情况!B43</f>
        <v>0</v>
      </c>
      <c r="I54" s="4317">
        <f>SUMIF([4]修正!$A$57:$A$68,H54,[4]修正!B57:B68)</f>
        <v>0</v>
      </c>
      <c r="J54" s="4326"/>
      <c r="K54" s="4319"/>
      <c r="L54" s="4320"/>
      <c r="M54" s="4320"/>
      <c r="N54" s="4320"/>
      <c r="O54" s="4320"/>
      <c r="P54" s="4320"/>
      <c r="Q54" s="4320"/>
      <c r="R54" s="4320"/>
      <c r="S54" s="4320"/>
      <c r="T54" s="4320"/>
      <c r="U54" s="4320"/>
      <c r="V54" s="4320"/>
      <c r="W54" s="4320"/>
      <c r="X54" s="4320"/>
      <c r="Y54" s="4320"/>
      <c r="Z54" s="4320"/>
      <c r="AA54" s="4320"/>
      <c r="AB54" s="4320"/>
      <c r="AC54" s="4320"/>
    </row>
    <row r="55" spans="1:29" s="4321" customFormat="1" ht="13.2">
      <c r="A55" s="605" t="s">
        <v>3528</v>
      </c>
      <c r="B55" s="606">
        <f t="shared" ref="B55:B61" si="16">ROUND($C$45*C55*D55,0)</f>
        <v>0</v>
      </c>
      <c r="C55" s="4322">
        <f t="shared" si="15"/>
        <v>0</v>
      </c>
      <c r="D55" s="4323">
        <v>0.25</v>
      </c>
      <c r="E55" s="607"/>
      <c r="F55" s="1706">
        <f t="shared" si="14"/>
        <v>0</v>
      </c>
      <c r="G55" s="4327"/>
      <c r="H55" s="4328">
        <f>[4]项目基本情况!B43</f>
        <v>0</v>
      </c>
      <c r="I55" s="4317">
        <f>SUMIF([4]修正!$A$57:$A$68,H55,[4]修正!C57:C68)</f>
        <v>0</v>
      </c>
      <c r="J55" s="4326"/>
      <c r="K55" s="4319"/>
      <c r="L55" s="4320"/>
      <c r="M55" s="4320"/>
      <c r="N55" s="4320"/>
      <c r="O55" s="4320"/>
      <c r="P55" s="4320"/>
      <c r="Q55" s="4320"/>
      <c r="R55" s="4320"/>
      <c r="S55" s="4320"/>
      <c r="T55" s="4320"/>
      <c r="U55" s="4320"/>
      <c r="V55" s="4320"/>
      <c r="W55" s="4320"/>
      <c r="X55" s="4320"/>
      <c r="Y55" s="4320"/>
      <c r="Z55" s="4320"/>
      <c r="AA55" s="4320"/>
      <c r="AB55" s="4320"/>
      <c r="AC55" s="4320"/>
    </row>
    <row r="56" spans="1:29" s="4321" customFormat="1" ht="13.2">
      <c r="A56" s="605" t="s">
        <v>3529</v>
      </c>
      <c r="B56" s="606">
        <f t="shared" si="16"/>
        <v>0</v>
      </c>
      <c r="C56" s="4322">
        <f t="shared" si="15"/>
        <v>0</v>
      </c>
      <c r="D56" s="4323">
        <v>0.25</v>
      </c>
      <c r="E56" s="607"/>
      <c r="F56" s="1706">
        <f t="shared" si="14"/>
        <v>0</v>
      </c>
      <c r="G56" s="4327"/>
      <c r="H56" s="4328">
        <f>[4]项目基本情况!B43</f>
        <v>0</v>
      </c>
      <c r="I56" s="4317">
        <f>SUMIF([4]修正!$A$57:$A$68,H56,[4]修正!D57:D68)</f>
        <v>0</v>
      </c>
      <c r="J56" s="4326"/>
      <c r="K56" s="4319"/>
      <c r="L56" s="4320"/>
      <c r="M56" s="4320"/>
      <c r="N56" s="4320"/>
      <c r="O56" s="4320"/>
      <c r="P56" s="4320"/>
      <c r="Q56" s="4320"/>
      <c r="R56" s="4320"/>
      <c r="S56" s="4320"/>
      <c r="T56" s="4320"/>
      <c r="U56" s="4320"/>
      <c r="V56" s="4320"/>
      <c r="W56" s="4320"/>
      <c r="X56" s="4320"/>
      <c r="Y56" s="4320"/>
      <c r="Z56" s="4320"/>
      <c r="AA56" s="4320"/>
      <c r="AB56" s="4320"/>
      <c r="AC56" s="4320"/>
    </row>
    <row r="57" spans="1:29" s="4321" customFormat="1" ht="13.2">
      <c r="A57" s="2050" t="s">
        <v>3530</v>
      </c>
      <c r="B57" s="606">
        <f t="shared" si="16"/>
        <v>0</v>
      </c>
      <c r="C57" s="4322">
        <f t="shared" si="15"/>
        <v>0</v>
      </c>
      <c r="D57" s="4323">
        <v>0.25</v>
      </c>
      <c r="E57" s="609">
        <f>'[4]数据-汇总表'!E11</f>
        <v>0</v>
      </c>
      <c r="F57" s="1706">
        <f t="shared" si="14"/>
        <v>0</v>
      </c>
      <c r="G57" s="4329" t="s">
        <v>1643</v>
      </c>
      <c r="H57" s="4328">
        <f>[4]项目基本情况!C43</f>
        <v>0</v>
      </c>
      <c r="I57" s="4317">
        <f>SUMIF([4]修正!$A$57:$A$68,H57,[4]修正!E57:E68)</f>
        <v>0</v>
      </c>
      <c r="J57" s="4326"/>
      <c r="K57" s="4319"/>
      <c r="L57" s="4320"/>
      <c r="M57" s="4320"/>
      <c r="N57" s="4320"/>
      <c r="O57" s="4320"/>
      <c r="P57" s="4320"/>
      <c r="Q57" s="4320"/>
      <c r="R57" s="4320"/>
      <c r="S57" s="4320"/>
      <c r="T57" s="4320"/>
      <c r="U57" s="4320"/>
      <c r="V57" s="4320"/>
      <c r="W57" s="4320"/>
      <c r="X57" s="4320"/>
      <c r="Y57" s="4320"/>
      <c r="Z57" s="4320"/>
      <c r="AA57" s="4320"/>
      <c r="AB57" s="4320"/>
      <c r="AC57" s="4320"/>
    </row>
    <row r="58" spans="1:29" s="4321" customFormat="1" ht="13.2">
      <c r="A58" s="605" t="s">
        <v>3531</v>
      </c>
      <c r="B58" s="606">
        <f t="shared" si="16"/>
        <v>0</v>
      </c>
      <c r="C58" s="4322">
        <f t="shared" si="15"/>
        <v>0</v>
      </c>
      <c r="D58" s="4323">
        <v>0.25</v>
      </c>
      <c r="E58" s="609">
        <f>'[4]数据-汇总表'!E12</f>
        <v>0</v>
      </c>
      <c r="F58" s="1706">
        <f t="shared" si="14"/>
        <v>0</v>
      </c>
      <c r="G58" s="4330" t="s">
        <v>1211</v>
      </c>
      <c r="H58" s="4325">
        <f>IF(G58="商业",[4]项目基本情况!B43,IF(G58="办公",[4]项目基本情况!C43,IF(G58="住宅",[4]项目基本情况!D43,[4]项目基本情况!E43)))</f>
        <v>0</v>
      </c>
      <c r="I58" s="4317">
        <f>SUMIF([4]修正!$A$57:$A$68,H58,[4]修正!F57:F68)</f>
        <v>0</v>
      </c>
      <c r="J58" s="4326"/>
      <c r="K58" s="4319"/>
      <c r="L58" s="4320"/>
      <c r="M58" s="4320"/>
      <c r="N58" s="4320"/>
      <c r="O58" s="4320"/>
      <c r="P58" s="4320"/>
      <c r="Q58" s="4320"/>
      <c r="R58" s="4320"/>
      <c r="S58" s="4320"/>
      <c r="T58" s="4320"/>
      <c r="U58" s="4320"/>
      <c r="V58" s="4320"/>
      <c r="W58" s="4320"/>
      <c r="X58" s="4320"/>
      <c r="Y58" s="4320"/>
      <c r="Z58" s="4320"/>
      <c r="AA58" s="4320"/>
      <c r="AB58" s="4320"/>
      <c r="AC58" s="4320"/>
    </row>
    <row r="59" spans="1:29" s="4321" customFormat="1" ht="13.2">
      <c r="A59" s="605" t="s">
        <v>3532</v>
      </c>
      <c r="B59" s="606">
        <f t="shared" si="16"/>
        <v>0</v>
      </c>
      <c r="C59" s="4322">
        <f t="shared" si="15"/>
        <v>0</v>
      </c>
      <c r="D59" s="4323">
        <v>0.25</v>
      </c>
      <c r="E59" s="609">
        <f>'[4]数据-汇总表'!E13</f>
        <v>0</v>
      </c>
      <c r="F59" s="1706">
        <f t="shared" si="14"/>
        <v>0</v>
      </c>
      <c r="G59" s="4330" t="s">
        <v>850</v>
      </c>
      <c r="H59" s="4325">
        <f>IF(G59="商业",[4]项目基本情况!B43,IF(G59="办公",[4]项目基本情况!C43,IF(G59="住宅",[4]项目基本情况!D43,[4]项目基本情况!E43)))</f>
        <v>0</v>
      </c>
      <c r="I59" s="4317">
        <f>SUMIF([4]修正!$A$57:$A$68,H59,[4]修正!G57:G68)</f>
        <v>0</v>
      </c>
      <c r="J59" s="4326"/>
      <c r="K59" s="4319"/>
      <c r="L59" s="4320"/>
      <c r="M59" s="4320"/>
      <c r="N59" s="4320"/>
      <c r="O59" s="4320"/>
      <c r="P59" s="4320"/>
      <c r="Q59" s="4320"/>
      <c r="R59" s="4320"/>
      <c r="S59" s="4320"/>
      <c r="T59" s="4320"/>
      <c r="U59" s="4320"/>
      <c r="V59" s="4320"/>
      <c r="W59" s="4320"/>
      <c r="X59" s="4320"/>
      <c r="Y59" s="4320"/>
      <c r="Z59" s="4320"/>
      <c r="AA59" s="4320"/>
      <c r="AB59" s="4320"/>
      <c r="AC59" s="4320"/>
    </row>
    <row r="60" spans="1:29" s="4321" customFormat="1" ht="13.2">
      <c r="A60" s="605" t="s">
        <v>3533</v>
      </c>
      <c r="B60" s="606">
        <f t="shared" si="16"/>
        <v>0</v>
      </c>
      <c r="C60" s="4322">
        <f t="shared" si="15"/>
        <v>0</v>
      </c>
      <c r="D60" s="4323">
        <v>0.25</v>
      </c>
      <c r="E60" s="609">
        <f>'[4]数据-汇总表'!E14</f>
        <v>0</v>
      </c>
      <c r="F60" s="1706">
        <f t="shared" si="14"/>
        <v>0</v>
      </c>
      <c r="G60" s="4329" t="s">
        <v>1642</v>
      </c>
      <c r="H60" s="4328">
        <f>[4]项目基本情况!B43</f>
        <v>0</v>
      </c>
      <c r="I60" s="4317">
        <f>SUMIF([4]修正!$A$57:$A$68,H60,[4]修正!G57:G68)</f>
        <v>0</v>
      </c>
      <c r="J60" s="4326"/>
      <c r="K60" s="4319"/>
      <c r="L60" s="4320"/>
      <c r="M60" s="4320"/>
      <c r="N60" s="4320"/>
      <c r="O60" s="4320"/>
      <c r="P60" s="4320"/>
      <c r="Q60" s="4320"/>
      <c r="R60" s="4320"/>
      <c r="S60" s="4320"/>
      <c r="T60" s="4320"/>
      <c r="U60" s="4320"/>
      <c r="V60" s="4320"/>
      <c r="W60" s="4320"/>
      <c r="X60" s="4320"/>
      <c r="Y60" s="4320"/>
      <c r="Z60" s="4320"/>
      <c r="AA60" s="4320"/>
      <c r="AB60" s="4320"/>
      <c r="AC60" s="4320"/>
    </row>
    <row r="61" spans="1:29" s="4321" customFormat="1" thickBot="1">
      <c r="A61" s="605" t="s">
        <v>3534</v>
      </c>
      <c r="B61" s="606">
        <f t="shared" si="16"/>
        <v>0</v>
      </c>
      <c r="C61" s="4322">
        <f t="shared" si="15"/>
        <v>0</v>
      </c>
      <c r="D61" s="4323">
        <v>0.25</v>
      </c>
      <c r="E61" s="609">
        <f>'[4]数据-汇总表'!E15</f>
        <v>0</v>
      </c>
      <c r="F61" s="1706">
        <f t="shared" si="14"/>
        <v>0</v>
      </c>
      <c r="G61" s="4331" t="s">
        <v>1643</v>
      </c>
      <c r="H61" s="4332">
        <f>[4]项目基本情况!C43</f>
        <v>0</v>
      </c>
      <c r="I61" s="4317">
        <f>SUMIF([4]修正!$A$57:$A$68,H61,[4]修正!G57:G68)</f>
        <v>0</v>
      </c>
      <c r="J61" s="4326"/>
      <c r="K61" s="4319"/>
      <c r="L61" s="4320"/>
      <c r="M61" s="4320"/>
      <c r="N61" s="4320"/>
      <c r="O61" s="4320"/>
      <c r="P61" s="4320"/>
      <c r="Q61" s="4320"/>
      <c r="R61" s="4320"/>
      <c r="S61" s="4320"/>
      <c r="T61" s="4320"/>
      <c r="U61" s="4320"/>
      <c r="V61" s="4320"/>
      <c r="W61" s="4320"/>
      <c r="X61" s="4320"/>
      <c r="Y61" s="4320"/>
      <c r="Z61" s="4320"/>
      <c r="AA61" s="4320"/>
      <c r="AB61" s="4320"/>
      <c r="AC61" s="4320"/>
    </row>
    <row r="62" spans="1:29" s="4321" customFormat="1" thickBot="1">
      <c r="A62" s="610" t="s">
        <v>3535</v>
      </c>
      <c r="B62" s="4333" t="s">
        <v>3536</v>
      </c>
      <c r="C62" s="4333" t="s">
        <v>3536</v>
      </c>
      <c r="D62" s="4333" t="s">
        <v>3536</v>
      </c>
      <c r="E62" s="4333">
        <f>IF(B43="楼面地价",SUM(E53:E61),'[4]数据-汇总表'!D3)</f>
        <v>10738.85</v>
      </c>
      <c r="F62" s="4334">
        <f>IF(B43="楼面地价",SUM(F53:F61),ROUND(C45*E62/10000,0))</f>
        <v>9478</v>
      </c>
      <c r="G62" s="4335"/>
      <c r="H62" s="4335"/>
      <c r="I62" s="4335"/>
      <c r="J62" s="4335"/>
      <c r="K62" s="4336"/>
      <c r="L62" s="4320"/>
      <c r="M62" s="4320"/>
      <c r="N62" s="4320"/>
      <c r="O62" s="4320"/>
      <c r="P62" s="4320"/>
      <c r="Q62" s="4320"/>
      <c r="R62" s="4320"/>
      <c r="S62" s="4320"/>
      <c r="T62" s="4320"/>
      <c r="U62" s="4320"/>
      <c r="V62" s="4320"/>
      <c r="W62" s="4320"/>
      <c r="X62" s="4320"/>
      <c r="Y62" s="4320"/>
      <c r="Z62" s="4320"/>
      <c r="AA62" s="4320"/>
      <c r="AB62" s="4320"/>
      <c r="AC62" s="4320"/>
    </row>
    <row r="63" spans="1:29">
      <c r="A63" s="4267"/>
      <c r="B63" s="4337"/>
      <c r="C63" s="4300"/>
      <c r="D63" s="4267"/>
      <c r="E63" s="4267"/>
      <c r="F63" s="4267"/>
      <c r="G63" s="4267"/>
      <c r="H63" s="4267"/>
      <c r="I63" s="4267"/>
      <c r="J63" s="4267"/>
      <c r="K63" s="4338"/>
      <c r="L63" s="4288"/>
      <c r="M63" s="4267"/>
      <c r="N63" s="4267"/>
      <c r="O63" s="4267"/>
      <c r="P63" s="4267"/>
      <c r="Q63" s="4267"/>
      <c r="R63" s="4267"/>
      <c r="S63" s="4267"/>
      <c r="T63" s="4267"/>
      <c r="U63" s="4267"/>
      <c r="V63" s="4267"/>
      <c r="W63" s="4267"/>
      <c r="X63" s="4267"/>
      <c r="Y63" s="4267"/>
      <c r="Z63" s="4267"/>
      <c r="AA63" s="4267"/>
      <c r="AB63" s="4267"/>
      <c r="AC63" s="4267"/>
    </row>
    <row r="64" spans="1:29">
      <c r="A64" s="4267"/>
      <c r="B64" s="4337"/>
      <c r="C64" s="4339" t="str">
        <f>YEAR(C9)&amp;"-"&amp;MONTH(C9)&amp;"-1"</f>
        <v>2024-8-1</v>
      </c>
      <c r="D64" s="4340">
        <f>EDATE(C64,-3)</f>
        <v>45413</v>
      </c>
      <c r="E64" s="4340">
        <f t="shared" ref="E64:N64" si="17">EDATE(D64,-3)</f>
        <v>45323</v>
      </c>
      <c r="F64" s="4340">
        <f t="shared" si="17"/>
        <v>45231</v>
      </c>
      <c r="G64" s="4340">
        <f t="shared" si="17"/>
        <v>45139</v>
      </c>
      <c r="H64" s="4340">
        <f t="shared" si="17"/>
        <v>45047</v>
      </c>
      <c r="I64" s="4340">
        <f t="shared" si="17"/>
        <v>44958</v>
      </c>
      <c r="J64" s="4340">
        <f t="shared" si="17"/>
        <v>44866</v>
      </c>
      <c r="K64" s="4340">
        <f t="shared" si="17"/>
        <v>44774</v>
      </c>
      <c r="L64" s="4340">
        <f t="shared" si="17"/>
        <v>44682</v>
      </c>
      <c r="M64" s="4340">
        <f t="shared" si="17"/>
        <v>44593</v>
      </c>
      <c r="N64" s="4340">
        <f t="shared" si="17"/>
        <v>44501</v>
      </c>
      <c r="O64" s="4267"/>
      <c r="P64" s="4267"/>
      <c r="Q64" s="4267"/>
      <c r="R64" s="4267"/>
      <c r="S64" s="4267"/>
      <c r="T64" s="4267"/>
      <c r="U64" s="4267"/>
      <c r="V64" s="4267"/>
      <c r="W64" s="4267"/>
      <c r="X64" s="4267"/>
      <c r="Y64" s="4267"/>
      <c r="Z64" s="4267"/>
      <c r="AA64" s="4267"/>
      <c r="AB64" s="4267"/>
      <c r="AC64" s="4267"/>
    </row>
    <row r="65" spans="1:29" ht="22.2" thickBot="1">
      <c r="A65" s="4341" t="s">
        <v>3537</v>
      </c>
      <c r="B65" s="4268"/>
      <c r="C65" s="4342"/>
      <c r="D65" s="4342"/>
      <c r="E65" s="4342"/>
      <c r="F65" s="4343"/>
      <c r="G65" s="4343"/>
      <c r="H65" s="4342"/>
      <c r="I65" s="4342"/>
      <c r="J65" s="4342"/>
      <c r="K65" s="4344"/>
      <c r="L65" s="4345"/>
      <c r="M65" s="4342"/>
      <c r="N65" s="4342"/>
      <c r="O65" s="4346"/>
      <c r="P65" s="4346"/>
      <c r="Q65" s="4347"/>
      <c r="R65" s="4267"/>
      <c r="S65" s="4267"/>
      <c r="T65" s="4267"/>
      <c r="U65" s="4267"/>
      <c r="V65" s="4267"/>
      <c r="W65" s="4267"/>
      <c r="X65" s="4267"/>
      <c r="Y65" s="4267"/>
      <c r="Z65" s="4267"/>
      <c r="AA65" s="4267"/>
      <c r="AB65" s="4267"/>
      <c r="AC65" s="4267"/>
    </row>
    <row r="66" spans="1:29" s="4354" customFormat="1" ht="14.4">
      <c r="A66" s="4348" t="s">
        <v>3538</v>
      </c>
      <c r="B66" s="4349"/>
      <c r="C66" s="4350" t="str">
        <f>YEAR(C64)&amp;"-"&amp;ROUNDUP(MONTH(C64)/3,0)</f>
        <v>2024-3</v>
      </c>
      <c r="D66" s="4350" t="str">
        <f t="shared" ref="D66:N66" si="18">YEAR(D64)&amp;"-"&amp;ROUNDUP(MONTH(D64)/3,0)</f>
        <v>2024-2</v>
      </c>
      <c r="E66" s="4350" t="str">
        <f t="shared" si="18"/>
        <v>2024-1</v>
      </c>
      <c r="F66" s="4350" t="str">
        <f t="shared" si="18"/>
        <v>2023-4</v>
      </c>
      <c r="G66" s="4350" t="str">
        <f t="shared" si="18"/>
        <v>2023-3</v>
      </c>
      <c r="H66" s="4350" t="str">
        <f t="shared" si="18"/>
        <v>2023-2</v>
      </c>
      <c r="I66" s="4350" t="str">
        <f t="shared" si="18"/>
        <v>2023-1</v>
      </c>
      <c r="J66" s="4350" t="str">
        <f t="shared" si="18"/>
        <v>2022-4</v>
      </c>
      <c r="K66" s="4350" t="str">
        <f t="shared" si="18"/>
        <v>2022-3</v>
      </c>
      <c r="L66" s="4350" t="str">
        <f t="shared" si="18"/>
        <v>2022-2</v>
      </c>
      <c r="M66" s="4350" t="str">
        <f t="shared" si="18"/>
        <v>2022-1</v>
      </c>
      <c r="N66" s="4350" t="str">
        <f t="shared" si="18"/>
        <v>2021-4</v>
      </c>
      <c r="O66" s="4351" t="s">
        <v>3624</v>
      </c>
      <c r="P66" s="4352"/>
      <c r="Q66" s="4353"/>
      <c r="R66" s="4353"/>
      <c r="S66" s="4353"/>
      <c r="T66" s="4353"/>
      <c r="U66" s="4353"/>
      <c r="V66" s="4353"/>
      <c r="W66" s="4353"/>
      <c r="X66" s="4353"/>
      <c r="Y66" s="4353"/>
      <c r="Z66" s="4353"/>
      <c r="AA66" s="4353"/>
      <c r="AB66" s="4353"/>
      <c r="AC66" s="4353"/>
    </row>
    <row r="67" spans="1:29" s="4145" customFormat="1" ht="27.75" customHeight="1">
      <c r="A67" s="4355" t="s">
        <v>3539</v>
      </c>
      <c r="B67" s="4356" t="str">
        <f>"北京市平均增长率"&amp;TEXT([4]基准地价!P28,"0.00%")</f>
        <v>北京市平均增长率0.00%</v>
      </c>
      <c r="C67" s="4357">
        <v>100</v>
      </c>
      <c r="D67" s="4358">
        <f>ROUND(C67/(1+D68/100),2)</f>
        <v>99.66</v>
      </c>
      <c r="E67" s="4358">
        <f t="shared" ref="E67:O67" si="19">ROUND(D67/(1+E68/100),2)</f>
        <v>99.08</v>
      </c>
      <c r="F67" s="4358">
        <f t="shared" si="19"/>
        <v>98.48</v>
      </c>
      <c r="G67" s="4358">
        <f t="shared" si="19"/>
        <v>98.06</v>
      </c>
      <c r="H67" s="4358">
        <f t="shared" si="19"/>
        <v>97.6</v>
      </c>
      <c r="I67" s="4358">
        <f t="shared" si="19"/>
        <v>97.05</v>
      </c>
      <c r="J67" s="4358">
        <f t="shared" si="19"/>
        <v>96.94</v>
      </c>
      <c r="K67" s="4358">
        <f t="shared" si="19"/>
        <v>96.72</v>
      </c>
      <c r="L67" s="4358">
        <f t="shared" si="19"/>
        <v>96.71</v>
      </c>
      <c r="M67" s="4358">
        <f t="shared" si="19"/>
        <v>96.35</v>
      </c>
      <c r="N67" s="4358">
        <f t="shared" si="19"/>
        <v>96.28</v>
      </c>
      <c r="O67" s="4358">
        <f t="shared" si="19"/>
        <v>96.05</v>
      </c>
      <c r="P67" s="4347"/>
      <c r="Q67" s="4360"/>
      <c r="R67" s="4360"/>
      <c r="S67" s="4360"/>
      <c r="T67" s="4360"/>
      <c r="U67" s="4360"/>
      <c r="V67" s="4360"/>
      <c r="W67" s="4360"/>
      <c r="X67" s="4360"/>
      <c r="Y67" s="4360"/>
      <c r="Z67" s="4360"/>
      <c r="AA67" s="4360"/>
      <c r="AB67" s="4360"/>
      <c r="AC67" s="4360"/>
    </row>
    <row r="68" spans="1:29" s="4145" customFormat="1" ht="15" thickBot="1">
      <c r="A68" s="4361" t="s">
        <v>3540</v>
      </c>
      <c r="B68" s="4362"/>
      <c r="C68" s="4363">
        <v>0.34</v>
      </c>
      <c r="D68" s="4364">
        <v>0.34</v>
      </c>
      <c r="E68" s="4365">
        <v>0.59</v>
      </c>
      <c r="F68" s="4365">
        <v>0.61</v>
      </c>
      <c r="G68" s="4365">
        <v>0.43</v>
      </c>
      <c r="H68" s="4365">
        <v>0.47</v>
      </c>
      <c r="I68" s="4365">
        <v>0.56999999999999995</v>
      </c>
      <c r="J68" s="4365">
        <v>0.11</v>
      </c>
      <c r="K68" s="4365">
        <v>0.23</v>
      </c>
      <c r="L68" s="4365">
        <v>0.01</v>
      </c>
      <c r="M68" s="4365">
        <v>0.37</v>
      </c>
      <c r="N68" s="4365">
        <v>7.0000000000000007E-2</v>
      </c>
      <c r="O68" s="4366">
        <v>0.24</v>
      </c>
      <c r="P68" s="4347">
        <v>0.41</v>
      </c>
      <c r="Q68" s="4347">
        <v>-0.25</v>
      </c>
      <c r="R68" s="4360">
        <v>2.69</v>
      </c>
      <c r="S68" s="4360"/>
      <c r="T68" s="4360"/>
      <c r="U68" s="4360"/>
      <c r="V68" s="4360"/>
      <c r="W68" s="4360"/>
      <c r="X68" s="4360"/>
      <c r="Y68" s="4360"/>
      <c r="Z68" s="4360"/>
      <c r="AA68" s="4360"/>
      <c r="AB68" s="4360"/>
      <c r="AC68" s="4360"/>
    </row>
    <row r="69" spans="1:29" s="4145" customFormat="1" ht="14.4">
      <c r="A69" s="4367" t="s">
        <v>3541</v>
      </c>
      <c r="B69" s="4368"/>
      <c r="C69" s="4369" t="s">
        <v>3542</v>
      </c>
      <c r="D69" s="4370"/>
      <c r="E69" s="4370"/>
      <c r="F69" s="4370"/>
      <c r="G69" s="4370"/>
      <c r="H69" s="4370"/>
      <c r="I69" s="4370"/>
      <c r="J69" s="4370"/>
      <c r="K69" s="4370"/>
      <c r="L69" s="4371"/>
      <c r="M69" s="4372"/>
      <c r="N69" s="4373"/>
      <c r="O69" s="4359"/>
      <c r="P69" s="4374"/>
      <c r="Q69" s="4347"/>
      <c r="R69" s="4360"/>
      <c r="S69" s="4360"/>
      <c r="T69" s="4360"/>
      <c r="U69" s="4360"/>
      <c r="V69" s="4360"/>
      <c r="W69" s="4360"/>
      <c r="X69" s="4360"/>
      <c r="Y69" s="4360"/>
      <c r="Z69" s="4360"/>
      <c r="AA69" s="4360"/>
      <c r="AB69" s="4360"/>
      <c r="AC69" s="4360"/>
    </row>
    <row r="70" spans="1:29" s="4145" customFormat="1" ht="14.4" thickBot="1">
      <c r="A70" s="4367"/>
      <c r="B70" s="4368"/>
      <c r="C70" s="4375">
        <v>100</v>
      </c>
      <c r="D70" s="4376"/>
      <c r="E70" s="4376"/>
      <c r="F70" s="4376"/>
      <c r="G70" s="4376"/>
      <c r="H70" s="4376"/>
      <c r="I70" s="4376"/>
      <c r="J70" s="4376"/>
      <c r="K70" s="4376"/>
      <c r="L70" s="4376"/>
      <c r="M70" s="4377"/>
      <c r="N70" s="4373"/>
      <c r="O70" s="4359"/>
      <c r="P70" s="4347"/>
      <c r="Q70" s="4347"/>
      <c r="R70" s="4360"/>
      <c r="S70" s="4360"/>
      <c r="T70" s="4360"/>
      <c r="U70" s="4360"/>
      <c r="V70" s="4360"/>
      <c r="W70" s="4360"/>
      <c r="X70" s="4360"/>
      <c r="Y70" s="4360"/>
      <c r="Z70" s="4360"/>
      <c r="AA70" s="4360"/>
      <c r="AB70" s="4360"/>
      <c r="AC70" s="4360"/>
    </row>
    <row r="71" spans="1:29" ht="14.4">
      <c r="A71" s="4378" t="s">
        <v>525</v>
      </c>
      <c r="B71" s="4379" t="s">
        <v>483</v>
      </c>
      <c r="C71" s="4248"/>
      <c r="D71" s="4248"/>
      <c r="E71" s="4248"/>
      <c r="F71" s="4248"/>
      <c r="G71" s="4248"/>
      <c r="H71" s="4248"/>
      <c r="I71" s="4248"/>
      <c r="J71" s="4248"/>
      <c r="K71" s="4380"/>
      <c r="L71" s="4381"/>
      <c r="M71" s="4382"/>
      <c r="N71" s="4383"/>
      <c r="O71" s="4384"/>
      <c r="P71" s="4385"/>
      <c r="Q71" s="4347"/>
      <c r="R71" s="4267"/>
      <c r="S71" s="4267"/>
      <c r="T71" s="4267"/>
      <c r="U71" s="4267"/>
      <c r="V71" s="4267"/>
      <c r="W71" s="4267"/>
      <c r="X71" s="4267"/>
      <c r="Y71" s="4267"/>
      <c r="Z71" s="4267"/>
      <c r="AA71" s="4267"/>
      <c r="AB71" s="4267"/>
      <c r="AC71" s="4267"/>
    </row>
    <row r="72" spans="1:29" ht="14.4" thickBot="1">
      <c r="A72" s="4386"/>
      <c r="B72" s="4387"/>
      <c r="C72" s="4388"/>
      <c r="D72" s="4388"/>
      <c r="E72" s="4388"/>
      <c r="F72" s="4388"/>
      <c r="G72" s="4388"/>
      <c r="H72" s="4388"/>
      <c r="I72" s="4388"/>
      <c r="J72" s="4388"/>
      <c r="K72" s="4388"/>
      <c r="L72" s="4388"/>
      <c r="M72" s="4389"/>
      <c r="N72" s="4390"/>
      <c r="O72" s="4391"/>
      <c r="P72" s="4385"/>
      <c r="Q72" s="4347"/>
      <c r="R72" s="4267"/>
      <c r="S72" s="4267"/>
      <c r="T72" s="4267"/>
      <c r="U72" s="4267"/>
      <c r="V72" s="4267"/>
      <c r="W72" s="4267"/>
      <c r="X72" s="4267"/>
      <c r="Y72" s="4267"/>
      <c r="Z72" s="4267"/>
      <c r="AA72" s="4267"/>
      <c r="AB72" s="4267"/>
      <c r="AC72" s="4267"/>
    </row>
    <row r="73" spans="1:29" ht="29.4" thickTop="1">
      <c r="A73" s="4386"/>
      <c r="B73" s="4392" t="s">
        <v>486</v>
      </c>
      <c r="C73" s="4393"/>
      <c r="D73" s="4393"/>
      <c r="E73" s="4393"/>
      <c r="F73" s="4393"/>
      <c r="G73" s="4393"/>
      <c r="H73" s="4393"/>
      <c r="I73" s="4393"/>
      <c r="J73" s="4393"/>
      <c r="K73" s="4394"/>
      <c r="L73" s="4395"/>
      <c r="M73" s="4396"/>
      <c r="N73" s="4383"/>
      <c r="O73" s="4384"/>
      <c r="P73" s="4385"/>
      <c r="Q73" s="4347"/>
      <c r="R73" s="4267"/>
      <c r="S73" s="4267"/>
      <c r="T73" s="4267"/>
      <c r="U73" s="4267"/>
      <c r="V73" s="4267"/>
      <c r="W73" s="4267"/>
      <c r="X73" s="4267"/>
      <c r="Y73" s="4267"/>
      <c r="Z73" s="4267"/>
      <c r="AA73" s="4267"/>
      <c r="AB73" s="4267"/>
      <c r="AC73" s="4267"/>
    </row>
    <row r="74" spans="1:29" ht="14.4" thickBot="1">
      <c r="A74" s="4386"/>
      <c r="B74" s="4397"/>
      <c r="C74" s="4398"/>
      <c r="D74" s="4398"/>
      <c r="E74" s="4398"/>
      <c r="F74" s="4398"/>
      <c r="G74" s="4398"/>
      <c r="H74" s="4398"/>
      <c r="I74" s="4398"/>
      <c r="J74" s="4398"/>
      <c r="K74" s="4398"/>
      <c r="L74" s="4398"/>
      <c r="M74" s="4399"/>
      <c r="N74" s="4390"/>
      <c r="O74" s="4391"/>
      <c r="P74" s="4385"/>
      <c r="Q74" s="4347"/>
      <c r="R74" s="4267"/>
      <c r="S74" s="4267"/>
      <c r="T74" s="4267"/>
      <c r="U74" s="4267"/>
      <c r="V74" s="4267"/>
      <c r="W74" s="4267"/>
      <c r="X74" s="4267"/>
      <c r="Y74" s="4267"/>
      <c r="Z74" s="4267"/>
      <c r="AA74" s="4267"/>
      <c r="AB74" s="4267"/>
      <c r="AC74" s="4267"/>
    </row>
    <row r="75" spans="1:29" ht="15" thickTop="1">
      <c r="A75" s="4386"/>
      <c r="B75" s="4400" t="s">
        <v>487</v>
      </c>
      <c r="C75" s="4401" t="str">
        <f>C76&amp;"（含）"&amp;"-"&amp;D76</f>
        <v>0（含）-1</v>
      </c>
      <c r="D75" s="4401" t="str">
        <f t="shared" ref="D75:L75" si="20">D76&amp;"（含）"&amp;"-"&amp;E76</f>
        <v>1（含）-</v>
      </c>
      <c r="E75" s="4401" t="str">
        <f t="shared" si="20"/>
        <v>（含）-</v>
      </c>
      <c r="F75" s="4401" t="str">
        <f t="shared" si="20"/>
        <v>（含）-</v>
      </c>
      <c r="G75" s="4401" t="str">
        <f t="shared" si="20"/>
        <v>（含）-</v>
      </c>
      <c r="H75" s="4401" t="str">
        <f t="shared" si="20"/>
        <v>（含）-</v>
      </c>
      <c r="I75" s="4401" t="str">
        <f t="shared" si="20"/>
        <v>（含）-</v>
      </c>
      <c r="J75" s="4401" t="str">
        <f t="shared" si="20"/>
        <v>（含）-</v>
      </c>
      <c r="K75" s="4401" t="str">
        <f t="shared" si="20"/>
        <v>（含）-</v>
      </c>
      <c r="L75" s="4401" t="str">
        <f t="shared" si="20"/>
        <v>（含）-</v>
      </c>
      <c r="M75" s="4199" t="str">
        <f>M76&amp;"（含）"&amp;"-"&amp;P76</f>
        <v>（含）-</v>
      </c>
      <c r="N75" s="4390"/>
      <c r="O75" s="4391"/>
      <c r="P75" s="4385"/>
      <c r="Q75" s="4347"/>
      <c r="R75" s="4267"/>
      <c r="S75" s="4267"/>
      <c r="T75" s="4267"/>
      <c r="U75" s="4267"/>
      <c r="V75" s="4267"/>
      <c r="W75" s="4267"/>
      <c r="X75" s="4267"/>
      <c r="Y75" s="4267"/>
      <c r="Z75" s="4267"/>
      <c r="AA75" s="4267"/>
      <c r="AB75" s="4267"/>
      <c r="AC75" s="4267"/>
    </row>
    <row r="76" spans="1:29">
      <c r="A76" s="4386"/>
      <c r="B76" s="4402"/>
      <c r="C76" s="4175">
        <v>0</v>
      </c>
      <c r="D76" s="4175">
        <v>1</v>
      </c>
      <c r="E76" s="4175"/>
      <c r="F76" s="4175"/>
      <c r="G76" s="4175"/>
      <c r="H76" s="4175"/>
      <c r="I76" s="4175"/>
      <c r="J76" s="4175"/>
      <c r="K76" s="4403"/>
      <c r="L76" s="4404"/>
      <c r="M76" s="4405"/>
      <c r="N76" s="4383"/>
      <c r="O76" s="4384"/>
      <c r="P76" s="4385"/>
      <c r="Q76" s="4347"/>
      <c r="R76" s="4267"/>
      <c r="S76" s="4267"/>
      <c r="T76" s="4267"/>
      <c r="U76" s="4267"/>
      <c r="V76" s="4267"/>
      <c r="W76" s="4267"/>
      <c r="X76" s="4267"/>
      <c r="Y76" s="4267"/>
      <c r="Z76" s="4267"/>
      <c r="AA76" s="4267"/>
      <c r="AB76" s="4267"/>
      <c r="AC76" s="4267"/>
    </row>
    <row r="77" spans="1:29" ht="14.4" thickBot="1">
      <c r="A77" s="4386"/>
      <c r="B77" s="4387"/>
      <c r="C77" s="4398">
        <v>100</v>
      </c>
      <c r="D77" s="4398">
        <f t="shared" ref="D77:M77" si="21">IF($B$43="单位面积地价",C77+$K13,C77-$K13)</f>
        <v>100</v>
      </c>
      <c r="E77" s="4398">
        <f t="shared" si="21"/>
        <v>100</v>
      </c>
      <c r="F77" s="4398">
        <f t="shared" si="21"/>
        <v>100</v>
      </c>
      <c r="G77" s="4398">
        <f t="shared" si="21"/>
        <v>100</v>
      </c>
      <c r="H77" s="4398">
        <f t="shared" si="21"/>
        <v>100</v>
      </c>
      <c r="I77" s="4398">
        <f t="shared" si="21"/>
        <v>100</v>
      </c>
      <c r="J77" s="4398">
        <f t="shared" si="21"/>
        <v>100</v>
      </c>
      <c r="K77" s="4398">
        <f t="shared" si="21"/>
        <v>100</v>
      </c>
      <c r="L77" s="4398">
        <f t="shared" si="21"/>
        <v>100</v>
      </c>
      <c r="M77" s="4398">
        <f t="shared" si="21"/>
        <v>100</v>
      </c>
      <c r="N77" s="4390"/>
      <c r="O77" s="4391"/>
      <c r="P77" s="4385"/>
      <c r="Q77" s="4347"/>
      <c r="R77" s="4267"/>
      <c r="S77" s="4267"/>
      <c r="T77" s="4267"/>
      <c r="U77" s="4267"/>
      <c r="V77" s="4267"/>
      <c r="W77" s="4267"/>
      <c r="X77" s="4267"/>
      <c r="Y77" s="4267"/>
      <c r="Z77" s="4267"/>
      <c r="AA77" s="4267"/>
      <c r="AB77" s="4267"/>
      <c r="AC77" s="4267"/>
    </row>
    <row r="78" spans="1:29" s="4244" customFormat="1" ht="14.4" thickTop="1">
      <c r="A78" s="4406"/>
      <c r="B78" s="4392">
        <f>B14</f>
        <v>111</v>
      </c>
      <c r="C78" s="4407"/>
      <c r="D78" s="4407"/>
      <c r="E78" s="4407"/>
      <c r="F78" s="4407"/>
      <c r="G78" s="4407"/>
      <c r="H78" s="4408"/>
      <c r="I78" s="4408"/>
      <c r="J78" s="4408"/>
      <c r="K78" s="4408"/>
      <c r="L78" s="4409"/>
      <c r="M78" s="4410"/>
      <c r="N78" s="4411"/>
      <c r="O78" s="4412"/>
      <c r="P78" s="4413"/>
      <c r="Q78" s="4414"/>
      <c r="R78" s="4415"/>
      <c r="S78" s="4415"/>
      <c r="T78" s="4415"/>
      <c r="U78" s="4415"/>
      <c r="V78" s="4415"/>
      <c r="W78" s="4415"/>
      <c r="X78" s="4415"/>
      <c r="Y78" s="4415"/>
      <c r="Z78" s="4415"/>
      <c r="AA78" s="4415"/>
      <c r="AB78" s="4415"/>
      <c r="AC78" s="4415"/>
    </row>
    <row r="79" spans="1:29" s="4244" customFormat="1" ht="14.4" thickBot="1">
      <c r="A79" s="4406"/>
      <c r="B79" s="4397"/>
      <c r="C79" s="4416"/>
      <c r="D79" s="4388"/>
      <c r="E79" s="4388"/>
      <c r="F79" s="4388"/>
      <c r="G79" s="4388"/>
      <c r="H79" s="4388"/>
      <c r="I79" s="4388"/>
      <c r="J79" s="4388"/>
      <c r="K79" s="4388"/>
      <c r="L79" s="4388"/>
      <c r="M79" s="4389"/>
      <c r="N79" s="4390"/>
      <c r="O79" s="4391"/>
      <c r="P79" s="4413"/>
      <c r="Q79" s="4414"/>
      <c r="R79" s="4415"/>
      <c r="S79" s="4415"/>
      <c r="T79" s="4415"/>
      <c r="U79" s="4415"/>
      <c r="V79" s="4415"/>
      <c r="W79" s="4415"/>
      <c r="X79" s="4415"/>
      <c r="Y79" s="4415"/>
      <c r="Z79" s="4415"/>
      <c r="AA79" s="4415"/>
      <c r="AB79" s="4415"/>
      <c r="AC79" s="4415"/>
    </row>
    <row r="80" spans="1:29" s="4244" customFormat="1" ht="14.4" thickTop="1">
      <c r="A80" s="4406"/>
      <c r="B80" s="4392">
        <f>B15</f>
        <v>111</v>
      </c>
      <c r="C80" s="4407"/>
      <c r="D80" s="4407"/>
      <c r="E80" s="4407"/>
      <c r="F80" s="4407"/>
      <c r="G80" s="4407"/>
      <c r="H80" s="4408"/>
      <c r="I80" s="4408"/>
      <c r="J80" s="4408"/>
      <c r="K80" s="4408"/>
      <c r="L80" s="4409"/>
      <c r="M80" s="4410"/>
      <c r="N80" s="4411"/>
      <c r="O80" s="4412"/>
      <c r="P80" s="4238"/>
      <c r="Q80" s="4417"/>
      <c r="R80" s="4415"/>
      <c r="S80" s="4415"/>
      <c r="T80" s="4415"/>
      <c r="U80" s="4415"/>
      <c r="V80" s="4415"/>
      <c r="W80" s="4415"/>
      <c r="X80" s="4415"/>
      <c r="Y80" s="4415"/>
      <c r="Z80" s="4415"/>
      <c r="AA80" s="4415"/>
      <c r="AB80" s="4415"/>
      <c r="AC80" s="4415"/>
    </row>
    <row r="81" spans="1:29" s="4244" customFormat="1" ht="14.4" thickBot="1">
      <c r="A81" s="4406"/>
      <c r="B81" s="4397"/>
      <c r="C81" s="4416"/>
      <c r="D81" s="4416"/>
      <c r="E81" s="4416"/>
      <c r="F81" s="4416"/>
      <c r="G81" s="4416"/>
      <c r="H81" s="4418"/>
      <c r="I81" s="4418"/>
      <c r="J81" s="4418"/>
      <c r="K81" s="4418"/>
      <c r="L81" s="4418"/>
      <c r="M81" s="4419"/>
      <c r="N81" s="4411"/>
      <c r="O81" s="4412"/>
      <c r="P81" s="4413"/>
      <c r="Q81" s="4414"/>
      <c r="R81" s="4415"/>
      <c r="S81" s="4415"/>
      <c r="T81" s="4415"/>
      <c r="U81" s="4415"/>
      <c r="V81" s="4415"/>
      <c r="W81" s="4415"/>
      <c r="X81" s="4415"/>
      <c r="Y81" s="4415"/>
      <c r="Z81" s="4415"/>
      <c r="AA81" s="4415"/>
      <c r="AB81" s="4415"/>
      <c r="AC81" s="4415"/>
    </row>
    <row r="82" spans="1:29" s="4244" customFormat="1" ht="14.4" thickTop="1">
      <c r="A82" s="4406"/>
      <c r="B82" s="4400">
        <f>B16</f>
        <v>111</v>
      </c>
      <c r="C82" s="4370"/>
      <c r="D82" s="4370"/>
      <c r="E82" s="4370"/>
      <c r="F82" s="4370"/>
      <c r="G82" s="4370"/>
      <c r="H82" s="4420"/>
      <c r="I82" s="4420"/>
      <c r="J82" s="4420"/>
      <c r="K82" s="4420"/>
      <c r="L82" s="4421"/>
      <c r="M82" s="4422"/>
      <c r="N82" s="4411"/>
      <c r="O82" s="4412"/>
      <c r="P82" s="4423"/>
      <c r="Q82" s="4414"/>
      <c r="R82" s="4415"/>
      <c r="S82" s="4415"/>
      <c r="T82" s="4415"/>
      <c r="U82" s="4415"/>
      <c r="V82" s="4415"/>
      <c r="W82" s="4415"/>
      <c r="X82" s="4415"/>
      <c r="Y82" s="4415"/>
      <c r="Z82" s="4415"/>
      <c r="AA82" s="4415"/>
      <c r="AB82" s="4415"/>
      <c r="AC82" s="4415"/>
    </row>
    <row r="83" spans="1:29" s="4244" customFormat="1" ht="14.4" thickBot="1">
      <c r="A83" s="4424"/>
      <c r="B83" s="4425"/>
      <c r="C83" s="4426"/>
      <c r="D83" s="4426"/>
      <c r="E83" s="4426"/>
      <c r="F83" s="4426"/>
      <c r="G83" s="4426"/>
      <c r="H83" s="4427"/>
      <c r="I83" s="4427"/>
      <c r="J83" s="4427"/>
      <c r="K83" s="4427"/>
      <c r="L83" s="4427"/>
      <c r="M83" s="4428"/>
      <c r="N83" s="4411"/>
      <c r="O83" s="4412"/>
      <c r="P83" s="4413"/>
      <c r="Q83" s="4414"/>
      <c r="R83" s="4415"/>
      <c r="S83" s="4415"/>
      <c r="T83" s="4415"/>
      <c r="U83" s="4415"/>
      <c r="V83" s="4415"/>
      <c r="W83" s="4415"/>
      <c r="X83" s="4415"/>
      <c r="Y83" s="4415"/>
      <c r="Z83" s="4415"/>
      <c r="AA83" s="4415"/>
      <c r="AB83" s="4415"/>
      <c r="AC83" s="4415"/>
    </row>
    <row r="84" spans="1:29" ht="14.4">
      <c r="A84" s="4378" t="s">
        <v>3543</v>
      </c>
      <c r="B84" s="4379" t="s">
        <v>3544</v>
      </c>
      <c r="C84" s="4429" t="s">
        <v>3545</v>
      </c>
      <c r="D84" s="4429" t="s">
        <v>3546</v>
      </c>
      <c r="E84" s="4429" t="s">
        <v>3547</v>
      </c>
      <c r="F84" s="4429" t="s">
        <v>3548</v>
      </c>
      <c r="G84" s="4429" t="s">
        <v>3549</v>
      </c>
      <c r="H84" s="4430"/>
      <c r="I84" s="4430"/>
      <c r="J84" s="4430"/>
      <c r="K84" s="4431"/>
      <c r="L84" s="4432"/>
      <c r="M84" s="4433"/>
      <c r="N84" s="4383"/>
      <c r="O84" s="4384"/>
      <c r="P84" s="4434"/>
      <c r="Q84" s="4347"/>
      <c r="R84" s="4267"/>
      <c r="S84" s="4267"/>
      <c r="T84" s="4267"/>
      <c r="U84" s="4267"/>
      <c r="V84" s="4267"/>
      <c r="W84" s="4267"/>
      <c r="X84" s="4267"/>
      <c r="Y84" s="4267"/>
      <c r="Z84" s="4267"/>
      <c r="AA84" s="4267"/>
      <c r="AB84" s="4267"/>
      <c r="AC84" s="4267"/>
    </row>
    <row r="85" spans="1:29" ht="14.4" thickBot="1">
      <c r="A85" s="4386"/>
      <c r="B85" s="4397"/>
      <c r="C85" s="4398">
        <v>100</v>
      </c>
      <c r="D85" s="4398">
        <f>C85-$K17</f>
        <v>98</v>
      </c>
      <c r="E85" s="4398">
        <f>D85-$K17</f>
        <v>96</v>
      </c>
      <c r="F85" s="4398">
        <f>E85-$K17</f>
        <v>94</v>
      </c>
      <c r="G85" s="4398">
        <f>F85-$K17</f>
        <v>92</v>
      </c>
      <c r="H85" s="4398"/>
      <c r="I85" s="4398"/>
      <c r="J85" s="4398"/>
      <c r="K85" s="4398"/>
      <c r="L85" s="4398"/>
      <c r="M85" s="4399"/>
      <c r="N85" s="4390"/>
      <c r="O85" s="4391"/>
      <c r="P85" s="4385"/>
      <c r="Q85" s="4347"/>
      <c r="R85" s="4267"/>
      <c r="S85" s="4267"/>
      <c r="T85" s="4267"/>
      <c r="U85" s="4267"/>
      <c r="V85" s="4267"/>
      <c r="W85" s="4267"/>
      <c r="X85" s="4267"/>
      <c r="Y85" s="4267"/>
      <c r="Z85" s="4267"/>
      <c r="AA85" s="4267"/>
      <c r="AB85" s="4267"/>
      <c r="AC85" s="4267"/>
    </row>
    <row r="86" spans="1:29" ht="15" thickTop="1">
      <c r="A86" s="4386"/>
      <c r="B86" s="4392" t="s">
        <v>534</v>
      </c>
      <c r="C86" s="4435" t="s">
        <v>527</v>
      </c>
      <c r="D86" s="4435" t="s">
        <v>528</v>
      </c>
      <c r="E86" s="4435" t="s">
        <v>529</v>
      </c>
      <c r="F86" s="4435" t="s">
        <v>3548</v>
      </c>
      <c r="G86" s="4435" t="s">
        <v>3550</v>
      </c>
      <c r="H86" s="4393"/>
      <c r="I86" s="4393"/>
      <c r="J86" s="4393"/>
      <c r="K86" s="4394"/>
      <c r="L86" s="4395"/>
      <c r="M86" s="4396"/>
      <c r="N86" s="4383"/>
      <c r="O86" s="4384"/>
      <c r="P86" s="4385"/>
      <c r="Q86" s="4347"/>
      <c r="R86" s="4267"/>
      <c r="S86" s="4267"/>
      <c r="T86" s="4267"/>
      <c r="U86" s="4267"/>
      <c r="V86" s="4267"/>
      <c r="W86" s="4267"/>
      <c r="X86" s="4267"/>
      <c r="Y86" s="4267"/>
      <c r="Z86" s="4267"/>
      <c r="AA86" s="4267"/>
      <c r="AB86" s="4267"/>
      <c r="AC86" s="4267"/>
    </row>
    <row r="87" spans="1:29" ht="14.4" thickBot="1">
      <c r="A87" s="4386"/>
      <c r="B87" s="4397"/>
      <c r="C87" s="4398">
        <v>100</v>
      </c>
      <c r="D87" s="4398">
        <f>C87-$K19</f>
        <v>100</v>
      </c>
      <c r="E87" s="4398">
        <f>D87-$K19</f>
        <v>100</v>
      </c>
      <c r="F87" s="4398">
        <f>E87-$K19</f>
        <v>100</v>
      </c>
      <c r="G87" s="4398">
        <f>F87-$K19</f>
        <v>100</v>
      </c>
      <c r="H87" s="4398"/>
      <c r="I87" s="4398"/>
      <c r="J87" s="4398"/>
      <c r="K87" s="4398"/>
      <c r="L87" s="4398"/>
      <c r="M87" s="4399"/>
      <c r="N87" s="4390"/>
      <c r="O87" s="4391"/>
      <c r="P87" s="4385"/>
      <c r="Q87" s="4347"/>
      <c r="R87" s="4267"/>
      <c r="S87" s="4267"/>
      <c r="T87" s="4267"/>
      <c r="U87" s="4267"/>
      <c r="V87" s="4267"/>
      <c r="W87" s="4267"/>
      <c r="X87" s="4267"/>
      <c r="Y87" s="4267"/>
      <c r="Z87" s="4267"/>
      <c r="AA87" s="4267"/>
      <c r="AB87" s="4267"/>
      <c r="AC87" s="4267"/>
    </row>
    <row r="88" spans="1:29" s="4145" customFormat="1" ht="29.4" thickTop="1">
      <c r="A88" s="4436"/>
      <c r="B88" s="4392" t="s">
        <v>535</v>
      </c>
      <c r="C88" s="4435" t="s">
        <v>527</v>
      </c>
      <c r="D88" s="4435" t="s">
        <v>528</v>
      </c>
      <c r="E88" s="4435" t="s">
        <v>3551</v>
      </c>
      <c r="F88" s="4435" t="s">
        <v>530</v>
      </c>
      <c r="G88" s="4435" t="s">
        <v>531</v>
      </c>
      <c r="H88" s="4435"/>
      <c r="I88" s="4435"/>
      <c r="J88" s="4435"/>
      <c r="K88" s="4435"/>
      <c r="L88" s="4437"/>
      <c r="M88" s="4438"/>
      <c r="N88" s="4373"/>
      <c r="O88" s="4359"/>
      <c r="P88" s="4385"/>
      <c r="Q88" s="4347"/>
      <c r="R88" s="4360"/>
      <c r="S88" s="4360"/>
      <c r="T88" s="4360"/>
      <c r="U88" s="4360"/>
      <c r="V88" s="4360"/>
      <c r="W88" s="4360"/>
      <c r="X88" s="4360"/>
      <c r="Y88" s="4360"/>
      <c r="Z88" s="4360"/>
      <c r="AA88" s="4360"/>
      <c r="AB88" s="4360"/>
      <c r="AC88" s="4360"/>
    </row>
    <row r="89" spans="1:29" s="4145" customFormat="1" ht="14.4" thickBot="1">
      <c r="A89" s="4436"/>
      <c r="B89" s="4397"/>
      <c r="C89" s="4439">
        <v>100</v>
      </c>
      <c r="D89" s="4398">
        <f>C89-$K21</f>
        <v>99</v>
      </c>
      <c r="E89" s="4398">
        <f>D89-$K21</f>
        <v>98</v>
      </c>
      <c r="F89" s="4398">
        <f>E89-$K21</f>
        <v>97</v>
      </c>
      <c r="G89" s="4398">
        <f>F89-$K21</f>
        <v>96</v>
      </c>
      <c r="H89" s="4398"/>
      <c r="I89" s="4398"/>
      <c r="J89" s="4398"/>
      <c r="K89" s="4398"/>
      <c r="L89" s="4398"/>
      <c r="M89" s="4399"/>
      <c r="N89" s="4390"/>
      <c r="O89" s="4391"/>
      <c r="P89" s="4385"/>
      <c r="Q89" s="4347"/>
      <c r="R89" s="4360"/>
      <c r="S89" s="4360"/>
      <c r="T89" s="4360"/>
      <c r="U89" s="4360"/>
      <c r="V89" s="4360"/>
      <c r="W89" s="4360"/>
      <c r="X89" s="4360"/>
      <c r="Y89" s="4360"/>
      <c r="Z89" s="4360"/>
      <c r="AA89" s="4360"/>
      <c r="AB89" s="4360"/>
      <c r="AC89" s="4360"/>
    </row>
    <row r="90" spans="1:29" s="4145" customFormat="1" ht="29.4" thickTop="1">
      <c r="A90" s="4436"/>
      <c r="B90" s="4392" t="s">
        <v>3552</v>
      </c>
      <c r="C90" s="4429" t="s">
        <v>3553</v>
      </c>
      <c r="D90" s="4429" t="s">
        <v>3554</v>
      </c>
      <c r="E90" s="4429" t="s">
        <v>3555</v>
      </c>
      <c r="F90" s="4429" t="s">
        <v>3556</v>
      </c>
      <c r="G90" s="4429" t="s">
        <v>3550</v>
      </c>
      <c r="H90" s="4435"/>
      <c r="I90" s="4435"/>
      <c r="J90" s="4435"/>
      <c r="K90" s="4435"/>
      <c r="L90" s="4435"/>
      <c r="M90" s="4438"/>
      <c r="N90" s="4373"/>
      <c r="O90" s="4359"/>
      <c r="P90" s="4385"/>
      <c r="Q90" s="4347"/>
      <c r="R90" s="4360"/>
      <c r="S90" s="4360"/>
      <c r="T90" s="4360"/>
      <c r="U90" s="4360"/>
      <c r="V90" s="4360"/>
      <c r="W90" s="4360"/>
      <c r="X90" s="4360"/>
      <c r="Y90" s="4360"/>
      <c r="Z90" s="4360"/>
      <c r="AA90" s="4360"/>
      <c r="AB90" s="4360"/>
      <c r="AC90" s="4360"/>
    </row>
    <row r="91" spans="1:29" s="4145" customFormat="1" ht="14.4" thickBot="1">
      <c r="A91" s="4436"/>
      <c r="B91" s="4397"/>
      <c r="C91" s="4398">
        <v>100</v>
      </c>
      <c r="D91" s="4398">
        <f>C91-$K23</f>
        <v>100</v>
      </c>
      <c r="E91" s="4398">
        <f>D91-$K23</f>
        <v>100</v>
      </c>
      <c r="F91" s="4398">
        <f>E91-$K23</f>
        <v>100</v>
      </c>
      <c r="G91" s="4398">
        <f>F91-$K23</f>
        <v>100</v>
      </c>
      <c r="H91" s="4398"/>
      <c r="I91" s="4398"/>
      <c r="J91" s="4398"/>
      <c r="K91" s="4398"/>
      <c r="L91" s="4398"/>
      <c r="M91" s="4399"/>
      <c r="N91" s="4390"/>
      <c r="O91" s="4391"/>
      <c r="P91" s="4385"/>
      <c r="Q91" s="4347"/>
      <c r="R91" s="4360"/>
      <c r="S91" s="4360"/>
      <c r="T91" s="4360"/>
      <c r="U91" s="4360"/>
      <c r="V91" s="4360"/>
      <c r="W91" s="4360"/>
      <c r="X91" s="4360"/>
      <c r="Y91" s="4360"/>
      <c r="Z91" s="4360"/>
      <c r="AA91" s="4360"/>
      <c r="AB91" s="4360"/>
      <c r="AC91" s="4360"/>
    </row>
    <row r="92" spans="1:29" s="4244" customFormat="1" ht="15" thickTop="1">
      <c r="A92" s="4406"/>
      <c r="B92" s="4440" t="s">
        <v>1673</v>
      </c>
      <c r="C92" s="4429" t="s">
        <v>527</v>
      </c>
      <c r="D92" s="4429" t="s">
        <v>528</v>
      </c>
      <c r="E92" s="4429" t="s">
        <v>529</v>
      </c>
      <c r="F92" s="4429" t="s">
        <v>3557</v>
      </c>
      <c r="G92" s="4429" t="s">
        <v>3558</v>
      </c>
      <c r="H92" s="4441"/>
      <c r="I92" s="4441"/>
      <c r="J92" s="4441"/>
      <c r="K92" s="4441"/>
      <c r="L92" s="4442"/>
      <c r="M92" s="4443"/>
      <c r="N92" s="4411"/>
      <c r="O92" s="4412"/>
      <c r="P92" s="4413"/>
      <c r="Q92" s="4414"/>
      <c r="R92" s="4415"/>
      <c r="S92" s="4415"/>
      <c r="T92" s="4415"/>
      <c r="U92" s="4415"/>
      <c r="V92" s="4415"/>
      <c r="W92" s="4415"/>
      <c r="X92" s="4415"/>
      <c r="Y92" s="4415"/>
      <c r="Z92" s="4415"/>
      <c r="AA92" s="4415"/>
      <c r="AB92" s="4415"/>
      <c r="AC92" s="4415"/>
    </row>
    <row r="93" spans="1:29" s="4244" customFormat="1" ht="14.4" thickBot="1">
      <c r="A93" s="4406"/>
      <c r="B93" s="4397"/>
      <c r="C93" s="4398">
        <v>100</v>
      </c>
      <c r="D93" s="4398">
        <f>C93-$K25</f>
        <v>100</v>
      </c>
      <c r="E93" s="4398">
        <f>D93-$K25</f>
        <v>100</v>
      </c>
      <c r="F93" s="4398">
        <f>E93-$K25</f>
        <v>100</v>
      </c>
      <c r="G93" s="4398">
        <f>F93-$K25</f>
        <v>100</v>
      </c>
      <c r="H93" s="4444"/>
      <c r="I93" s="4444"/>
      <c r="J93" s="4444"/>
      <c r="K93" s="4444"/>
      <c r="L93" s="4444"/>
      <c r="M93" s="4445"/>
      <c r="N93" s="4411"/>
      <c r="O93" s="4412"/>
      <c r="P93" s="4413"/>
      <c r="Q93" s="4414"/>
      <c r="R93" s="4415"/>
      <c r="S93" s="4415"/>
      <c r="T93" s="4415"/>
      <c r="U93" s="4415"/>
      <c r="V93" s="4415"/>
      <c r="W93" s="4415"/>
      <c r="X93" s="4415"/>
      <c r="Y93" s="4415"/>
      <c r="Z93" s="4415"/>
      <c r="AA93" s="4415"/>
      <c r="AB93" s="4415"/>
      <c r="AC93" s="4415"/>
    </row>
    <row r="94" spans="1:29" s="4244" customFormat="1" ht="15" thickTop="1">
      <c r="A94" s="4406"/>
      <c r="B94" s="4446" t="s">
        <v>3510</v>
      </c>
      <c r="C94" s="4447" t="s">
        <v>1501</v>
      </c>
      <c r="D94" s="4447" t="s">
        <v>3559</v>
      </c>
      <c r="E94" s="4447" t="s">
        <v>3560</v>
      </c>
      <c r="F94" s="4447" t="s">
        <v>3561</v>
      </c>
      <c r="G94" s="4447" t="s">
        <v>3562</v>
      </c>
      <c r="H94" s="4441"/>
      <c r="I94" s="4441"/>
      <c r="J94" s="4441"/>
      <c r="K94" s="4441"/>
      <c r="L94" s="4441"/>
      <c r="M94" s="4443"/>
      <c r="N94" s="4411"/>
      <c r="O94" s="4412"/>
      <c r="P94" s="4413"/>
      <c r="Q94" s="4414"/>
      <c r="R94" s="4415"/>
      <c r="S94" s="4415"/>
      <c r="T94" s="4415"/>
      <c r="U94" s="4415"/>
      <c r="V94" s="4415"/>
      <c r="W94" s="4415"/>
      <c r="X94" s="4415"/>
      <c r="Y94" s="4415"/>
      <c r="Z94" s="4415"/>
      <c r="AA94" s="4415"/>
      <c r="AB94" s="4415"/>
      <c r="AC94" s="4415"/>
    </row>
    <row r="95" spans="1:29" s="4244" customFormat="1" ht="14.4" thickBot="1">
      <c r="A95" s="4406"/>
      <c r="B95" s="4400"/>
      <c r="C95" s="4398">
        <v>100</v>
      </c>
      <c r="D95" s="4398">
        <f>C95-$K27</f>
        <v>100</v>
      </c>
      <c r="E95" s="4398">
        <f>D95-$K27</f>
        <v>100</v>
      </c>
      <c r="F95" s="4398">
        <f>E95-$K27</f>
        <v>100</v>
      </c>
      <c r="G95" s="4398">
        <f>F95-$K27</f>
        <v>100</v>
      </c>
      <c r="H95" s="4402"/>
      <c r="I95" s="4402"/>
      <c r="J95" s="4402"/>
      <c r="K95" s="4402"/>
      <c r="L95" s="4402"/>
      <c r="M95" s="4448"/>
      <c r="N95" s="4411"/>
      <c r="O95" s="4412"/>
      <c r="P95" s="4413"/>
      <c r="Q95" s="4414"/>
      <c r="R95" s="4415"/>
      <c r="S95" s="4415"/>
      <c r="T95" s="4415"/>
      <c r="U95" s="4415"/>
      <c r="V95" s="4415"/>
      <c r="W95" s="4415"/>
      <c r="X95" s="4415"/>
      <c r="Y95" s="4415"/>
      <c r="Z95" s="4415"/>
      <c r="AA95" s="4415"/>
      <c r="AB95" s="4415"/>
      <c r="AC95" s="4415"/>
    </row>
    <row r="96" spans="1:29" ht="15" thickTop="1">
      <c r="A96" s="4386"/>
      <c r="B96" s="4392" t="str">
        <f>B29</f>
        <v>临街状况</v>
      </c>
      <c r="C96" s="4393" t="s">
        <v>3563</v>
      </c>
      <c r="D96" s="4393" t="s">
        <v>3564</v>
      </c>
      <c r="E96" s="4393" t="s">
        <v>3565</v>
      </c>
      <c r="F96" s="4393" t="s">
        <v>3566</v>
      </c>
      <c r="G96" s="4393"/>
      <c r="H96" s="4393"/>
      <c r="I96" s="4393"/>
      <c r="J96" s="4393"/>
      <c r="K96" s="4394"/>
      <c r="L96" s="4395"/>
      <c r="M96" s="4396"/>
      <c r="N96" s="4383"/>
      <c r="O96" s="4384"/>
      <c r="P96" s="4385"/>
      <c r="Q96" s="4347"/>
      <c r="R96" s="4267"/>
      <c r="S96" s="4267"/>
      <c r="T96" s="4267"/>
      <c r="U96" s="4267"/>
      <c r="V96" s="4267"/>
      <c r="W96" s="4267"/>
      <c r="X96" s="4267"/>
      <c r="Y96" s="4267"/>
      <c r="Z96" s="4267"/>
      <c r="AA96" s="4267"/>
      <c r="AB96" s="4267"/>
      <c r="AC96" s="4267"/>
    </row>
    <row r="97" spans="1:29" ht="14.4" thickBot="1">
      <c r="A97" s="4386"/>
      <c r="B97" s="4397"/>
      <c r="C97" s="4398">
        <v>100</v>
      </c>
      <c r="D97" s="4398">
        <f t="shared" ref="D97:M97" si="22">C97-$K29</f>
        <v>98</v>
      </c>
      <c r="E97" s="4398">
        <f t="shared" si="22"/>
        <v>96</v>
      </c>
      <c r="F97" s="4398">
        <f t="shared" si="22"/>
        <v>94</v>
      </c>
      <c r="G97" s="4398">
        <f t="shared" si="22"/>
        <v>92</v>
      </c>
      <c r="H97" s="4398">
        <f t="shared" si="22"/>
        <v>90</v>
      </c>
      <c r="I97" s="4398">
        <f t="shared" si="22"/>
        <v>88</v>
      </c>
      <c r="J97" s="4398">
        <f t="shared" si="22"/>
        <v>86</v>
      </c>
      <c r="K97" s="4398">
        <f t="shared" si="22"/>
        <v>84</v>
      </c>
      <c r="L97" s="4398">
        <f t="shared" si="22"/>
        <v>82</v>
      </c>
      <c r="M97" s="4398">
        <f t="shared" si="22"/>
        <v>80</v>
      </c>
      <c r="N97" s="4390"/>
      <c r="O97" s="4391"/>
      <c r="P97" s="4385"/>
      <c r="Q97" s="4347"/>
      <c r="R97" s="4267"/>
      <c r="S97" s="4267"/>
      <c r="T97" s="4267"/>
      <c r="U97" s="4267"/>
      <c r="V97" s="4267"/>
      <c r="W97" s="4267"/>
      <c r="X97" s="4267"/>
      <c r="Y97" s="4267"/>
      <c r="Z97" s="4267"/>
      <c r="AA97" s="4267"/>
      <c r="AB97" s="4267"/>
      <c r="AC97" s="4267"/>
    </row>
    <row r="98" spans="1:29" ht="29.4" thickTop="1">
      <c r="A98" s="4386"/>
      <c r="B98" s="4392" t="s">
        <v>3567</v>
      </c>
      <c r="C98" s="4449" t="s">
        <v>3568</v>
      </c>
      <c r="D98" s="4449" t="s">
        <v>3569</v>
      </c>
      <c r="E98" s="4449" t="s">
        <v>3570</v>
      </c>
      <c r="F98" s="4449" t="s">
        <v>3571</v>
      </c>
      <c r="G98" s="4407"/>
      <c r="H98" s="4450"/>
      <c r="I98" s="4450"/>
      <c r="J98" s="4450"/>
      <c r="K98" s="4451"/>
      <c r="L98" s="4452"/>
      <c r="M98" s="4453"/>
      <c r="N98" s="4383"/>
      <c r="O98" s="4384"/>
      <c r="P98" s="4385"/>
      <c r="Q98" s="4347"/>
      <c r="R98" s="4267"/>
      <c r="S98" s="4267"/>
      <c r="T98" s="4267"/>
      <c r="U98" s="4267"/>
      <c r="V98" s="4267"/>
      <c r="W98" s="4267"/>
      <c r="X98" s="4267"/>
      <c r="Y98" s="4267"/>
      <c r="Z98" s="4267"/>
      <c r="AA98" s="4267"/>
      <c r="AB98" s="4267"/>
      <c r="AC98" s="4267"/>
    </row>
    <row r="99" spans="1:29" ht="14.4" thickBot="1">
      <c r="A99" s="4386"/>
      <c r="B99" s="4397"/>
      <c r="C99" s="4398">
        <v>100</v>
      </c>
      <c r="D99" s="4398">
        <f t="shared" ref="D99:M99" si="23">C99-$K30</f>
        <v>100</v>
      </c>
      <c r="E99" s="4398">
        <f t="shared" si="23"/>
        <v>100</v>
      </c>
      <c r="F99" s="4398">
        <f t="shared" si="23"/>
        <v>100</v>
      </c>
      <c r="G99" s="4398">
        <f t="shared" si="23"/>
        <v>100</v>
      </c>
      <c r="H99" s="4398">
        <f t="shared" si="23"/>
        <v>100</v>
      </c>
      <c r="I99" s="4398">
        <f t="shared" si="23"/>
        <v>100</v>
      </c>
      <c r="J99" s="4398">
        <f t="shared" si="23"/>
        <v>100</v>
      </c>
      <c r="K99" s="4398">
        <f t="shared" si="23"/>
        <v>100</v>
      </c>
      <c r="L99" s="4398">
        <f t="shared" si="23"/>
        <v>100</v>
      </c>
      <c r="M99" s="4398">
        <f t="shared" si="23"/>
        <v>100</v>
      </c>
      <c r="N99" s="4390"/>
      <c r="O99" s="4391"/>
      <c r="P99" s="4385"/>
      <c r="Q99" s="4347"/>
      <c r="R99" s="4267"/>
      <c r="S99" s="4267"/>
      <c r="T99" s="4267"/>
      <c r="U99" s="4267"/>
      <c r="V99" s="4267"/>
      <c r="W99" s="4267"/>
      <c r="X99" s="4267"/>
      <c r="Y99" s="4267"/>
      <c r="Z99" s="4267"/>
      <c r="AA99" s="4267"/>
      <c r="AB99" s="4267"/>
      <c r="AC99" s="4267"/>
    </row>
    <row r="100" spans="1:29" ht="15" thickTop="1">
      <c r="A100" s="4386"/>
      <c r="B100" s="4392" t="s">
        <v>3572</v>
      </c>
      <c r="C100" s="4454" t="s">
        <v>3573</v>
      </c>
      <c r="D100" s="4454" t="s">
        <v>3574</v>
      </c>
      <c r="E100" s="4454" t="s">
        <v>3575</v>
      </c>
      <c r="F100" s="4454" t="s">
        <v>3576</v>
      </c>
      <c r="G100" s="4450"/>
      <c r="H100" s="4450"/>
      <c r="I100" s="4450"/>
      <c r="J100" s="4450"/>
      <c r="K100" s="4451"/>
      <c r="L100" s="4452"/>
      <c r="M100" s="4453"/>
      <c r="N100" s="4383"/>
      <c r="O100" s="4384"/>
      <c r="P100" s="4385"/>
      <c r="Q100" s="4347"/>
      <c r="R100" s="4267"/>
      <c r="S100" s="4267"/>
      <c r="T100" s="4267"/>
      <c r="U100" s="4267"/>
      <c r="V100" s="4267"/>
      <c r="W100" s="4267"/>
      <c r="X100" s="4267"/>
      <c r="Y100" s="4267"/>
      <c r="Z100" s="4267"/>
      <c r="AA100" s="4267"/>
      <c r="AB100" s="4267"/>
      <c r="AC100" s="4267"/>
    </row>
    <row r="101" spans="1:29" ht="14.4" thickBot="1">
      <c r="A101" s="4386"/>
      <c r="B101" s="4397"/>
      <c r="C101" s="4398">
        <v>100</v>
      </c>
      <c r="D101" s="4398">
        <f t="shared" ref="D101:M101" si="24">C101-$K32</f>
        <v>100</v>
      </c>
      <c r="E101" s="4398">
        <f t="shared" si="24"/>
        <v>100</v>
      </c>
      <c r="F101" s="4398">
        <f t="shared" si="24"/>
        <v>100</v>
      </c>
      <c r="G101" s="4398">
        <f t="shared" si="24"/>
        <v>100</v>
      </c>
      <c r="H101" s="4398">
        <f t="shared" si="24"/>
        <v>100</v>
      </c>
      <c r="I101" s="4398">
        <f t="shared" si="24"/>
        <v>100</v>
      </c>
      <c r="J101" s="4398">
        <f t="shared" si="24"/>
        <v>100</v>
      </c>
      <c r="K101" s="4398">
        <f t="shared" si="24"/>
        <v>100</v>
      </c>
      <c r="L101" s="4398">
        <f t="shared" si="24"/>
        <v>100</v>
      </c>
      <c r="M101" s="4398">
        <f t="shared" si="24"/>
        <v>100</v>
      </c>
      <c r="N101" s="4390"/>
      <c r="O101" s="4391"/>
      <c r="P101" s="4385"/>
      <c r="Q101" s="4347"/>
      <c r="R101" s="4267"/>
      <c r="S101" s="4267"/>
      <c r="T101" s="4267"/>
      <c r="U101" s="4267"/>
      <c r="V101" s="4267"/>
      <c r="W101" s="4267"/>
      <c r="X101" s="4267"/>
      <c r="Y101" s="4267"/>
      <c r="Z101" s="4267"/>
      <c r="AA101" s="4267"/>
      <c r="AB101" s="4267"/>
      <c r="AC101" s="4267"/>
    </row>
    <row r="102" spans="1:29" ht="14.4" thickTop="1">
      <c r="A102" s="4386"/>
      <c r="B102" s="4400">
        <f>B33</f>
        <v>111</v>
      </c>
      <c r="C102" s="4407"/>
      <c r="D102" s="4407"/>
      <c r="E102" s="4407"/>
      <c r="F102" s="4407"/>
      <c r="G102" s="4455"/>
      <c r="H102" s="4455"/>
      <c r="I102" s="4455"/>
      <c r="J102" s="4455"/>
      <c r="K102" s="4456"/>
      <c r="L102" s="4457"/>
      <c r="M102" s="4458"/>
      <c r="N102" s="4383"/>
      <c r="O102" s="4384"/>
      <c r="P102" s="4385"/>
      <c r="Q102" s="4347"/>
      <c r="R102" s="4267"/>
      <c r="S102" s="4267"/>
      <c r="T102" s="4267"/>
      <c r="U102" s="4267"/>
      <c r="V102" s="4267"/>
      <c r="W102" s="4267"/>
      <c r="X102" s="4267"/>
      <c r="Y102" s="4267"/>
      <c r="Z102" s="4267"/>
      <c r="AA102" s="4267"/>
      <c r="AB102" s="4267"/>
      <c r="AC102" s="4267"/>
    </row>
    <row r="103" spans="1:29" ht="14.4" thickBot="1">
      <c r="A103" s="4386"/>
      <c r="B103" s="4425"/>
      <c r="C103" s="4416"/>
      <c r="D103" s="4388"/>
      <c r="E103" s="4388"/>
      <c r="F103" s="4388"/>
      <c r="G103" s="4459"/>
      <c r="H103" s="4459"/>
      <c r="I103" s="4459"/>
      <c r="J103" s="4459"/>
      <c r="K103" s="4459"/>
      <c r="L103" s="4459"/>
      <c r="M103" s="4460"/>
      <c r="N103" s="4390"/>
      <c r="O103" s="4391"/>
      <c r="P103" s="4385"/>
      <c r="Q103" s="4347"/>
      <c r="R103" s="4267"/>
      <c r="S103" s="4267"/>
      <c r="T103" s="4267"/>
      <c r="U103" s="4267"/>
      <c r="V103" s="4267"/>
      <c r="W103" s="4267"/>
      <c r="X103" s="4267"/>
      <c r="Y103" s="4267"/>
      <c r="Z103" s="4267"/>
      <c r="AA103" s="4267"/>
      <c r="AB103" s="4267"/>
      <c r="AC103" s="4267"/>
    </row>
    <row r="104" spans="1:29" ht="14.4" thickTop="1">
      <c r="A104" s="4229"/>
      <c r="B104" s="4392">
        <f>B34</f>
        <v>111</v>
      </c>
      <c r="C104" s="4407"/>
      <c r="D104" s="4407"/>
      <c r="E104" s="4407"/>
      <c r="F104" s="4407"/>
      <c r="G104" s="4450"/>
      <c r="H104" s="4450"/>
      <c r="I104" s="4450"/>
      <c r="J104" s="4450"/>
      <c r="K104" s="4451"/>
      <c r="L104" s="4452"/>
      <c r="M104" s="4453"/>
      <c r="N104" s="4383"/>
      <c r="O104" s="4384"/>
      <c r="P104" s="4385"/>
      <c r="Q104" s="4347"/>
      <c r="R104" s="4267"/>
      <c r="S104" s="4267"/>
      <c r="T104" s="4267"/>
      <c r="U104" s="4267"/>
      <c r="V104" s="4267"/>
      <c r="W104" s="4267"/>
      <c r="X104" s="4267"/>
      <c r="Y104" s="4267"/>
      <c r="Z104" s="4267"/>
      <c r="AA104" s="4267"/>
      <c r="AB104" s="4267"/>
      <c r="AC104" s="4267"/>
    </row>
    <row r="105" spans="1:29" ht="14.4" thickBot="1">
      <c r="A105" s="4386"/>
      <c r="B105" s="4397"/>
      <c r="C105" s="4416"/>
      <c r="D105" s="4416"/>
      <c r="E105" s="4416"/>
      <c r="F105" s="4416"/>
      <c r="G105" s="4388"/>
      <c r="H105" s="4388"/>
      <c r="I105" s="4388"/>
      <c r="J105" s="4388"/>
      <c r="K105" s="4388"/>
      <c r="L105" s="4388"/>
      <c r="M105" s="4389"/>
      <c r="N105" s="4390"/>
      <c r="O105" s="4391"/>
      <c r="P105" s="4385"/>
      <c r="Q105" s="4347"/>
      <c r="R105" s="4267"/>
      <c r="S105" s="4267"/>
      <c r="T105" s="4267"/>
      <c r="U105" s="4267"/>
      <c r="V105" s="4267"/>
      <c r="W105" s="4267"/>
      <c r="X105" s="4267"/>
      <c r="Y105" s="4267"/>
      <c r="Z105" s="4267"/>
      <c r="AA105" s="4267"/>
      <c r="AB105" s="4267"/>
      <c r="AC105" s="4267"/>
    </row>
    <row r="106" spans="1:29" s="4244" customFormat="1" ht="14.4" thickTop="1">
      <c r="A106" s="4461"/>
      <c r="B106" s="4462">
        <f>B35</f>
        <v>111</v>
      </c>
      <c r="C106" s="4370"/>
      <c r="D106" s="4370"/>
      <c r="E106" s="4370"/>
      <c r="F106" s="4370"/>
      <c r="G106" s="4358"/>
      <c r="H106" s="4358"/>
      <c r="I106" s="4358"/>
      <c r="J106" s="4463"/>
      <c r="K106" s="4463"/>
      <c r="L106" s="4464"/>
      <c r="M106" s="4465"/>
      <c r="N106" s="4411"/>
      <c r="O106" s="4412"/>
      <c r="P106" s="4413"/>
      <c r="Q106" s="4414"/>
      <c r="R106" s="4415"/>
      <c r="S106" s="4415"/>
      <c r="T106" s="4415"/>
      <c r="U106" s="4415"/>
      <c r="V106" s="4415"/>
      <c r="W106" s="4415"/>
      <c r="X106" s="4415"/>
      <c r="Y106" s="4415"/>
      <c r="Z106" s="4415"/>
      <c r="AA106" s="4415"/>
      <c r="AB106" s="4415"/>
      <c r="AC106" s="4415"/>
    </row>
    <row r="107" spans="1:29" s="4244" customFormat="1" ht="14.4" thickBot="1">
      <c r="A107" s="4406"/>
      <c r="B107" s="4400"/>
      <c r="C107" s="4426"/>
      <c r="D107" s="4426"/>
      <c r="E107" s="4426"/>
      <c r="F107" s="4426"/>
      <c r="G107" s="4466"/>
      <c r="H107" s="4466"/>
      <c r="I107" s="4466"/>
      <c r="J107" s="4466"/>
      <c r="K107" s="4466"/>
      <c r="L107" s="4466"/>
      <c r="M107" s="4467"/>
      <c r="N107" s="4390"/>
      <c r="O107" s="4391"/>
      <c r="P107" s="4413"/>
      <c r="Q107" s="4414"/>
      <c r="R107" s="4415"/>
      <c r="S107" s="4415"/>
      <c r="T107" s="4415"/>
      <c r="U107" s="4415"/>
      <c r="V107" s="4415"/>
      <c r="W107" s="4415"/>
      <c r="X107" s="4415"/>
      <c r="Y107" s="4415"/>
      <c r="Z107" s="4415"/>
      <c r="AA107" s="4415"/>
      <c r="AB107" s="4415"/>
      <c r="AC107" s="4415"/>
    </row>
    <row r="108" spans="1:29" ht="27.6">
      <c r="A108" s="4378" t="s">
        <v>3577</v>
      </c>
      <c r="B108" s="4379" t="s">
        <v>3578</v>
      </c>
      <c r="C108" s="4430" t="str">
        <f t="shared" ref="C108:L108" si="25">C109&amp;"(含)"&amp;"-"&amp;D109</f>
        <v>0(含)-50000</v>
      </c>
      <c r="D108" s="4430" t="str">
        <f t="shared" si="25"/>
        <v>50000(含)-100000</v>
      </c>
      <c r="E108" s="4430" t="str">
        <f t="shared" si="25"/>
        <v>100000(含)-150000</v>
      </c>
      <c r="F108" s="4430" t="str">
        <f t="shared" si="25"/>
        <v>150000(含)-200000</v>
      </c>
      <c r="G108" s="4430" t="str">
        <f t="shared" si="25"/>
        <v>200000(含)-</v>
      </c>
      <c r="H108" s="4430" t="str">
        <f t="shared" si="25"/>
        <v>(含)-</v>
      </c>
      <c r="I108" s="4430" t="str">
        <f t="shared" si="25"/>
        <v>(含)-</v>
      </c>
      <c r="J108" s="4430" t="str">
        <f t="shared" si="25"/>
        <v>(含)-</v>
      </c>
      <c r="K108" s="4468" t="str">
        <f t="shared" si="25"/>
        <v>(含)-</v>
      </c>
      <c r="L108" s="4469" t="str">
        <f t="shared" si="25"/>
        <v>(含)-</v>
      </c>
      <c r="M108" s="4470" t="str">
        <f>M109&amp;"(含)"&amp;"-"&amp;P109</f>
        <v>(含)-</v>
      </c>
      <c r="N108" s="4383"/>
      <c r="O108" s="4384"/>
      <c r="P108" s="4385"/>
      <c r="Q108" s="4347"/>
      <c r="R108" s="4267"/>
      <c r="S108" s="4267"/>
      <c r="T108" s="4267"/>
      <c r="U108" s="4267"/>
      <c r="V108" s="4267"/>
      <c r="W108" s="4267"/>
      <c r="X108" s="4267"/>
      <c r="Y108" s="4267"/>
      <c r="Z108" s="4267"/>
      <c r="AA108" s="4267"/>
      <c r="AB108" s="4267"/>
      <c r="AC108" s="4267"/>
    </row>
    <row r="109" spans="1:29">
      <c r="A109" s="4386"/>
      <c r="B109" s="4400"/>
      <c r="C109" s="4358">
        <v>0</v>
      </c>
      <c r="D109" s="4358">
        <v>50000</v>
      </c>
      <c r="E109" s="4358">
        <v>100000</v>
      </c>
      <c r="F109" s="4358">
        <v>150000</v>
      </c>
      <c r="G109" s="4358">
        <v>200000</v>
      </c>
      <c r="H109" s="4358"/>
      <c r="I109" s="4358"/>
      <c r="J109" s="4463"/>
      <c r="K109" s="4463"/>
      <c r="L109" s="4464"/>
      <c r="M109" s="4465"/>
      <c r="N109" s="4383"/>
      <c r="O109" s="4384"/>
      <c r="P109" s="4385"/>
      <c r="Q109" s="4347"/>
      <c r="R109" s="4267"/>
      <c r="S109" s="4267"/>
      <c r="T109" s="4267"/>
      <c r="U109" s="4267"/>
      <c r="V109" s="4267"/>
      <c r="W109" s="4267"/>
      <c r="X109" s="4267"/>
      <c r="Y109" s="4267"/>
      <c r="Z109" s="4267"/>
      <c r="AA109" s="4267"/>
      <c r="AB109" s="4267"/>
      <c r="AC109" s="4267"/>
    </row>
    <row r="110" spans="1:29" ht="14.4" thickBot="1">
      <c r="A110" s="4386"/>
      <c r="B110" s="4397"/>
      <c r="C110" s="4426">
        <v>100</v>
      </c>
      <c r="D110" s="4459">
        <f>C110-1</f>
        <v>99</v>
      </c>
      <c r="E110" s="4459">
        <f>D110-(C110-D110)</f>
        <v>98</v>
      </c>
      <c r="F110" s="4459">
        <f t="shared" ref="F110:G110" si="26">E110-(D110-E110)</f>
        <v>97</v>
      </c>
      <c r="G110" s="4459">
        <f t="shared" si="26"/>
        <v>96</v>
      </c>
      <c r="H110" s="4459"/>
      <c r="I110" s="4459"/>
      <c r="J110" s="4459"/>
      <c r="K110" s="4459"/>
      <c r="L110" s="4459"/>
      <c r="M110" s="4460"/>
      <c r="N110" s="4390"/>
      <c r="O110" s="4391"/>
      <c r="P110" s="4385"/>
      <c r="Q110" s="4347"/>
      <c r="R110" s="4267"/>
      <c r="S110" s="4267"/>
      <c r="T110" s="4267"/>
      <c r="U110" s="4267"/>
      <c r="V110" s="4267"/>
      <c r="W110" s="4267"/>
      <c r="X110" s="4267"/>
      <c r="Y110" s="4267"/>
      <c r="Z110" s="4267"/>
      <c r="AA110" s="4267"/>
      <c r="AB110" s="4267"/>
      <c r="AC110" s="4267"/>
    </row>
    <row r="111" spans="1:29" ht="58.2" thickTop="1">
      <c r="A111" s="4471"/>
      <c r="B111" s="4392" t="s">
        <v>3579</v>
      </c>
      <c r="C111" s="4454" t="s">
        <v>3580</v>
      </c>
      <c r="D111" s="4454" t="s">
        <v>3626</v>
      </c>
      <c r="E111" s="4454" t="s">
        <v>3628</v>
      </c>
      <c r="F111" s="4454" t="s">
        <v>3625</v>
      </c>
      <c r="G111" s="4450"/>
      <c r="H111" s="4450"/>
      <c r="I111" s="4450"/>
      <c r="J111" s="4450"/>
      <c r="K111" s="4451"/>
      <c r="L111" s="4452"/>
      <c r="M111" s="4453"/>
      <c r="N111" s="4383"/>
      <c r="O111" s="4384"/>
      <c r="P111" s="4385"/>
      <c r="Q111" s="4347"/>
      <c r="R111" s="4267"/>
      <c r="S111" s="4267"/>
      <c r="T111" s="4267"/>
      <c r="U111" s="4267"/>
      <c r="V111" s="4267"/>
      <c r="W111" s="4267"/>
      <c r="X111" s="4267"/>
      <c r="Y111" s="4267"/>
      <c r="Z111" s="4267"/>
      <c r="AA111" s="4267"/>
      <c r="AB111" s="4267"/>
      <c r="AC111" s="4267"/>
    </row>
    <row r="112" spans="1:29" ht="14.4" thickBot="1">
      <c r="A112" s="4386"/>
      <c r="B112" s="4397"/>
      <c r="C112" s="4398">
        <v>100</v>
      </c>
      <c r="D112" s="4398">
        <f t="shared" ref="D112:M112" si="27">C112-$K37</f>
        <v>98</v>
      </c>
      <c r="E112" s="4398">
        <f t="shared" si="27"/>
        <v>96</v>
      </c>
      <c r="F112" s="4398">
        <f t="shared" si="27"/>
        <v>94</v>
      </c>
      <c r="G112" s="4398">
        <f t="shared" si="27"/>
        <v>92</v>
      </c>
      <c r="H112" s="4398">
        <f t="shared" si="27"/>
        <v>90</v>
      </c>
      <c r="I112" s="4398">
        <f t="shared" si="27"/>
        <v>88</v>
      </c>
      <c r="J112" s="4398">
        <f t="shared" si="27"/>
        <v>86</v>
      </c>
      <c r="K112" s="4398">
        <f t="shared" si="27"/>
        <v>84</v>
      </c>
      <c r="L112" s="4398">
        <f t="shared" si="27"/>
        <v>82</v>
      </c>
      <c r="M112" s="4399">
        <f t="shared" si="27"/>
        <v>80</v>
      </c>
      <c r="N112" s="4390"/>
      <c r="O112" s="4391"/>
      <c r="P112" s="4385"/>
      <c r="Q112" s="4347"/>
      <c r="R112" s="4267"/>
      <c r="S112" s="4267"/>
      <c r="T112" s="4267"/>
      <c r="U112" s="4267"/>
      <c r="V112" s="4267"/>
      <c r="W112" s="4267"/>
      <c r="X112" s="4267"/>
      <c r="Y112" s="4267"/>
      <c r="Z112" s="4267"/>
      <c r="AA112" s="4267"/>
      <c r="AB112" s="4267"/>
      <c r="AC112" s="4267"/>
    </row>
    <row r="113" spans="1:29" s="4244" customFormat="1" ht="15" thickTop="1">
      <c r="A113" s="4461"/>
      <c r="B113" s="4440" t="s">
        <v>3581</v>
      </c>
      <c r="C113" s="4472" t="s">
        <v>3582</v>
      </c>
      <c r="D113" s="4472" t="s">
        <v>3583</v>
      </c>
      <c r="E113" s="4472" t="s">
        <v>3584</v>
      </c>
      <c r="F113" s="4472"/>
      <c r="G113" s="4472"/>
      <c r="H113" s="4450"/>
      <c r="I113" s="4450"/>
      <c r="J113" s="4450"/>
      <c r="K113" s="4451"/>
      <c r="L113" s="4452"/>
      <c r="M113" s="4453"/>
      <c r="N113" s="4411"/>
      <c r="O113" s="4412"/>
      <c r="P113" s="4413"/>
      <c r="Q113" s="4414"/>
      <c r="R113" s="4415"/>
      <c r="S113" s="4415"/>
      <c r="T113" s="4415"/>
      <c r="U113" s="4415"/>
      <c r="V113" s="4415"/>
      <c r="W113" s="4415"/>
      <c r="X113" s="4415"/>
      <c r="Y113" s="4415"/>
      <c r="Z113" s="4415"/>
      <c r="AA113" s="4415"/>
      <c r="AB113" s="4415"/>
      <c r="AC113" s="4415"/>
    </row>
    <row r="114" spans="1:29" s="4244" customFormat="1" ht="14.4" thickBot="1">
      <c r="A114" s="4406"/>
      <c r="B114" s="4397"/>
      <c r="C114" s="4398">
        <v>100</v>
      </c>
      <c r="D114" s="4398">
        <f t="shared" ref="D114:M114" si="28">C114-$K38</f>
        <v>100</v>
      </c>
      <c r="E114" s="4398">
        <f t="shared" si="28"/>
        <v>100</v>
      </c>
      <c r="F114" s="4398">
        <f t="shared" si="28"/>
        <v>100</v>
      </c>
      <c r="G114" s="4398">
        <f t="shared" si="28"/>
        <v>100</v>
      </c>
      <c r="H114" s="4398">
        <f t="shared" si="28"/>
        <v>100</v>
      </c>
      <c r="I114" s="4398">
        <f t="shared" si="28"/>
        <v>100</v>
      </c>
      <c r="J114" s="4398">
        <f t="shared" si="28"/>
        <v>100</v>
      </c>
      <c r="K114" s="4398">
        <f t="shared" si="28"/>
        <v>100</v>
      </c>
      <c r="L114" s="4398">
        <f t="shared" si="28"/>
        <v>100</v>
      </c>
      <c r="M114" s="4399">
        <f t="shared" si="28"/>
        <v>100</v>
      </c>
      <c r="N114" s="4411"/>
      <c r="O114" s="4412"/>
      <c r="P114" s="4413"/>
      <c r="Q114" s="4414"/>
      <c r="R114" s="4415"/>
      <c r="S114" s="4415"/>
      <c r="T114" s="4415"/>
      <c r="U114" s="4415"/>
      <c r="V114" s="4415"/>
      <c r="W114" s="4415"/>
      <c r="X114" s="4415"/>
      <c r="Y114" s="4415"/>
      <c r="Z114" s="4415"/>
      <c r="AA114" s="4415"/>
      <c r="AB114" s="4415"/>
      <c r="AC114" s="4415"/>
    </row>
    <row r="115" spans="1:29" ht="15" thickTop="1">
      <c r="A115" s="4471"/>
      <c r="B115" s="4392" t="s">
        <v>3585</v>
      </c>
      <c r="C115" s="4407"/>
      <c r="D115" s="4407"/>
      <c r="E115" s="4450"/>
      <c r="F115" s="4450"/>
      <c r="G115" s="4450"/>
      <c r="H115" s="4450"/>
      <c r="I115" s="4450"/>
      <c r="J115" s="4450"/>
      <c r="K115" s="4451"/>
      <c r="L115" s="4452"/>
      <c r="M115" s="4453"/>
      <c r="N115" s="4383"/>
      <c r="O115" s="4384"/>
      <c r="P115" s="4385"/>
      <c r="Q115" s="4347"/>
      <c r="R115" s="4267"/>
      <c r="S115" s="4267"/>
      <c r="T115" s="4267"/>
      <c r="U115" s="4267"/>
      <c r="V115" s="4267"/>
      <c r="W115" s="4267"/>
      <c r="X115" s="4267"/>
      <c r="Y115" s="4267"/>
      <c r="Z115" s="4267"/>
      <c r="AA115" s="4267"/>
      <c r="AB115" s="4267"/>
      <c r="AC115" s="4267"/>
    </row>
    <row r="116" spans="1:29" ht="14.4" thickBot="1">
      <c r="A116" s="4386"/>
      <c r="B116" s="4397"/>
      <c r="C116" s="4398">
        <v>100</v>
      </c>
      <c r="D116" s="4398">
        <f t="shared" ref="D116:M116" si="29">C116-$K39</f>
        <v>100</v>
      </c>
      <c r="E116" s="4398">
        <f t="shared" si="29"/>
        <v>100</v>
      </c>
      <c r="F116" s="4398">
        <f t="shared" si="29"/>
        <v>100</v>
      </c>
      <c r="G116" s="4398">
        <f t="shared" si="29"/>
        <v>100</v>
      </c>
      <c r="H116" s="4398">
        <f t="shared" si="29"/>
        <v>100</v>
      </c>
      <c r="I116" s="4398">
        <f t="shared" si="29"/>
        <v>100</v>
      </c>
      <c r="J116" s="4398">
        <f t="shared" si="29"/>
        <v>100</v>
      </c>
      <c r="K116" s="4398">
        <f t="shared" si="29"/>
        <v>100</v>
      </c>
      <c r="L116" s="4398">
        <f t="shared" si="29"/>
        <v>100</v>
      </c>
      <c r="M116" s="4399">
        <f t="shared" si="29"/>
        <v>100</v>
      </c>
      <c r="N116" s="4390"/>
      <c r="O116" s="4391"/>
      <c r="P116" s="4385"/>
      <c r="Q116" s="4347"/>
      <c r="R116" s="4267"/>
      <c r="S116" s="4267"/>
      <c r="T116" s="4267"/>
      <c r="U116" s="4267"/>
      <c r="V116" s="4267"/>
      <c r="W116" s="4267"/>
      <c r="X116" s="4267"/>
      <c r="Y116" s="4267"/>
      <c r="Z116" s="4267"/>
      <c r="AA116" s="4267"/>
      <c r="AB116" s="4267"/>
      <c r="AC116" s="4267"/>
    </row>
    <row r="117" spans="1:29" ht="14.4" thickTop="1">
      <c r="A117" s="4471"/>
      <c r="B117" s="4392">
        <f>B40</f>
        <v>111</v>
      </c>
      <c r="C117" s="4407"/>
      <c r="D117" s="4407"/>
      <c r="E117" s="4407"/>
      <c r="F117" s="4407"/>
      <c r="G117" s="4407"/>
      <c r="H117" s="4450"/>
      <c r="I117" s="4450"/>
      <c r="J117" s="4450"/>
      <c r="K117" s="4451"/>
      <c r="L117" s="4452"/>
      <c r="M117" s="4453"/>
      <c r="N117" s="4383"/>
      <c r="O117" s="4384"/>
      <c r="P117" s="4385"/>
      <c r="Q117" s="4347"/>
      <c r="R117" s="4267"/>
      <c r="S117" s="4267"/>
      <c r="T117" s="4267"/>
      <c r="U117" s="4267"/>
      <c r="V117" s="4267"/>
      <c r="W117" s="4267"/>
      <c r="X117" s="4267"/>
      <c r="Y117" s="4267"/>
      <c r="Z117" s="4267"/>
      <c r="AA117" s="4267"/>
      <c r="AB117" s="4267"/>
      <c r="AC117" s="4267"/>
    </row>
    <row r="118" spans="1:29" ht="14.4" thickBot="1">
      <c r="A118" s="4386"/>
      <c r="B118" s="4397"/>
      <c r="C118" s="4416"/>
      <c r="D118" s="4388"/>
      <c r="E118" s="4388"/>
      <c r="F118" s="4388"/>
      <c r="G118" s="4388"/>
      <c r="H118" s="4388"/>
      <c r="I118" s="4388"/>
      <c r="J118" s="4388"/>
      <c r="K118" s="4388"/>
      <c r="L118" s="4388"/>
      <c r="M118" s="4389"/>
      <c r="N118" s="4390"/>
      <c r="O118" s="4391"/>
      <c r="P118" s="4385"/>
      <c r="Q118" s="4347"/>
      <c r="R118" s="4267"/>
      <c r="S118" s="4267"/>
      <c r="T118" s="4267"/>
      <c r="U118" s="4267"/>
      <c r="V118" s="4267"/>
      <c r="W118" s="4267"/>
      <c r="X118" s="4267"/>
      <c r="Y118" s="4267"/>
      <c r="Z118" s="4267"/>
      <c r="AA118" s="4267"/>
      <c r="AB118" s="4267"/>
      <c r="AC118" s="4267"/>
    </row>
    <row r="119" spans="1:29" ht="14.4" thickTop="1">
      <c r="A119" s="4471"/>
      <c r="B119" s="4392">
        <f>B41</f>
        <v>111</v>
      </c>
      <c r="C119" s="4407"/>
      <c r="D119" s="4407"/>
      <c r="E119" s="4407"/>
      <c r="F119" s="4407"/>
      <c r="G119" s="4450"/>
      <c r="H119" s="4450"/>
      <c r="I119" s="4450"/>
      <c r="J119" s="4450"/>
      <c r="K119" s="4451"/>
      <c r="L119" s="4452"/>
      <c r="M119" s="4453"/>
      <c r="N119" s="4383"/>
      <c r="O119" s="4384"/>
      <c r="P119" s="4385"/>
      <c r="Q119" s="4347"/>
      <c r="R119" s="4267"/>
      <c r="S119" s="4267"/>
      <c r="T119" s="4267"/>
      <c r="U119" s="4267"/>
      <c r="V119" s="4267"/>
      <c r="W119" s="4267"/>
      <c r="X119" s="4267"/>
      <c r="Y119" s="4267"/>
      <c r="Z119" s="4267"/>
      <c r="AA119" s="4267"/>
      <c r="AB119" s="4267"/>
      <c r="AC119" s="4267"/>
    </row>
    <row r="120" spans="1:29" ht="14.4" thickBot="1">
      <c r="A120" s="4386"/>
      <c r="B120" s="4397"/>
      <c r="C120" s="4416"/>
      <c r="D120" s="4416"/>
      <c r="E120" s="4416"/>
      <c r="F120" s="4416"/>
      <c r="G120" s="4388"/>
      <c r="H120" s="4388"/>
      <c r="I120" s="4388"/>
      <c r="J120" s="4388"/>
      <c r="K120" s="4388"/>
      <c r="L120" s="4388"/>
      <c r="M120" s="4389"/>
      <c r="N120" s="4390"/>
      <c r="O120" s="4391"/>
      <c r="P120" s="4385"/>
      <c r="Q120" s="4347"/>
      <c r="R120" s="4267"/>
      <c r="S120" s="4267"/>
      <c r="T120" s="4267"/>
      <c r="U120" s="4267"/>
      <c r="V120" s="4267"/>
      <c r="W120" s="4267"/>
      <c r="X120" s="4267"/>
      <c r="Y120" s="4267"/>
      <c r="Z120" s="4267"/>
      <c r="AA120" s="4267"/>
      <c r="AB120" s="4267"/>
      <c r="AC120" s="4267"/>
    </row>
    <row r="121" spans="1:29" s="4244" customFormat="1" ht="14.4" thickTop="1">
      <c r="A121" s="4461"/>
      <c r="B121" s="4392">
        <f>B42</f>
        <v>111</v>
      </c>
      <c r="C121" s="4370"/>
      <c r="D121" s="4370"/>
      <c r="E121" s="4370"/>
      <c r="F121" s="4370"/>
      <c r="G121" s="4408"/>
      <c r="H121" s="4408"/>
      <c r="I121" s="4408"/>
      <c r="J121" s="4408"/>
      <c r="K121" s="4408"/>
      <c r="L121" s="4409"/>
      <c r="M121" s="4410"/>
      <c r="N121" s="4411"/>
      <c r="O121" s="4412"/>
      <c r="P121" s="4413"/>
      <c r="Q121" s="4414"/>
      <c r="R121" s="4415"/>
      <c r="S121" s="4415"/>
      <c r="T121" s="4415"/>
      <c r="U121" s="4415"/>
      <c r="V121" s="4415"/>
      <c r="W121" s="4415"/>
      <c r="X121" s="4415"/>
      <c r="Y121" s="4415"/>
      <c r="Z121" s="4415"/>
      <c r="AA121" s="4415"/>
      <c r="AB121" s="4415"/>
      <c r="AC121" s="4415"/>
    </row>
    <row r="122" spans="1:29" s="4244" customFormat="1" ht="14.4" thickBot="1">
      <c r="A122" s="4424"/>
      <c r="B122" s="4473"/>
      <c r="C122" s="4426"/>
      <c r="D122" s="4426"/>
      <c r="E122" s="4426"/>
      <c r="F122" s="4426"/>
      <c r="G122" s="4459"/>
      <c r="H122" s="4459"/>
      <c r="I122" s="4459"/>
      <c r="J122" s="4459"/>
      <c r="K122" s="4459"/>
      <c r="L122" s="4459"/>
      <c r="M122" s="4460"/>
      <c r="N122" s="4411"/>
      <c r="O122" s="4412"/>
      <c r="P122" s="4413"/>
      <c r="Q122" s="4414"/>
      <c r="R122" s="4415"/>
      <c r="S122" s="4415"/>
      <c r="T122" s="4415"/>
      <c r="U122" s="4415"/>
      <c r="V122" s="4415"/>
      <c r="W122" s="4415"/>
      <c r="X122" s="4415"/>
      <c r="Y122" s="4415"/>
      <c r="Z122" s="4415"/>
      <c r="AA122" s="4415"/>
      <c r="AB122" s="4415"/>
      <c r="AC122" s="4415"/>
    </row>
    <row r="123" spans="1:29">
      <c r="A123" s="4474"/>
      <c r="B123" s="4474"/>
      <c r="C123" s="4474"/>
      <c r="D123" s="4474"/>
      <c r="E123" s="4474"/>
      <c r="F123" s="4474"/>
      <c r="G123" s="4474"/>
      <c r="H123" s="4474"/>
      <c r="I123" s="4474"/>
      <c r="J123" s="4474"/>
      <c r="K123" s="4475"/>
      <c r="L123" s="4476"/>
      <c r="M123" s="4474"/>
      <c r="N123" s="4474"/>
      <c r="O123" s="4474"/>
      <c r="P123" s="4474"/>
      <c r="Q123" s="4474"/>
      <c r="R123" s="4474"/>
      <c r="S123" s="4474"/>
      <c r="T123" s="4474"/>
      <c r="U123" s="4474"/>
      <c r="V123" s="4474"/>
      <c r="W123" s="4474"/>
      <c r="X123" s="4474"/>
      <c r="Y123" s="4474"/>
      <c r="Z123" s="4474"/>
      <c r="AA123" s="4474"/>
      <c r="AB123" s="4474"/>
      <c r="AC123" s="4474"/>
    </row>
    <row r="124" spans="1:29">
      <c r="A124" s="4474"/>
      <c r="B124" s="4474"/>
      <c r="C124" s="4474"/>
      <c r="D124" s="4474"/>
      <c r="E124" s="4474"/>
      <c r="F124" s="4474"/>
      <c r="G124" s="4474"/>
      <c r="H124" s="4474"/>
      <c r="I124" s="4474"/>
      <c r="J124" s="4474"/>
      <c r="K124" s="4475"/>
      <c r="L124" s="4476"/>
      <c r="M124" s="4474"/>
      <c r="N124" s="4474"/>
      <c r="O124" s="4474"/>
      <c r="P124" s="4474"/>
      <c r="Q124" s="4474"/>
      <c r="R124" s="4474"/>
      <c r="S124" s="4474"/>
      <c r="T124" s="4474"/>
      <c r="U124" s="4474"/>
      <c r="V124" s="4474"/>
      <c r="W124" s="4474"/>
      <c r="X124" s="4474"/>
      <c r="Y124" s="4474"/>
      <c r="Z124" s="4474"/>
      <c r="AA124" s="4474"/>
      <c r="AB124" s="4474"/>
      <c r="AC124" s="4474"/>
    </row>
    <row r="125" spans="1:29">
      <c r="A125" s="4474"/>
      <c r="B125" s="4474"/>
      <c r="C125" s="4474"/>
      <c r="D125" s="4474"/>
      <c r="E125" s="4474"/>
      <c r="F125" s="4474"/>
      <c r="G125" s="4474"/>
      <c r="H125" s="4474"/>
      <c r="I125" s="4474"/>
      <c r="J125" s="4474"/>
      <c r="K125" s="4475"/>
      <c r="L125" s="4476"/>
      <c r="M125" s="4474"/>
      <c r="N125" s="4474"/>
      <c r="O125" s="4474"/>
      <c r="P125" s="4474"/>
      <c r="Q125" s="4474"/>
      <c r="R125" s="4474"/>
      <c r="S125" s="4474"/>
      <c r="T125" s="4474"/>
      <c r="U125" s="4474"/>
      <c r="V125" s="4474"/>
      <c r="W125" s="4474"/>
      <c r="X125" s="4474"/>
      <c r="Y125" s="4474"/>
      <c r="Z125" s="4474"/>
      <c r="AA125" s="4474"/>
      <c r="AB125" s="4474"/>
      <c r="AC125" s="4474"/>
    </row>
    <row r="126" spans="1:29">
      <c r="A126" s="4474"/>
      <c r="B126" s="4474"/>
      <c r="C126" s="4474"/>
      <c r="D126" s="4474"/>
      <c r="E126" s="4474"/>
      <c r="F126" s="4474"/>
      <c r="G126" s="4474"/>
      <c r="H126" s="4474"/>
      <c r="I126" s="4474"/>
      <c r="J126" s="4474"/>
      <c r="K126" s="4475"/>
      <c r="L126" s="4476"/>
      <c r="M126" s="4474"/>
      <c r="N126" s="4474"/>
      <c r="O126" s="4474"/>
      <c r="P126" s="4474"/>
      <c r="Q126" s="4474"/>
      <c r="R126" s="4474"/>
      <c r="S126" s="4474"/>
      <c r="T126" s="4474"/>
      <c r="U126" s="4474"/>
      <c r="V126" s="4474"/>
      <c r="W126" s="4474"/>
      <c r="X126" s="4474"/>
      <c r="Y126" s="4474"/>
      <c r="Z126" s="4474"/>
      <c r="AA126" s="4474"/>
      <c r="AB126" s="4474"/>
      <c r="AC126" s="4474"/>
    </row>
    <row r="127" spans="1:29">
      <c r="A127" s="4474"/>
      <c r="B127" s="4474"/>
      <c r="C127" s="4474"/>
      <c r="D127" s="4474"/>
      <c r="E127" s="4474"/>
      <c r="F127" s="4474"/>
      <c r="G127" s="4474"/>
      <c r="H127" s="4474"/>
      <c r="I127" s="4474"/>
      <c r="J127" s="4474"/>
      <c r="K127" s="4475"/>
      <c r="L127" s="4476"/>
      <c r="M127" s="4474"/>
      <c r="N127" s="4474"/>
      <c r="O127" s="4474"/>
      <c r="P127" s="4474"/>
      <c r="Q127" s="4474"/>
      <c r="R127" s="4474"/>
      <c r="S127" s="4474"/>
      <c r="T127" s="4474"/>
      <c r="U127" s="4474"/>
      <c r="V127" s="4474"/>
      <c r="W127" s="4474"/>
      <c r="X127" s="4474"/>
      <c r="Y127" s="4474"/>
      <c r="Z127" s="4474"/>
      <c r="AA127" s="4474"/>
      <c r="AB127" s="4474"/>
      <c r="AC127" s="4474"/>
    </row>
    <row r="128" spans="1:29">
      <c r="A128" s="4474"/>
      <c r="B128" s="4474"/>
      <c r="C128" s="4474"/>
      <c r="D128" s="4474"/>
      <c r="E128" s="4474"/>
      <c r="F128" s="4474"/>
      <c r="G128" s="4474"/>
      <c r="H128" s="4474"/>
      <c r="I128" s="4474"/>
      <c r="J128" s="4474"/>
      <c r="K128" s="4475"/>
      <c r="L128" s="4476"/>
      <c r="M128" s="4474"/>
      <c r="N128" s="4474"/>
      <c r="O128" s="4474"/>
      <c r="P128" s="4474"/>
      <c r="Q128" s="4474"/>
      <c r="R128" s="4474"/>
      <c r="S128" s="4474"/>
      <c r="T128" s="4474"/>
      <c r="U128" s="4474"/>
      <c r="V128" s="4474"/>
      <c r="W128" s="4474"/>
      <c r="X128" s="4474"/>
      <c r="Y128" s="4474"/>
      <c r="Z128" s="4474"/>
      <c r="AA128" s="4474"/>
      <c r="AB128" s="4474"/>
      <c r="AC128" s="4474"/>
    </row>
    <row r="129" spans="1:29">
      <c r="A129" s="4474"/>
      <c r="B129" s="4474"/>
      <c r="C129" s="4474"/>
      <c r="D129" s="4474"/>
      <c r="E129" s="4474"/>
      <c r="F129" s="4474"/>
      <c r="G129" s="4474"/>
      <c r="H129" s="4474"/>
      <c r="I129" s="4474"/>
      <c r="J129" s="4474"/>
      <c r="K129" s="4475"/>
      <c r="L129" s="4476"/>
      <c r="M129" s="4474"/>
      <c r="N129" s="4474"/>
      <c r="O129" s="4474"/>
      <c r="P129" s="4474"/>
      <c r="Q129" s="4474"/>
      <c r="R129" s="4474"/>
      <c r="S129" s="4474"/>
      <c r="T129" s="4474"/>
      <c r="U129" s="4474"/>
      <c r="V129" s="4474"/>
      <c r="W129" s="4474"/>
      <c r="X129" s="4474"/>
      <c r="Y129" s="4474"/>
      <c r="Z129" s="4474"/>
      <c r="AA129" s="4474"/>
      <c r="AB129" s="4474"/>
      <c r="AC129" s="4474"/>
    </row>
    <row r="130" spans="1:29">
      <c r="A130" s="4474"/>
      <c r="B130" s="4474"/>
      <c r="C130" s="4474"/>
      <c r="D130" s="4474"/>
      <c r="E130" s="4474"/>
      <c r="F130" s="4474"/>
      <c r="G130" s="4474"/>
      <c r="H130" s="4474"/>
      <c r="I130" s="4474"/>
      <c r="J130" s="4474"/>
      <c r="K130" s="4475"/>
      <c r="L130" s="4476"/>
      <c r="M130" s="4474"/>
      <c r="N130" s="4474"/>
      <c r="O130" s="4474"/>
      <c r="P130" s="4474"/>
      <c r="Q130" s="4474"/>
      <c r="R130" s="4474"/>
      <c r="S130" s="4474"/>
      <c r="T130" s="4474"/>
      <c r="U130" s="4474"/>
      <c r="V130" s="4474"/>
      <c r="W130" s="4474"/>
      <c r="X130" s="4474"/>
      <c r="Y130" s="4474"/>
      <c r="Z130" s="4474"/>
      <c r="AA130" s="4474"/>
      <c r="AB130" s="4474"/>
      <c r="AC130" s="4474"/>
    </row>
    <row r="131" spans="1:29">
      <c r="A131" s="4474"/>
      <c r="B131" s="4474"/>
      <c r="C131" s="4474"/>
      <c r="D131" s="4474"/>
      <c r="E131" s="4474"/>
      <c r="F131" s="4474"/>
      <c r="G131" s="4474"/>
      <c r="H131" s="4474"/>
      <c r="I131" s="4474"/>
      <c r="J131" s="4474"/>
      <c r="K131" s="4475"/>
      <c r="L131" s="4476"/>
      <c r="M131" s="4474"/>
      <c r="N131" s="4474"/>
      <c r="O131" s="4474"/>
      <c r="P131" s="4474"/>
      <c r="Q131" s="4474"/>
      <c r="R131" s="4474"/>
      <c r="S131" s="4474"/>
      <c r="T131" s="4474"/>
      <c r="U131" s="4474"/>
      <c r="V131" s="4474"/>
      <c r="W131" s="4474"/>
      <c r="X131" s="4474"/>
      <c r="Y131" s="4474"/>
      <c r="Z131" s="4474"/>
      <c r="AA131" s="4474"/>
      <c r="AB131" s="4474"/>
      <c r="AC131" s="4474"/>
    </row>
    <row r="132" spans="1:29">
      <c r="A132" s="4474"/>
      <c r="B132" s="4474"/>
      <c r="C132" s="4474"/>
      <c r="D132" s="4474"/>
      <c r="E132" s="4474"/>
      <c r="F132" s="4474"/>
      <c r="G132" s="4474"/>
      <c r="H132" s="4474"/>
      <c r="I132" s="4474"/>
      <c r="J132" s="4474"/>
      <c r="K132" s="4475"/>
      <c r="L132" s="4476"/>
      <c r="M132" s="4474"/>
      <c r="N132" s="4474"/>
      <c r="O132" s="4474"/>
      <c r="P132" s="4474"/>
      <c r="Q132" s="4474"/>
      <c r="R132" s="4474"/>
      <c r="S132" s="4474"/>
      <c r="T132" s="4474"/>
      <c r="U132" s="4474"/>
      <c r="V132" s="4474"/>
      <c r="W132" s="4474"/>
      <c r="X132" s="4474"/>
      <c r="Y132" s="4474"/>
      <c r="Z132" s="4474"/>
      <c r="AA132" s="4474"/>
      <c r="AB132" s="4474"/>
      <c r="AC132" s="4474"/>
    </row>
    <row r="133" spans="1:29">
      <c r="A133" s="4474"/>
      <c r="B133" s="4474"/>
      <c r="C133" s="4474"/>
      <c r="D133" s="4474"/>
      <c r="E133" s="4474"/>
      <c r="F133" s="4474"/>
      <c r="G133" s="4474"/>
      <c r="H133" s="4474"/>
      <c r="I133" s="4474"/>
      <c r="J133" s="4474"/>
      <c r="K133" s="4475"/>
      <c r="L133" s="4476"/>
      <c r="M133" s="4474"/>
      <c r="N133" s="4474"/>
      <c r="O133" s="4474"/>
      <c r="P133" s="4474"/>
      <c r="Q133" s="4474"/>
      <c r="R133" s="4474"/>
      <c r="S133" s="4474"/>
      <c r="T133" s="4474"/>
      <c r="U133" s="4474"/>
      <c r="V133" s="4474"/>
      <c r="W133" s="4474"/>
      <c r="X133" s="4474"/>
      <c r="Y133" s="4474"/>
      <c r="Z133" s="4474"/>
      <c r="AA133" s="4474"/>
      <c r="AB133" s="4474"/>
      <c r="AC133" s="4474"/>
    </row>
    <row r="134" spans="1:29">
      <c r="A134" s="4474"/>
      <c r="B134" s="4474"/>
      <c r="C134" s="4474"/>
      <c r="D134" s="4474"/>
      <c r="E134" s="4474"/>
      <c r="F134" s="4474"/>
      <c r="G134" s="4474"/>
      <c r="H134" s="4474"/>
      <c r="I134" s="4474"/>
      <c r="J134" s="4474"/>
      <c r="K134" s="4475"/>
      <c r="L134" s="4476"/>
      <c r="M134" s="4474"/>
      <c r="N134" s="4474"/>
      <c r="O134" s="4474"/>
      <c r="P134" s="4474"/>
      <c r="Q134" s="4474"/>
      <c r="R134" s="4474"/>
      <c r="S134" s="4474"/>
      <c r="T134" s="4474"/>
      <c r="U134" s="4474"/>
      <c r="V134" s="4474"/>
      <c r="W134" s="4474"/>
      <c r="X134" s="4474"/>
      <c r="Y134" s="4474"/>
      <c r="Z134" s="4474"/>
      <c r="AA134" s="4474"/>
      <c r="AB134" s="4474"/>
      <c r="AC134" s="4474"/>
    </row>
    <row r="135" spans="1:29">
      <c r="A135" s="4474"/>
      <c r="B135" s="4474"/>
      <c r="C135" s="4474"/>
      <c r="D135" s="4474"/>
      <c r="E135" s="4474"/>
      <c r="F135" s="4474"/>
      <c r="G135" s="4474"/>
      <c r="H135" s="4474"/>
      <c r="I135" s="4474"/>
      <c r="J135" s="4474"/>
      <c r="K135" s="4475"/>
      <c r="L135" s="4476"/>
      <c r="M135" s="4474"/>
      <c r="N135" s="4474"/>
      <c r="O135" s="4474"/>
      <c r="P135" s="4474"/>
      <c r="Q135" s="4474"/>
      <c r="R135" s="4474"/>
      <c r="S135" s="4474"/>
      <c r="T135" s="4474"/>
      <c r="U135" s="4474"/>
      <c r="V135" s="4474"/>
      <c r="W135" s="4474"/>
      <c r="X135" s="4474"/>
      <c r="Y135" s="4474"/>
      <c r="Z135" s="4474"/>
      <c r="AA135" s="4474"/>
      <c r="AB135" s="4474"/>
      <c r="AC135" s="4474"/>
    </row>
    <row r="136" spans="1:29">
      <c r="A136" s="4474"/>
      <c r="B136" s="4474"/>
      <c r="C136" s="4474"/>
      <c r="D136" s="4474"/>
      <c r="E136" s="4474"/>
      <c r="F136" s="4474"/>
      <c r="G136" s="4474"/>
      <c r="H136" s="4474"/>
      <c r="I136" s="4474"/>
      <c r="J136" s="4474"/>
      <c r="K136" s="4475"/>
      <c r="L136" s="4476"/>
      <c r="M136" s="4474"/>
      <c r="N136" s="4474"/>
      <c r="O136" s="4474"/>
      <c r="P136" s="4474"/>
      <c r="Q136" s="4474"/>
      <c r="R136" s="4474"/>
      <c r="S136" s="4474"/>
      <c r="T136" s="4474"/>
      <c r="U136" s="4474"/>
      <c r="V136" s="4474"/>
      <c r="W136" s="4474"/>
      <c r="X136" s="4474"/>
      <c r="Y136" s="4474"/>
      <c r="Z136" s="4474"/>
      <c r="AA136" s="4474"/>
      <c r="AB136" s="4474"/>
      <c r="AC136" s="4474"/>
    </row>
    <row r="137" spans="1:29">
      <c r="A137" s="4474"/>
      <c r="B137" s="4474"/>
      <c r="C137" s="4474"/>
      <c r="D137" s="4474"/>
      <c r="E137" s="4474"/>
      <c r="F137" s="4474"/>
      <c r="G137" s="4474"/>
      <c r="H137" s="4474"/>
      <c r="I137" s="4474"/>
      <c r="J137" s="4474"/>
      <c r="K137" s="4475"/>
      <c r="L137" s="4476"/>
      <c r="M137" s="4474"/>
      <c r="N137" s="4474"/>
      <c r="O137" s="4474"/>
      <c r="P137" s="4474"/>
      <c r="Q137" s="4474"/>
      <c r="R137" s="4474"/>
      <c r="S137" s="4474"/>
      <c r="T137" s="4474"/>
      <c r="U137" s="4474"/>
      <c r="V137" s="4474"/>
      <c r="W137" s="4474"/>
      <c r="X137" s="4474"/>
      <c r="Y137" s="4474"/>
      <c r="Z137" s="4474"/>
      <c r="AA137" s="4474"/>
      <c r="AB137" s="4474"/>
      <c r="AC137" s="4474"/>
    </row>
    <row r="138" spans="1:29">
      <c r="A138" s="4474"/>
      <c r="B138" s="4474"/>
      <c r="C138" s="4474"/>
      <c r="D138" s="4474"/>
      <c r="E138" s="4474"/>
      <c r="F138" s="4474"/>
      <c r="G138" s="4474"/>
      <c r="H138" s="4474"/>
      <c r="I138" s="4474"/>
      <c r="J138" s="4474"/>
      <c r="K138" s="4475"/>
      <c r="L138" s="4476"/>
      <c r="M138" s="4474"/>
      <c r="N138" s="4474"/>
      <c r="O138" s="4474"/>
      <c r="P138" s="4474"/>
      <c r="Q138" s="4474"/>
      <c r="R138" s="4474"/>
      <c r="S138" s="4474"/>
      <c r="T138" s="4474"/>
      <c r="U138" s="4474"/>
      <c r="V138" s="4474"/>
      <c r="W138" s="4474"/>
      <c r="X138" s="4474"/>
      <c r="Y138" s="4474"/>
      <c r="Z138" s="4474"/>
      <c r="AA138" s="4474"/>
      <c r="AB138" s="4474"/>
      <c r="AC138" s="4474"/>
    </row>
    <row r="139" spans="1:29">
      <c r="A139" s="4474"/>
      <c r="B139" s="4474"/>
      <c r="C139" s="4474"/>
      <c r="D139" s="4474"/>
      <c r="E139" s="4474"/>
      <c r="F139" s="4474"/>
      <c r="G139" s="4474"/>
      <c r="H139" s="4474"/>
      <c r="I139" s="4474"/>
      <c r="J139" s="4474"/>
      <c r="K139" s="4475"/>
      <c r="L139" s="4476"/>
      <c r="M139" s="4474"/>
      <c r="N139" s="4474"/>
      <c r="O139" s="4474"/>
      <c r="P139" s="4474"/>
      <c r="Q139" s="4474"/>
      <c r="R139" s="4474"/>
      <c r="S139" s="4474"/>
      <c r="T139" s="4474"/>
      <c r="U139" s="4474"/>
      <c r="V139" s="4474"/>
      <c r="W139" s="4474"/>
      <c r="X139" s="4474"/>
      <c r="Y139" s="4474"/>
      <c r="Z139" s="4474"/>
      <c r="AA139" s="4474"/>
      <c r="AB139" s="4474"/>
      <c r="AC139" s="4474"/>
    </row>
    <row r="140" spans="1:29">
      <c r="A140" s="4474"/>
      <c r="B140" s="4474"/>
      <c r="C140" s="4474"/>
      <c r="D140" s="4474"/>
      <c r="E140" s="4474"/>
      <c r="F140" s="4474"/>
      <c r="G140" s="4474"/>
      <c r="H140" s="4474"/>
      <c r="I140" s="4474"/>
      <c r="J140" s="4474"/>
      <c r="K140" s="4475"/>
      <c r="L140" s="4476"/>
      <c r="M140" s="4474"/>
      <c r="N140" s="4474"/>
      <c r="O140" s="4474"/>
      <c r="P140" s="4474"/>
      <c r="Q140" s="4474"/>
      <c r="R140" s="4474"/>
      <c r="S140" s="4474"/>
      <c r="T140" s="4474"/>
      <c r="U140" s="4474"/>
      <c r="V140" s="4474"/>
      <c r="W140" s="4474"/>
      <c r="X140" s="4474"/>
      <c r="Y140" s="4474"/>
      <c r="Z140" s="4474"/>
      <c r="AA140" s="4474"/>
      <c r="AB140" s="4474"/>
      <c r="AC140" s="4474"/>
    </row>
    <row r="141" spans="1:29">
      <c r="A141" s="4474"/>
      <c r="B141" s="4474"/>
      <c r="C141" s="4474"/>
      <c r="D141" s="4474"/>
      <c r="E141" s="4474"/>
      <c r="F141" s="4474"/>
      <c r="G141" s="4474"/>
      <c r="H141" s="4474"/>
      <c r="I141" s="4474"/>
      <c r="J141" s="4474"/>
      <c r="K141" s="4475"/>
      <c r="L141" s="4476"/>
      <c r="M141" s="4474"/>
      <c r="N141" s="4474"/>
      <c r="O141" s="4474"/>
      <c r="P141" s="4474"/>
      <c r="Q141" s="4474"/>
      <c r="R141" s="4474"/>
      <c r="S141" s="4474"/>
      <c r="T141" s="4474"/>
      <c r="U141" s="4474"/>
      <c r="V141" s="4474"/>
      <c r="W141" s="4474"/>
      <c r="X141" s="4474"/>
      <c r="Y141" s="4474"/>
      <c r="Z141" s="4474"/>
      <c r="AA141" s="4474"/>
      <c r="AB141" s="4474"/>
      <c r="AC141" s="4474"/>
    </row>
    <row r="142" spans="1:29">
      <c r="A142" s="4474"/>
      <c r="B142" s="4474"/>
      <c r="C142" s="4474"/>
      <c r="D142" s="4474"/>
      <c r="E142" s="4474"/>
      <c r="F142" s="4474"/>
      <c r="G142" s="4474"/>
      <c r="H142" s="4474"/>
      <c r="I142" s="4474"/>
      <c r="J142" s="4474"/>
      <c r="K142" s="4475"/>
      <c r="L142" s="4476"/>
      <c r="M142" s="4474"/>
      <c r="N142" s="4474"/>
      <c r="O142" s="4474"/>
      <c r="P142" s="4474"/>
      <c r="Q142" s="4474"/>
      <c r="R142" s="4474"/>
      <c r="S142" s="4474"/>
      <c r="T142" s="4474"/>
      <c r="U142" s="4474"/>
      <c r="V142" s="4474"/>
      <c r="W142" s="4474"/>
      <c r="X142" s="4474"/>
      <c r="Y142" s="4474"/>
      <c r="Z142" s="4474"/>
      <c r="AA142" s="4474"/>
      <c r="AB142" s="4474"/>
      <c r="AC142" s="4474"/>
    </row>
    <row r="143" spans="1:29">
      <c r="A143" s="4474"/>
      <c r="B143" s="4474"/>
      <c r="C143" s="4474"/>
      <c r="D143" s="4474"/>
      <c r="E143" s="4474"/>
      <c r="F143" s="4474"/>
      <c r="G143" s="4474"/>
      <c r="H143" s="4474"/>
      <c r="I143" s="4474"/>
      <c r="J143" s="4474"/>
      <c r="K143" s="4475"/>
      <c r="L143" s="4476"/>
      <c r="M143" s="4474"/>
      <c r="N143" s="4474"/>
      <c r="O143" s="4474"/>
      <c r="P143" s="4474"/>
      <c r="Q143" s="4474"/>
      <c r="R143" s="4474"/>
      <c r="S143" s="4474"/>
      <c r="T143" s="4474"/>
      <c r="U143" s="4474"/>
      <c r="V143" s="4474"/>
      <c r="W143" s="4474"/>
      <c r="X143" s="4474"/>
      <c r="Y143" s="4474"/>
      <c r="Z143" s="4474"/>
      <c r="AA143" s="4474"/>
      <c r="AB143" s="4474"/>
      <c r="AC143" s="4474"/>
    </row>
    <row r="144" spans="1:29">
      <c r="A144" s="4474"/>
      <c r="B144" s="4474"/>
      <c r="C144" s="4474"/>
      <c r="D144" s="4474"/>
      <c r="E144" s="4474"/>
      <c r="F144" s="4474"/>
      <c r="G144" s="4474"/>
      <c r="H144" s="4474"/>
      <c r="I144" s="4474"/>
      <c r="J144" s="4474"/>
      <c r="K144" s="4475"/>
      <c r="L144" s="4476"/>
      <c r="M144" s="4474"/>
      <c r="N144" s="4474"/>
      <c r="O144" s="4474"/>
      <c r="P144" s="4474"/>
      <c r="Q144" s="4474"/>
      <c r="R144" s="4474"/>
      <c r="S144" s="4474"/>
      <c r="T144" s="4474"/>
      <c r="U144" s="4474"/>
      <c r="V144" s="4474"/>
      <c r="W144" s="4474"/>
      <c r="X144" s="4474"/>
      <c r="Y144" s="4474"/>
      <c r="Z144" s="4474"/>
      <c r="AA144" s="4474"/>
      <c r="AB144" s="4474"/>
      <c r="AC144" s="4474"/>
    </row>
    <row r="145" spans="1:29">
      <c r="A145" s="4474"/>
      <c r="B145" s="4474"/>
      <c r="C145" s="4474"/>
      <c r="D145" s="4474"/>
      <c r="E145" s="4474"/>
      <c r="F145" s="4474"/>
      <c r="G145" s="4474"/>
      <c r="H145" s="4474"/>
      <c r="I145" s="4474"/>
      <c r="J145" s="4474"/>
      <c r="K145" s="4475"/>
      <c r="L145" s="4476"/>
      <c r="M145" s="4474"/>
      <c r="N145" s="4474"/>
      <c r="O145" s="4474"/>
      <c r="P145" s="4474"/>
      <c r="Q145" s="4474"/>
      <c r="R145" s="4474"/>
      <c r="S145" s="4474"/>
      <c r="T145" s="4474"/>
      <c r="U145" s="4474"/>
      <c r="V145" s="4474"/>
      <c r="W145" s="4474"/>
      <c r="X145" s="4474"/>
      <c r="Y145" s="4474"/>
      <c r="Z145" s="4474"/>
      <c r="AA145" s="4474"/>
      <c r="AB145" s="4474"/>
      <c r="AC145" s="4474"/>
    </row>
    <row r="146" spans="1:29">
      <c r="A146" s="4474"/>
      <c r="B146" s="4474"/>
      <c r="C146" s="4474"/>
      <c r="D146" s="4474"/>
      <c r="E146" s="4474"/>
      <c r="F146" s="4474"/>
      <c r="G146" s="4474"/>
      <c r="H146" s="4474"/>
      <c r="I146" s="4474"/>
      <c r="J146" s="4474"/>
      <c r="K146" s="4475"/>
      <c r="L146" s="4476"/>
      <c r="M146" s="4474"/>
      <c r="N146" s="4474"/>
      <c r="O146" s="4474"/>
      <c r="P146" s="4474"/>
      <c r="Q146" s="4474"/>
      <c r="R146" s="4474"/>
      <c r="S146" s="4474"/>
      <c r="T146" s="4474"/>
      <c r="U146" s="4474"/>
      <c r="V146" s="4474"/>
      <c r="W146" s="4474"/>
      <c r="X146" s="4474"/>
      <c r="Y146" s="4474"/>
      <c r="Z146" s="4474"/>
      <c r="AA146" s="4474"/>
      <c r="AB146" s="4474"/>
      <c r="AC146" s="4474"/>
    </row>
    <row r="147" spans="1:29">
      <c r="A147" s="4474"/>
      <c r="B147" s="4474"/>
      <c r="C147" s="4474"/>
      <c r="D147" s="4474"/>
      <c r="E147" s="4474"/>
      <c r="F147" s="4474"/>
      <c r="G147" s="4474"/>
      <c r="H147" s="4474"/>
      <c r="I147" s="4474"/>
      <c r="J147" s="4474"/>
      <c r="K147" s="4475"/>
      <c r="L147" s="4476"/>
      <c r="M147" s="4474"/>
      <c r="N147" s="4474"/>
      <c r="O147" s="4474"/>
      <c r="P147" s="4474"/>
      <c r="Q147" s="4474"/>
      <c r="R147" s="4474"/>
      <c r="S147" s="4474"/>
      <c r="T147" s="4474"/>
      <c r="U147" s="4474"/>
      <c r="V147" s="4474"/>
      <c r="W147" s="4474"/>
      <c r="X147" s="4474"/>
      <c r="Y147" s="4474"/>
      <c r="Z147" s="4474"/>
      <c r="AA147" s="4474"/>
      <c r="AB147" s="4474"/>
      <c r="AC147" s="4474"/>
    </row>
    <row r="148" spans="1:29">
      <c r="A148" s="4474"/>
      <c r="B148" s="4474"/>
      <c r="C148" s="4474"/>
      <c r="D148" s="4474"/>
      <c r="E148" s="4474"/>
      <c r="F148" s="4474"/>
      <c r="G148" s="4474"/>
      <c r="H148" s="4474"/>
      <c r="I148" s="4474"/>
      <c r="J148" s="4474"/>
      <c r="K148" s="4475"/>
      <c r="L148" s="4476"/>
      <c r="M148" s="4474"/>
      <c r="N148" s="4474"/>
      <c r="O148" s="4474"/>
      <c r="P148" s="4474"/>
      <c r="Q148" s="4474"/>
      <c r="R148" s="4474"/>
      <c r="S148" s="4474"/>
      <c r="T148" s="4474"/>
      <c r="U148" s="4474"/>
      <c r="V148" s="4474"/>
      <c r="W148" s="4474"/>
      <c r="X148" s="4474"/>
      <c r="Y148" s="4474"/>
      <c r="Z148" s="4474"/>
      <c r="AA148" s="4474"/>
      <c r="AB148" s="4474"/>
      <c r="AC148" s="4474"/>
    </row>
    <row r="149" spans="1:29">
      <c r="A149" s="4474"/>
      <c r="B149" s="4474"/>
      <c r="C149" s="4474"/>
      <c r="D149" s="4474"/>
      <c r="E149" s="4474"/>
      <c r="F149" s="4474"/>
      <c r="G149" s="4474"/>
      <c r="H149" s="4474"/>
      <c r="I149" s="4474"/>
      <c r="J149" s="4474"/>
      <c r="K149" s="4475"/>
      <c r="L149" s="4476"/>
      <c r="M149" s="4474"/>
      <c r="N149" s="4474"/>
      <c r="O149" s="4474"/>
      <c r="P149" s="4474"/>
      <c r="Q149" s="4474"/>
      <c r="R149" s="4474"/>
      <c r="S149" s="4474"/>
      <c r="T149" s="4474"/>
      <c r="U149" s="4474"/>
      <c r="V149" s="4474"/>
      <c r="W149" s="4474"/>
      <c r="X149" s="4474"/>
      <c r="Y149" s="4474"/>
      <c r="Z149" s="4474"/>
      <c r="AA149" s="4474"/>
      <c r="AB149" s="4474"/>
      <c r="AC149" s="4474"/>
    </row>
    <row r="150" spans="1:29">
      <c r="A150" s="4474"/>
      <c r="B150" s="4474"/>
      <c r="C150" s="4474"/>
      <c r="D150" s="4474"/>
      <c r="E150" s="4474"/>
      <c r="F150" s="4474"/>
      <c r="G150" s="4474"/>
      <c r="H150" s="4474"/>
      <c r="I150" s="4474"/>
      <c r="J150" s="4474"/>
      <c r="K150" s="4475"/>
      <c r="L150" s="4476"/>
      <c r="M150" s="4474"/>
      <c r="N150" s="4474"/>
      <c r="O150" s="4474"/>
      <c r="P150" s="4474"/>
      <c r="Q150" s="4474"/>
      <c r="R150" s="4474"/>
      <c r="S150" s="4474"/>
      <c r="T150" s="4474"/>
      <c r="U150" s="4474"/>
      <c r="V150" s="4474"/>
      <c r="W150" s="4474"/>
      <c r="X150" s="4474"/>
      <c r="Y150" s="4474"/>
      <c r="Z150" s="4474"/>
      <c r="AA150" s="4474"/>
      <c r="AB150" s="4474"/>
      <c r="AC150" s="4474"/>
    </row>
    <row r="151" spans="1:29">
      <c r="A151" s="4474"/>
      <c r="B151" s="4474"/>
      <c r="C151" s="4474"/>
      <c r="D151" s="4474"/>
      <c r="E151" s="4474"/>
      <c r="F151" s="4474"/>
      <c r="G151" s="4474"/>
      <c r="H151" s="4474"/>
      <c r="I151" s="4474"/>
      <c r="J151" s="4474"/>
      <c r="K151" s="4475"/>
      <c r="L151" s="4476"/>
      <c r="M151" s="4474"/>
      <c r="N151" s="4474"/>
      <c r="O151" s="4474"/>
      <c r="P151" s="4474"/>
      <c r="Q151" s="4474"/>
      <c r="R151" s="4474"/>
      <c r="S151" s="4474"/>
      <c r="T151" s="4474"/>
      <c r="U151" s="4474"/>
      <c r="V151" s="4474"/>
      <c r="W151" s="4474"/>
      <c r="X151" s="4474"/>
      <c r="Y151" s="4474"/>
      <c r="Z151" s="4474"/>
      <c r="AA151" s="4474"/>
      <c r="AB151" s="4474"/>
      <c r="AC151" s="4474"/>
    </row>
    <row r="152" spans="1:29">
      <c r="A152" s="4474"/>
      <c r="B152" s="4474"/>
      <c r="C152" s="4474"/>
      <c r="D152" s="4474"/>
      <c r="E152" s="4474"/>
      <c r="F152" s="4474"/>
      <c r="G152" s="4474"/>
      <c r="H152" s="4474"/>
      <c r="I152" s="4474"/>
      <c r="J152" s="4474"/>
      <c r="K152" s="4475"/>
      <c r="L152" s="4476"/>
      <c r="M152" s="4474"/>
      <c r="N152" s="4474"/>
      <c r="O152" s="4474"/>
      <c r="P152" s="4474"/>
      <c r="Q152" s="4474"/>
      <c r="R152" s="4474"/>
      <c r="S152" s="4474"/>
      <c r="T152" s="4474"/>
      <c r="U152" s="4474"/>
      <c r="V152" s="4474"/>
      <c r="W152" s="4474"/>
      <c r="X152" s="4474"/>
      <c r="Y152" s="4474"/>
      <c r="Z152" s="4474"/>
      <c r="AA152" s="4474"/>
      <c r="AB152" s="4474"/>
      <c r="AC152" s="4474"/>
    </row>
    <row r="153" spans="1:29">
      <c r="A153" s="4474"/>
      <c r="B153" s="4474"/>
      <c r="C153" s="4474"/>
      <c r="D153" s="4474"/>
      <c r="E153" s="4474"/>
      <c r="F153" s="4474"/>
      <c r="G153" s="4474"/>
      <c r="H153" s="4474"/>
      <c r="I153" s="4474"/>
      <c r="J153" s="4474"/>
      <c r="K153" s="4475"/>
      <c r="L153" s="4476"/>
      <c r="M153" s="4474"/>
      <c r="N153" s="4474"/>
      <c r="O153" s="4474"/>
      <c r="P153" s="4474"/>
      <c r="Q153" s="4474"/>
      <c r="R153" s="4474"/>
      <c r="S153" s="4474"/>
      <c r="T153" s="4474"/>
      <c r="U153" s="4474"/>
      <c r="V153" s="4474"/>
      <c r="W153" s="4474"/>
      <c r="X153" s="4474"/>
      <c r="Y153" s="4474"/>
      <c r="Z153" s="4474"/>
      <c r="AA153" s="4474"/>
      <c r="AB153" s="4474"/>
      <c r="AC153" s="4474"/>
    </row>
    <row r="154" spans="1:29">
      <c r="A154" s="4474"/>
      <c r="B154" s="4474"/>
      <c r="C154" s="4474"/>
      <c r="D154" s="4474"/>
      <c r="E154" s="4474"/>
      <c r="F154" s="4474"/>
      <c r="G154" s="4474"/>
      <c r="H154" s="4474"/>
      <c r="I154" s="4474"/>
      <c r="J154" s="4474"/>
      <c r="K154" s="4475"/>
      <c r="L154" s="4476"/>
      <c r="M154" s="4474"/>
      <c r="N154" s="4474"/>
      <c r="O154" s="4474"/>
      <c r="P154" s="4474"/>
      <c r="Q154" s="4474"/>
      <c r="R154" s="4474"/>
      <c r="S154" s="4474"/>
      <c r="T154" s="4474"/>
      <c r="U154" s="4474"/>
      <c r="V154" s="4474"/>
      <c r="W154" s="4474"/>
      <c r="X154" s="4474"/>
      <c r="Y154" s="4474"/>
      <c r="Z154" s="4474"/>
      <c r="AA154" s="4474"/>
      <c r="AB154" s="4474"/>
      <c r="AC154" s="4474"/>
    </row>
    <row r="155" spans="1:29">
      <c r="A155" s="4474"/>
      <c r="B155" s="4474"/>
      <c r="C155" s="4474"/>
      <c r="D155" s="4474"/>
      <c r="E155" s="4474"/>
      <c r="F155" s="4474"/>
      <c r="G155" s="4474"/>
      <c r="H155" s="4474"/>
      <c r="I155" s="4474"/>
      <c r="J155" s="4474"/>
      <c r="K155" s="4475"/>
      <c r="L155" s="4476"/>
      <c r="M155" s="4474"/>
      <c r="N155" s="4474"/>
      <c r="O155" s="4474"/>
      <c r="P155" s="4474"/>
      <c r="Q155" s="4474"/>
      <c r="R155" s="4474"/>
      <c r="S155" s="4474"/>
      <c r="T155" s="4474"/>
      <c r="U155" s="4474"/>
      <c r="V155" s="4474"/>
      <c r="W155" s="4474"/>
      <c r="X155" s="4474"/>
      <c r="Y155" s="4474"/>
      <c r="Z155" s="4474"/>
      <c r="AA155" s="4474"/>
      <c r="AB155" s="4474"/>
      <c r="AC155" s="4474"/>
    </row>
    <row r="156" spans="1:29">
      <c r="A156" s="4474"/>
      <c r="B156" s="4474"/>
      <c r="C156" s="4474"/>
      <c r="D156" s="4474"/>
      <c r="E156" s="4474"/>
      <c r="F156" s="4474"/>
      <c r="G156" s="4474"/>
      <c r="H156" s="4474"/>
      <c r="I156" s="4474"/>
      <c r="J156" s="4474"/>
      <c r="K156" s="4475"/>
      <c r="L156" s="4476"/>
      <c r="M156" s="4474"/>
      <c r="N156" s="4474"/>
      <c r="O156" s="4474"/>
      <c r="P156" s="4474"/>
      <c r="Q156" s="4474"/>
      <c r="R156" s="4474"/>
      <c r="S156" s="4474"/>
      <c r="T156" s="4474"/>
      <c r="U156" s="4474"/>
      <c r="V156" s="4474"/>
      <c r="W156" s="4474"/>
      <c r="X156" s="4474"/>
      <c r="Y156" s="4474"/>
      <c r="Z156" s="4474"/>
      <c r="AA156" s="4474"/>
      <c r="AB156" s="4474"/>
      <c r="AC156" s="4474"/>
    </row>
    <row r="157" spans="1:29">
      <c r="A157" s="4474"/>
      <c r="B157" s="4474"/>
      <c r="C157" s="4474"/>
      <c r="D157" s="4474"/>
      <c r="E157" s="4474"/>
      <c r="F157" s="4474"/>
      <c r="G157" s="4474"/>
      <c r="H157" s="4474"/>
      <c r="I157" s="4474"/>
      <c r="J157" s="4474"/>
      <c r="K157" s="4475"/>
      <c r="L157" s="4476"/>
      <c r="M157" s="4474"/>
      <c r="N157" s="4474"/>
      <c r="O157" s="4474"/>
      <c r="P157" s="4474"/>
      <c r="Q157" s="4474"/>
      <c r="R157" s="4474"/>
      <c r="S157" s="4474"/>
      <c r="T157" s="4474"/>
      <c r="U157" s="4474"/>
      <c r="V157" s="4474"/>
      <c r="W157" s="4474"/>
      <c r="X157" s="4474"/>
      <c r="Y157" s="4474"/>
      <c r="Z157" s="4474"/>
      <c r="AA157" s="4474"/>
      <c r="AB157" s="4474"/>
      <c r="AC157" s="4474"/>
    </row>
    <row r="158" spans="1:29">
      <c r="A158" s="4474"/>
      <c r="B158" s="4474"/>
      <c r="C158" s="4474"/>
      <c r="D158" s="4474"/>
      <c r="E158" s="4474"/>
      <c r="F158" s="4474"/>
      <c r="G158" s="4474"/>
      <c r="H158" s="4474"/>
      <c r="I158" s="4474"/>
      <c r="J158" s="4474"/>
      <c r="K158" s="4475"/>
      <c r="L158" s="4476"/>
      <c r="M158" s="4474"/>
      <c r="N158" s="4474"/>
      <c r="O158" s="4474"/>
      <c r="P158" s="4474"/>
      <c r="Q158" s="4474"/>
      <c r="R158" s="4474"/>
      <c r="S158" s="4474"/>
      <c r="T158" s="4474"/>
      <c r="U158" s="4474"/>
      <c r="V158" s="4474"/>
      <c r="W158" s="4474"/>
      <c r="X158" s="4474"/>
      <c r="Y158" s="4474"/>
      <c r="Z158" s="4474"/>
      <c r="AA158" s="4474"/>
      <c r="AB158" s="4474"/>
      <c r="AC158" s="4474"/>
    </row>
    <row r="159" spans="1:29">
      <c r="A159" s="4474"/>
      <c r="B159" s="4474"/>
      <c r="C159" s="4474"/>
      <c r="D159" s="4474"/>
      <c r="E159" s="4474"/>
      <c r="F159" s="4474"/>
      <c r="G159" s="4474"/>
      <c r="H159" s="4474"/>
      <c r="I159" s="4474"/>
      <c r="J159" s="4474"/>
      <c r="K159" s="4475"/>
      <c r="L159" s="4476"/>
      <c r="M159" s="4474"/>
      <c r="N159" s="4474"/>
      <c r="O159" s="4474"/>
      <c r="P159" s="4474"/>
      <c r="Q159" s="4474"/>
      <c r="R159" s="4474"/>
      <c r="S159" s="4474"/>
      <c r="T159" s="4474"/>
      <c r="U159" s="4474"/>
      <c r="V159" s="4474"/>
      <c r="W159" s="4474"/>
      <c r="X159" s="4474"/>
      <c r="Y159" s="4474"/>
      <c r="Z159" s="4474"/>
      <c r="AA159" s="4474"/>
      <c r="AB159" s="4474"/>
      <c r="AC159" s="4474"/>
    </row>
    <row r="160" spans="1:29">
      <c r="A160" s="4474"/>
      <c r="B160" s="4474"/>
      <c r="C160" s="4474"/>
      <c r="D160" s="4474"/>
      <c r="E160" s="4474"/>
      <c r="F160" s="4474"/>
      <c r="G160" s="4474"/>
      <c r="H160" s="4474"/>
      <c r="I160" s="4474"/>
      <c r="J160" s="4474"/>
      <c r="K160" s="4475"/>
      <c r="L160" s="4476"/>
      <c r="M160" s="4474"/>
      <c r="N160" s="4474"/>
      <c r="O160" s="4474"/>
      <c r="P160" s="4474"/>
      <c r="Q160" s="4474"/>
      <c r="R160" s="4474"/>
      <c r="S160" s="4474"/>
      <c r="T160" s="4474"/>
      <c r="U160" s="4474"/>
      <c r="V160" s="4474"/>
      <c r="W160" s="4474"/>
      <c r="X160" s="4474"/>
      <c r="Y160" s="4474"/>
      <c r="Z160" s="4474"/>
      <c r="AA160" s="4474"/>
      <c r="AB160" s="4474"/>
      <c r="AC160" s="4474"/>
    </row>
    <row r="161" spans="1:29">
      <c r="A161" s="4474"/>
      <c r="B161" s="4474"/>
      <c r="C161" s="4474"/>
      <c r="D161" s="4474"/>
      <c r="E161" s="4474"/>
      <c r="F161" s="4474"/>
      <c r="G161" s="4474"/>
      <c r="H161" s="4474"/>
      <c r="I161" s="4474"/>
      <c r="J161" s="4474"/>
      <c r="K161" s="4475"/>
      <c r="L161" s="4476"/>
      <c r="M161" s="4474"/>
      <c r="N161" s="4474"/>
      <c r="O161" s="4474"/>
      <c r="P161" s="4474"/>
      <c r="Q161" s="4474"/>
      <c r="R161" s="4474"/>
      <c r="S161" s="4474"/>
      <c r="T161" s="4474"/>
      <c r="U161" s="4474"/>
      <c r="V161" s="4474"/>
      <c r="W161" s="4474"/>
      <c r="X161" s="4474"/>
      <c r="Y161" s="4474"/>
      <c r="Z161" s="4474"/>
      <c r="AA161" s="4474"/>
      <c r="AB161" s="4474"/>
      <c r="AC161" s="4474"/>
    </row>
    <row r="162" spans="1:29">
      <c r="A162" s="4474"/>
      <c r="B162" s="4474"/>
      <c r="C162" s="4474"/>
      <c r="D162" s="4474"/>
      <c r="E162" s="4474"/>
      <c r="F162" s="4474"/>
      <c r="G162" s="4474"/>
      <c r="H162" s="4474"/>
      <c r="I162" s="4474"/>
      <c r="J162" s="4474"/>
      <c r="K162" s="4475"/>
      <c r="L162" s="4476"/>
      <c r="M162" s="4474"/>
      <c r="N162" s="4474"/>
      <c r="O162" s="4474"/>
      <c r="P162" s="4474"/>
      <c r="Q162" s="4474"/>
      <c r="R162" s="4474"/>
      <c r="S162" s="4474"/>
      <c r="T162" s="4474"/>
      <c r="U162" s="4474"/>
      <c r="V162" s="4474"/>
      <c r="W162" s="4474"/>
      <c r="X162" s="4474"/>
      <c r="Y162" s="4474"/>
      <c r="Z162" s="4474"/>
      <c r="AA162" s="4474"/>
      <c r="AB162" s="4474"/>
      <c r="AC162" s="4474"/>
    </row>
    <row r="163" spans="1:29">
      <c r="A163" s="4474"/>
      <c r="B163" s="4474"/>
      <c r="C163" s="4474"/>
      <c r="D163" s="4474"/>
      <c r="E163" s="4474"/>
      <c r="F163" s="4474"/>
      <c r="G163" s="4474"/>
      <c r="H163" s="4474"/>
      <c r="I163" s="4474"/>
      <c r="J163" s="4474"/>
      <c r="K163" s="4475"/>
      <c r="L163" s="4476"/>
      <c r="M163" s="4474"/>
      <c r="N163" s="4474"/>
      <c r="O163" s="4474"/>
      <c r="P163" s="4474"/>
      <c r="Q163" s="4474"/>
      <c r="R163" s="4474"/>
      <c r="S163" s="4474"/>
      <c r="T163" s="4474"/>
      <c r="U163" s="4474"/>
      <c r="V163" s="4474"/>
      <c r="W163" s="4474"/>
      <c r="X163" s="4474"/>
      <c r="Y163" s="4474"/>
      <c r="Z163" s="4474"/>
      <c r="AA163" s="4474"/>
      <c r="AB163" s="4474"/>
      <c r="AC163" s="4474"/>
    </row>
    <row r="164" spans="1:29">
      <c r="A164" s="4474"/>
      <c r="B164" s="4474"/>
      <c r="C164" s="4474"/>
      <c r="D164" s="4474"/>
      <c r="E164" s="4474"/>
      <c r="F164" s="4474"/>
      <c r="G164" s="4474"/>
      <c r="H164" s="4474"/>
      <c r="I164" s="4474"/>
      <c r="J164" s="4474"/>
      <c r="K164" s="4475"/>
      <c r="L164" s="4476"/>
      <c r="M164" s="4474"/>
      <c r="N164" s="4474"/>
      <c r="O164" s="4474"/>
      <c r="P164" s="4474"/>
      <c r="Q164" s="4474"/>
      <c r="R164" s="4474"/>
      <c r="S164" s="4474"/>
      <c r="T164" s="4474"/>
      <c r="U164" s="4474"/>
      <c r="V164" s="4474"/>
      <c r="W164" s="4474"/>
      <c r="X164" s="4474"/>
      <c r="Y164" s="4474"/>
      <c r="Z164" s="4474"/>
      <c r="AA164" s="4474"/>
      <c r="AB164" s="4474"/>
      <c r="AC164" s="4474"/>
    </row>
    <row r="165" spans="1:29">
      <c r="A165" s="4474"/>
      <c r="B165" s="4474"/>
      <c r="C165" s="4474"/>
      <c r="D165" s="4474"/>
      <c r="E165" s="4474"/>
      <c r="F165" s="4474"/>
      <c r="G165" s="4474"/>
      <c r="H165" s="4474"/>
      <c r="I165" s="4474"/>
      <c r="J165" s="4474"/>
      <c r="K165" s="4475"/>
      <c r="L165" s="4476"/>
      <c r="M165" s="4474"/>
      <c r="N165" s="4474"/>
      <c r="O165" s="4474"/>
      <c r="P165" s="4474"/>
      <c r="Q165" s="4474"/>
      <c r="R165" s="4474"/>
      <c r="S165" s="4474"/>
      <c r="T165" s="4474"/>
      <c r="U165" s="4474"/>
      <c r="V165" s="4474"/>
      <c r="W165" s="4474"/>
      <c r="X165" s="4474"/>
      <c r="Y165" s="4474"/>
      <c r="Z165" s="4474"/>
      <c r="AA165" s="4474"/>
      <c r="AB165" s="4474"/>
      <c r="AC165" s="4474"/>
    </row>
    <row r="166" spans="1:29">
      <c r="A166" s="4474"/>
      <c r="B166" s="4474"/>
      <c r="C166" s="4474"/>
      <c r="D166" s="4474"/>
      <c r="E166" s="4474"/>
      <c r="F166" s="4474"/>
      <c r="G166" s="4474"/>
      <c r="H166" s="4474"/>
      <c r="I166" s="4474"/>
      <c r="J166" s="4474"/>
      <c r="K166" s="4475"/>
      <c r="L166" s="4476"/>
      <c r="M166" s="4474"/>
      <c r="N166" s="4474"/>
      <c r="O166" s="4474"/>
      <c r="P166" s="4474"/>
      <c r="Q166" s="4474"/>
      <c r="R166" s="4474"/>
      <c r="S166" s="4474"/>
      <c r="T166" s="4474"/>
      <c r="U166" s="4474"/>
      <c r="V166" s="4474"/>
      <c r="W166" s="4474"/>
      <c r="X166" s="4474"/>
      <c r="Y166" s="4474"/>
      <c r="Z166" s="4474"/>
      <c r="AA166" s="4474"/>
      <c r="AB166" s="4474"/>
      <c r="AC166" s="4474"/>
    </row>
    <row r="167" spans="1:29">
      <c r="A167" s="4474"/>
      <c r="B167" s="4474"/>
      <c r="C167" s="4474"/>
      <c r="D167" s="4474"/>
      <c r="E167" s="4474"/>
      <c r="F167" s="4474"/>
      <c r="G167" s="4474"/>
      <c r="H167" s="4474"/>
      <c r="I167" s="4474"/>
      <c r="J167" s="4474"/>
      <c r="K167" s="4475"/>
      <c r="L167" s="4476"/>
      <c r="M167" s="4474"/>
      <c r="N167" s="4474"/>
      <c r="O167" s="4474"/>
      <c r="P167" s="4474"/>
      <c r="Q167" s="4474"/>
      <c r="R167" s="4474"/>
      <c r="S167" s="4474"/>
      <c r="T167" s="4474"/>
      <c r="U167" s="4474"/>
      <c r="V167" s="4474"/>
      <c r="W167" s="4474"/>
      <c r="X167" s="4474"/>
      <c r="Y167" s="4474"/>
      <c r="Z167" s="4474"/>
      <c r="AA167" s="4474"/>
      <c r="AB167" s="4474"/>
      <c r="AC167" s="4474"/>
    </row>
    <row r="168" spans="1:29">
      <c r="A168" s="4474"/>
      <c r="B168" s="4474"/>
      <c r="C168" s="4474"/>
      <c r="D168" s="4474"/>
      <c r="E168" s="4474"/>
      <c r="F168" s="4474"/>
      <c r="G168" s="4474"/>
      <c r="H168" s="4474"/>
      <c r="I168" s="4474"/>
      <c r="J168" s="4474"/>
      <c r="K168" s="4475"/>
      <c r="L168" s="4476"/>
      <c r="M168" s="4474"/>
      <c r="N168" s="4474"/>
      <c r="O168" s="4474"/>
      <c r="P168" s="4474"/>
      <c r="Q168" s="4474"/>
      <c r="R168" s="4474"/>
      <c r="S168" s="4474"/>
      <c r="T168" s="4474"/>
      <c r="U168" s="4474"/>
      <c r="V168" s="4474"/>
      <c r="W168" s="4474"/>
      <c r="X168" s="4474"/>
      <c r="Y168" s="4474"/>
      <c r="Z168" s="4474"/>
      <c r="AA168" s="4474"/>
      <c r="AB168" s="4474"/>
      <c r="AC168" s="4474"/>
    </row>
    <row r="169" spans="1:29">
      <c r="A169" s="4474"/>
      <c r="B169" s="4474"/>
      <c r="C169" s="4474"/>
      <c r="D169" s="4474"/>
      <c r="E169" s="4474"/>
      <c r="F169" s="4474"/>
      <c r="G169" s="4474"/>
      <c r="H169" s="4474"/>
      <c r="I169" s="4474"/>
      <c r="J169" s="4474"/>
      <c r="K169" s="4475"/>
      <c r="L169" s="4476"/>
      <c r="M169" s="4474"/>
      <c r="N169" s="4474"/>
      <c r="O169" s="4474"/>
      <c r="P169" s="4474"/>
      <c r="Q169" s="4474"/>
      <c r="R169" s="4474"/>
      <c r="S169" s="4474"/>
      <c r="T169" s="4474"/>
      <c r="U169" s="4474"/>
      <c r="V169" s="4474"/>
      <c r="W169" s="4474"/>
      <c r="X169" s="4474"/>
      <c r="Y169" s="4474"/>
      <c r="Z169" s="4474"/>
      <c r="AA169" s="4474"/>
      <c r="AB169" s="4474"/>
      <c r="AC169" s="4474"/>
    </row>
    <row r="170" spans="1:29">
      <c r="A170" s="4474"/>
      <c r="B170" s="4474"/>
      <c r="C170" s="4474"/>
      <c r="D170" s="4474"/>
      <c r="E170" s="4474"/>
      <c r="F170" s="4474"/>
      <c r="G170" s="4474"/>
      <c r="H170" s="4474"/>
      <c r="I170" s="4474"/>
      <c r="J170" s="4474"/>
      <c r="K170" s="4475"/>
      <c r="L170" s="4476"/>
      <c r="M170" s="4474"/>
      <c r="N170" s="4474"/>
      <c r="O170" s="4474"/>
      <c r="P170" s="4474"/>
      <c r="Q170" s="4474"/>
      <c r="R170" s="4474"/>
      <c r="S170" s="4474"/>
      <c r="T170" s="4474"/>
      <c r="U170" s="4474"/>
      <c r="V170" s="4474"/>
      <c r="W170" s="4474"/>
      <c r="X170" s="4474"/>
      <c r="Y170" s="4474"/>
      <c r="Z170" s="4474"/>
      <c r="AA170" s="4474"/>
      <c r="AB170" s="4474"/>
      <c r="AC170" s="4474"/>
    </row>
    <row r="171" spans="1:29">
      <c r="A171" s="4474"/>
      <c r="B171" s="4474"/>
      <c r="C171" s="4474"/>
      <c r="D171" s="4474"/>
      <c r="E171" s="4474"/>
      <c r="F171" s="4474"/>
      <c r="G171" s="4474"/>
      <c r="H171" s="4474"/>
      <c r="I171" s="4474"/>
      <c r="J171" s="4474"/>
      <c r="K171" s="4475"/>
      <c r="L171" s="4476"/>
      <c r="M171" s="4474"/>
      <c r="N171" s="4474"/>
      <c r="O171" s="4474"/>
      <c r="P171" s="4474"/>
      <c r="Q171" s="4474"/>
      <c r="R171" s="4474"/>
      <c r="S171" s="4474"/>
      <c r="T171" s="4474"/>
      <c r="U171" s="4474"/>
      <c r="V171" s="4474"/>
      <c r="W171" s="4474"/>
      <c r="X171" s="4474"/>
      <c r="Y171" s="4474"/>
      <c r="Z171" s="4474"/>
      <c r="AA171" s="4474"/>
      <c r="AB171" s="4474"/>
      <c r="AC171" s="4474"/>
    </row>
    <row r="172" spans="1:29">
      <c r="A172" s="4474"/>
      <c r="B172" s="4474"/>
      <c r="C172" s="4474"/>
      <c r="D172" s="4474"/>
      <c r="E172" s="4474"/>
      <c r="F172" s="4474"/>
      <c r="G172" s="4474"/>
      <c r="H172" s="4474"/>
      <c r="I172" s="4474"/>
      <c r="J172" s="4474"/>
      <c r="K172" s="4475"/>
      <c r="L172" s="4476"/>
      <c r="M172" s="4474"/>
      <c r="N172" s="4474"/>
      <c r="O172" s="4474"/>
      <c r="P172" s="4474"/>
      <c r="Q172" s="4474"/>
      <c r="R172" s="4474"/>
      <c r="S172" s="4474"/>
      <c r="T172" s="4474"/>
      <c r="U172" s="4474"/>
      <c r="V172" s="4474"/>
      <c r="W172" s="4474"/>
      <c r="X172" s="4474"/>
      <c r="Y172" s="4474"/>
      <c r="Z172" s="4474"/>
      <c r="AA172" s="4474"/>
      <c r="AB172" s="4474"/>
      <c r="AC172" s="4474"/>
    </row>
    <row r="173" spans="1:29">
      <c r="A173" s="4474"/>
      <c r="B173" s="4474"/>
      <c r="C173" s="4474"/>
      <c r="D173" s="4474"/>
      <c r="E173" s="4474"/>
      <c r="F173" s="4474"/>
      <c r="G173" s="4474"/>
      <c r="H173" s="4474"/>
      <c r="I173" s="4474"/>
      <c r="J173" s="4474"/>
      <c r="K173" s="4475"/>
      <c r="L173" s="4476"/>
      <c r="M173" s="4474"/>
      <c r="N173" s="4474"/>
      <c r="O173" s="4474"/>
      <c r="P173" s="4474"/>
      <c r="Q173" s="4474"/>
      <c r="R173" s="4474"/>
      <c r="S173" s="4474"/>
      <c r="T173" s="4474"/>
      <c r="U173" s="4474"/>
      <c r="V173" s="4474"/>
      <c r="W173" s="4474"/>
      <c r="X173" s="4474"/>
      <c r="Y173" s="4474"/>
      <c r="Z173" s="4474"/>
      <c r="AA173" s="4474"/>
      <c r="AB173" s="4474"/>
      <c r="AC173" s="4474"/>
    </row>
    <row r="174" spans="1:29">
      <c r="A174" s="4474"/>
      <c r="B174" s="4474"/>
      <c r="C174" s="4474"/>
      <c r="D174" s="4474"/>
      <c r="E174" s="4474"/>
      <c r="F174" s="4474"/>
      <c r="G174" s="4474"/>
      <c r="H174" s="4474"/>
      <c r="I174" s="4474"/>
      <c r="J174" s="4474"/>
      <c r="K174" s="4475"/>
      <c r="L174" s="4476"/>
      <c r="M174" s="4474"/>
      <c r="N174" s="4474"/>
      <c r="O174" s="4474"/>
      <c r="P174" s="4474"/>
      <c r="Q174" s="4474"/>
      <c r="R174" s="4474"/>
      <c r="S174" s="4474"/>
      <c r="T174" s="4474"/>
      <c r="U174" s="4474"/>
      <c r="V174" s="4474"/>
      <c r="W174" s="4474"/>
      <c r="X174" s="4474"/>
      <c r="Y174" s="4474"/>
      <c r="Z174" s="4474"/>
      <c r="AA174" s="4474"/>
      <c r="AB174" s="4474"/>
      <c r="AC174" s="4474"/>
    </row>
    <row r="175" spans="1:29">
      <c r="A175" s="4474"/>
      <c r="B175" s="4474"/>
      <c r="C175" s="4474"/>
      <c r="D175" s="4474"/>
      <c r="E175" s="4474"/>
      <c r="F175" s="4474"/>
      <c r="G175" s="4474"/>
      <c r="H175" s="4474"/>
      <c r="I175" s="4474"/>
      <c r="J175" s="4474"/>
      <c r="K175" s="4475"/>
      <c r="L175" s="4476"/>
      <c r="M175" s="4474"/>
      <c r="N175" s="4474"/>
      <c r="O175" s="4474"/>
      <c r="P175" s="4474"/>
      <c r="Q175" s="4474"/>
      <c r="R175" s="4474"/>
      <c r="S175" s="4474"/>
      <c r="T175" s="4474"/>
      <c r="U175" s="4474"/>
      <c r="V175" s="4474"/>
      <c r="W175" s="4474"/>
      <c r="X175" s="4474"/>
      <c r="Y175" s="4474"/>
      <c r="Z175" s="4474"/>
      <c r="AA175" s="4474"/>
      <c r="AB175" s="4474"/>
      <c r="AC175" s="4474"/>
    </row>
    <row r="176" spans="1:29">
      <c r="A176" s="4474"/>
      <c r="B176" s="4474"/>
      <c r="C176" s="4474"/>
      <c r="D176" s="4474"/>
      <c r="E176" s="4474"/>
      <c r="F176" s="4474"/>
      <c r="G176" s="4474"/>
      <c r="H176" s="4474"/>
      <c r="I176" s="4474"/>
      <c r="J176" s="4474"/>
      <c r="K176" s="4475"/>
      <c r="L176" s="4476"/>
      <c r="M176" s="4474"/>
      <c r="N176" s="4474"/>
      <c r="O176" s="4474"/>
      <c r="P176" s="4474"/>
      <c r="Q176" s="4474"/>
      <c r="R176" s="4474"/>
      <c r="S176" s="4474"/>
      <c r="T176" s="4474"/>
      <c r="U176" s="4474"/>
      <c r="V176" s="4474"/>
      <c r="W176" s="4474"/>
      <c r="X176" s="4474"/>
      <c r="Y176" s="4474"/>
      <c r="Z176" s="4474"/>
      <c r="AA176" s="4474"/>
      <c r="AB176" s="4474"/>
      <c r="AC176" s="4474"/>
    </row>
    <row r="177" spans="1:29">
      <c r="A177" s="4474"/>
      <c r="B177" s="4474"/>
      <c r="C177" s="4474"/>
      <c r="D177" s="4474"/>
      <c r="E177" s="4474"/>
      <c r="F177" s="4474"/>
      <c r="G177" s="4474"/>
      <c r="H177" s="4474"/>
      <c r="I177" s="4474"/>
      <c r="J177" s="4474"/>
      <c r="K177" s="4475"/>
      <c r="L177" s="4476"/>
      <c r="M177" s="4474"/>
      <c r="N177" s="4474"/>
      <c r="O177" s="4474"/>
      <c r="P177" s="4474"/>
      <c r="Q177" s="4474"/>
      <c r="R177" s="4474"/>
      <c r="S177" s="4474"/>
      <c r="T177" s="4474"/>
      <c r="U177" s="4474"/>
      <c r="V177" s="4474"/>
      <c r="W177" s="4474"/>
      <c r="X177" s="4474"/>
      <c r="Y177" s="4474"/>
      <c r="Z177" s="4474"/>
      <c r="AA177" s="4474"/>
      <c r="AB177" s="4474"/>
      <c r="AC177" s="4474"/>
    </row>
    <row r="178" spans="1:29">
      <c r="A178" s="4474"/>
      <c r="B178" s="4474"/>
      <c r="C178" s="4474"/>
      <c r="D178" s="4474"/>
      <c r="E178" s="4474"/>
      <c r="F178" s="4474"/>
      <c r="G178" s="4474"/>
      <c r="H178" s="4474"/>
      <c r="I178" s="4474"/>
      <c r="J178" s="4474"/>
      <c r="K178" s="4475"/>
      <c r="L178" s="4476"/>
      <c r="M178" s="4474"/>
      <c r="N178" s="4474"/>
      <c r="O178" s="4474"/>
      <c r="P178" s="4474"/>
      <c r="Q178" s="4474"/>
      <c r="R178" s="4474"/>
      <c r="S178" s="4474"/>
      <c r="T178" s="4474"/>
      <c r="U178" s="4474"/>
      <c r="V178" s="4474"/>
      <c r="W178" s="4474"/>
      <c r="X178" s="4474"/>
      <c r="Y178" s="4474"/>
      <c r="Z178" s="4474"/>
      <c r="AA178" s="4474"/>
      <c r="AB178" s="4474"/>
      <c r="AC178" s="4474"/>
    </row>
    <row r="179" spans="1:29">
      <c r="A179" s="4474"/>
      <c r="B179" s="4474"/>
      <c r="C179" s="4474"/>
      <c r="D179" s="4474"/>
      <c r="E179" s="4474"/>
      <c r="F179" s="4474"/>
      <c r="G179" s="4474"/>
      <c r="H179" s="4474"/>
      <c r="I179" s="4474"/>
      <c r="J179" s="4474"/>
      <c r="K179" s="4475"/>
      <c r="L179" s="4476"/>
      <c r="M179" s="4474"/>
      <c r="N179" s="4474"/>
      <c r="O179" s="4474"/>
      <c r="P179" s="4474"/>
      <c r="Q179" s="4474"/>
      <c r="R179" s="4474"/>
      <c r="S179" s="4474"/>
      <c r="T179" s="4474"/>
      <c r="U179" s="4474"/>
      <c r="V179" s="4474"/>
      <c r="W179" s="4474"/>
      <c r="X179" s="4474"/>
      <c r="Y179" s="4474"/>
      <c r="Z179" s="4474"/>
      <c r="AA179" s="4474"/>
      <c r="AB179" s="4474"/>
      <c r="AC179" s="4474"/>
    </row>
    <row r="180" spans="1:29">
      <c r="A180" s="4474"/>
      <c r="B180" s="4474"/>
      <c r="C180" s="4474"/>
      <c r="D180" s="4474"/>
      <c r="E180" s="4474"/>
      <c r="F180" s="4474"/>
      <c r="G180" s="4474"/>
      <c r="H180" s="4474"/>
      <c r="I180" s="4474"/>
      <c r="J180" s="4474"/>
      <c r="K180" s="4475"/>
      <c r="L180" s="4476"/>
      <c r="M180" s="4474"/>
      <c r="N180" s="4474"/>
      <c r="O180" s="4474"/>
      <c r="P180" s="4474"/>
      <c r="Q180" s="4474"/>
      <c r="R180" s="4474"/>
      <c r="S180" s="4474"/>
      <c r="T180" s="4474"/>
      <c r="U180" s="4474"/>
      <c r="V180" s="4474"/>
      <c r="W180" s="4474"/>
      <c r="X180" s="4474"/>
      <c r="Y180" s="4474"/>
      <c r="Z180" s="4474"/>
      <c r="AA180" s="4474"/>
      <c r="AB180" s="4474"/>
      <c r="AC180" s="4474"/>
    </row>
    <row r="181" spans="1:29">
      <c r="A181" s="4474"/>
      <c r="B181" s="4474"/>
      <c r="C181" s="4474"/>
      <c r="D181" s="4474"/>
      <c r="E181" s="4474"/>
      <c r="F181" s="4474"/>
      <c r="G181" s="4474"/>
      <c r="H181" s="4474"/>
      <c r="I181" s="4474"/>
      <c r="J181" s="4474"/>
      <c r="K181" s="4475"/>
      <c r="L181" s="4476"/>
      <c r="M181" s="4474"/>
      <c r="N181" s="4474"/>
      <c r="O181" s="4474"/>
      <c r="P181" s="4474"/>
      <c r="Q181" s="4474"/>
      <c r="R181" s="4474"/>
      <c r="S181" s="4474"/>
      <c r="T181" s="4474"/>
      <c r="U181" s="4474"/>
      <c r="V181" s="4474"/>
      <c r="W181" s="4474"/>
      <c r="X181" s="4474"/>
      <c r="Y181" s="4474"/>
      <c r="Z181" s="4474"/>
      <c r="AA181" s="4474"/>
      <c r="AB181" s="4474"/>
      <c r="AC181" s="4474"/>
    </row>
    <row r="182" spans="1:29">
      <c r="A182" s="4474"/>
      <c r="B182" s="4474"/>
      <c r="C182" s="4474"/>
      <c r="D182" s="4474"/>
      <c r="E182" s="4474"/>
      <c r="F182" s="4474"/>
      <c r="G182" s="4474"/>
      <c r="H182" s="4474"/>
      <c r="I182" s="4474"/>
      <c r="J182" s="4474"/>
      <c r="K182" s="4475"/>
      <c r="L182" s="4476"/>
      <c r="M182" s="4474"/>
      <c r="N182" s="4474"/>
      <c r="O182" s="4474"/>
      <c r="P182" s="4474"/>
      <c r="Q182" s="4474"/>
      <c r="R182" s="4474"/>
      <c r="S182" s="4474"/>
      <c r="T182" s="4474"/>
      <c r="U182" s="4474"/>
      <c r="V182" s="4474"/>
      <c r="W182" s="4474"/>
      <c r="X182" s="4474"/>
      <c r="Y182" s="4474"/>
      <c r="Z182" s="4474"/>
      <c r="AA182" s="4474"/>
      <c r="AB182" s="4474"/>
      <c r="AC182" s="4474"/>
    </row>
    <row r="183" spans="1:29">
      <c r="A183" s="4474"/>
      <c r="B183" s="4474"/>
      <c r="C183" s="4474"/>
      <c r="D183" s="4474"/>
      <c r="E183" s="4474"/>
      <c r="F183" s="4474"/>
      <c r="G183" s="4474"/>
      <c r="H183" s="4474"/>
      <c r="I183" s="4474"/>
      <c r="J183" s="4474"/>
      <c r="K183" s="4475"/>
      <c r="L183" s="4476"/>
      <c r="M183" s="4474"/>
      <c r="N183" s="4474"/>
      <c r="O183" s="4474"/>
      <c r="P183" s="4474"/>
      <c r="Q183" s="4474"/>
      <c r="R183" s="4474"/>
      <c r="S183" s="4474"/>
      <c r="T183" s="4474"/>
      <c r="U183" s="4474"/>
      <c r="V183" s="4474"/>
      <c r="W183" s="4474"/>
      <c r="X183" s="4474"/>
      <c r="Y183" s="4474"/>
      <c r="Z183" s="4474"/>
      <c r="AA183" s="4474"/>
      <c r="AB183" s="4474"/>
      <c r="AC183" s="4474"/>
    </row>
    <row r="184" spans="1:29">
      <c r="A184" s="4474"/>
      <c r="B184" s="4474"/>
      <c r="C184" s="4474"/>
      <c r="D184" s="4474"/>
      <c r="E184" s="4474"/>
      <c r="F184" s="4474"/>
      <c r="G184" s="4474"/>
      <c r="H184" s="4474"/>
      <c r="I184" s="4474"/>
      <c r="J184" s="4474"/>
      <c r="K184" s="4475"/>
      <c r="L184" s="4476"/>
      <c r="M184" s="4474"/>
      <c r="N184" s="4474"/>
      <c r="O184" s="4474"/>
      <c r="P184" s="4474"/>
      <c r="Q184" s="4474"/>
      <c r="R184" s="4474"/>
      <c r="S184" s="4474"/>
      <c r="T184" s="4474"/>
      <c r="U184" s="4474"/>
      <c r="V184" s="4474"/>
      <c r="W184" s="4474"/>
      <c r="X184" s="4474"/>
      <c r="Y184" s="4474"/>
      <c r="Z184" s="4474"/>
      <c r="AA184" s="4474"/>
      <c r="AB184" s="4474"/>
      <c r="AC184" s="4474"/>
    </row>
    <row r="185" spans="1:29">
      <c r="A185" s="4474"/>
      <c r="B185" s="4474"/>
      <c r="C185" s="4474"/>
      <c r="D185" s="4474"/>
      <c r="E185" s="4474"/>
      <c r="F185" s="4474"/>
      <c r="G185" s="4474"/>
      <c r="H185" s="4474"/>
      <c r="I185" s="4474"/>
      <c r="J185" s="4474"/>
      <c r="K185" s="4475"/>
      <c r="L185" s="4476"/>
      <c r="M185" s="4474"/>
      <c r="N185" s="4474"/>
      <c r="O185" s="4474"/>
      <c r="P185" s="4474"/>
      <c r="Q185" s="4474"/>
      <c r="R185" s="4474"/>
      <c r="S185" s="4474"/>
      <c r="T185" s="4474"/>
      <c r="U185" s="4474"/>
      <c r="V185" s="4474"/>
      <c r="W185" s="4474"/>
      <c r="X185" s="4474"/>
      <c r="Y185" s="4474"/>
      <c r="Z185" s="4474"/>
      <c r="AA185" s="4474"/>
      <c r="AB185" s="4474"/>
      <c r="AC185" s="4474"/>
    </row>
    <row r="186" spans="1:29">
      <c r="A186" s="4474"/>
      <c r="B186" s="4474"/>
      <c r="C186" s="4474"/>
      <c r="D186" s="4474"/>
      <c r="E186" s="4474"/>
      <c r="F186" s="4474"/>
      <c r="G186" s="4474"/>
      <c r="H186" s="4474"/>
      <c r="I186" s="4474"/>
      <c r="J186" s="4474"/>
      <c r="K186" s="4475"/>
      <c r="L186" s="4476"/>
      <c r="M186" s="4474"/>
      <c r="N186" s="4474"/>
      <c r="O186" s="4474"/>
      <c r="P186" s="4474"/>
      <c r="Q186" s="4474"/>
      <c r="R186" s="4474"/>
      <c r="S186" s="4474"/>
      <c r="T186" s="4474"/>
      <c r="U186" s="4474"/>
      <c r="V186" s="4474"/>
      <c r="W186" s="4474"/>
      <c r="X186" s="4474"/>
      <c r="Y186" s="4474"/>
      <c r="Z186" s="4474"/>
      <c r="AA186" s="4474"/>
      <c r="AB186" s="4474"/>
      <c r="AC186" s="4474"/>
    </row>
    <row r="187" spans="1:29">
      <c r="A187" s="4474"/>
      <c r="B187" s="4474"/>
      <c r="C187" s="4474"/>
      <c r="D187" s="4474"/>
      <c r="E187" s="4474"/>
      <c r="F187" s="4474"/>
      <c r="G187" s="4474"/>
      <c r="H187" s="4474"/>
      <c r="I187" s="4474"/>
      <c r="J187" s="4474"/>
      <c r="K187" s="4475"/>
      <c r="L187" s="4476"/>
      <c r="M187" s="4474"/>
      <c r="N187" s="4474"/>
      <c r="O187" s="4474"/>
      <c r="P187" s="4474"/>
      <c r="Q187" s="4474"/>
      <c r="R187" s="4474"/>
      <c r="S187" s="4474"/>
      <c r="T187" s="4474"/>
      <c r="U187" s="4474"/>
      <c r="V187" s="4474"/>
      <c r="W187" s="4474"/>
      <c r="X187" s="4474"/>
      <c r="Y187" s="4474"/>
      <c r="Z187" s="4474"/>
      <c r="AA187" s="4474"/>
      <c r="AB187" s="4474"/>
      <c r="AC187" s="4474"/>
    </row>
    <row r="188" spans="1:29">
      <c r="A188" s="4474"/>
      <c r="B188" s="4474"/>
      <c r="C188" s="4474"/>
      <c r="D188" s="4474"/>
      <c r="E188" s="4474"/>
      <c r="F188" s="4474"/>
      <c r="G188" s="4474"/>
      <c r="H188" s="4474"/>
      <c r="I188" s="4474"/>
      <c r="J188" s="4474"/>
      <c r="K188" s="4475"/>
      <c r="L188" s="4476"/>
      <c r="M188" s="4474"/>
      <c r="N188" s="4474"/>
      <c r="O188" s="4474"/>
      <c r="P188" s="4474"/>
      <c r="Q188" s="4474"/>
      <c r="R188" s="4474"/>
      <c r="S188" s="4474"/>
      <c r="T188" s="4474"/>
      <c r="U188" s="4474"/>
      <c r="V188" s="4474"/>
      <c r="W188" s="4474"/>
      <c r="X188" s="4474"/>
      <c r="Y188" s="4474"/>
      <c r="Z188" s="4474"/>
      <c r="AA188" s="4474"/>
      <c r="AB188" s="4474"/>
      <c r="AC188" s="4474"/>
    </row>
    <row r="189" spans="1:29">
      <c r="A189" s="4474"/>
      <c r="B189" s="4474"/>
      <c r="C189" s="4474"/>
      <c r="D189" s="4474"/>
      <c r="E189" s="4474"/>
      <c r="F189" s="4474"/>
      <c r="G189" s="4474"/>
      <c r="H189" s="4474"/>
      <c r="I189" s="4474"/>
      <c r="J189" s="4474"/>
      <c r="K189" s="4475"/>
      <c r="L189" s="4476"/>
      <c r="M189" s="4474"/>
      <c r="N189" s="4474"/>
      <c r="O189" s="4474"/>
      <c r="P189" s="4474"/>
      <c r="Q189" s="4474"/>
      <c r="R189" s="4474"/>
      <c r="S189" s="4474"/>
      <c r="T189" s="4474"/>
      <c r="U189" s="4474"/>
      <c r="V189" s="4474"/>
      <c r="W189" s="4474"/>
      <c r="X189" s="4474"/>
      <c r="Y189" s="4474"/>
      <c r="Z189" s="4474"/>
      <c r="AA189" s="4474"/>
      <c r="AB189" s="4474"/>
      <c r="AC189" s="4474"/>
    </row>
    <row r="190" spans="1:29">
      <c r="A190" s="4474"/>
      <c r="B190" s="4474"/>
      <c r="C190" s="4474"/>
      <c r="D190" s="4474"/>
      <c r="E190" s="4474"/>
      <c r="F190" s="4474"/>
      <c r="G190" s="4474"/>
      <c r="H190" s="4474"/>
      <c r="I190" s="4474"/>
      <c r="J190" s="4474"/>
      <c r="K190" s="4475"/>
      <c r="L190" s="4476"/>
      <c r="M190" s="4474"/>
      <c r="N190" s="4474"/>
      <c r="O190" s="4474"/>
      <c r="P190" s="4474"/>
      <c r="Q190" s="4474"/>
      <c r="R190" s="4474"/>
      <c r="S190" s="4474"/>
      <c r="T190" s="4474"/>
      <c r="U190" s="4474"/>
      <c r="V190" s="4474"/>
      <c r="W190" s="4474"/>
      <c r="X190" s="4474"/>
      <c r="Y190" s="4474"/>
      <c r="Z190" s="4474"/>
      <c r="AA190" s="4474"/>
      <c r="AB190" s="4474"/>
      <c r="AC190" s="4474"/>
    </row>
    <row r="191" spans="1:29">
      <c r="A191" s="4474"/>
      <c r="B191" s="4474"/>
      <c r="C191" s="4474"/>
      <c r="D191" s="4474"/>
      <c r="E191" s="4474"/>
      <c r="F191" s="4474"/>
      <c r="G191" s="4474"/>
      <c r="H191" s="4474"/>
      <c r="I191" s="4474"/>
      <c r="J191" s="4474"/>
      <c r="K191" s="4475"/>
      <c r="L191" s="4476"/>
      <c r="M191" s="4474"/>
      <c r="N191" s="4474"/>
      <c r="O191" s="4474"/>
      <c r="P191" s="4474"/>
      <c r="Q191" s="4474"/>
      <c r="R191" s="4474"/>
      <c r="S191" s="4474"/>
      <c r="T191" s="4474"/>
      <c r="U191" s="4474"/>
      <c r="V191" s="4474"/>
      <c r="W191" s="4474"/>
      <c r="X191" s="4474"/>
      <c r="Y191" s="4474"/>
      <c r="Z191" s="4474"/>
      <c r="AA191" s="4474"/>
      <c r="AB191" s="4474"/>
      <c r="AC191" s="4474"/>
    </row>
    <row r="192" spans="1:29">
      <c r="A192" s="4474"/>
      <c r="B192" s="4474"/>
      <c r="C192" s="4474"/>
      <c r="D192" s="4474"/>
      <c r="E192" s="4474"/>
      <c r="F192" s="4474"/>
      <c r="G192" s="4474"/>
      <c r="H192" s="4474"/>
      <c r="I192" s="4474"/>
      <c r="J192" s="4474"/>
      <c r="K192" s="4475"/>
      <c r="L192" s="4476"/>
      <c r="M192" s="4474"/>
      <c r="N192" s="4474"/>
      <c r="O192" s="4474"/>
      <c r="P192" s="4474"/>
      <c r="Q192" s="4474"/>
      <c r="R192" s="4474"/>
      <c r="S192" s="4474"/>
      <c r="T192" s="4474"/>
      <c r="U192" s="4474"/>
      <c r="V192" s="4474"/>
      <c r="W192" s="4474"/>
      <c r="X192" s="4474"/>
      <c r="Y192" s="4474"/>
      <c r="Z192" s="4474"/>
      <c r="AA192" s="4474"/>
      <c r="AB192" s="4474"/>
      <c r="AC192" s="4474"/>
    </row>
    <row r="193" spans="1:29">
      <c r="A193" s="4474"/>
      <c r="B193" s="4474"/>
      <c r="C193" s="4474"/>
      <c r="D193" s="4474"/>
      <c r="E193" s="4474"/>
      <c r="F193" s="4474"/>
      <c r="G193" s="4474"/>
      <c r="H193" s="4474"/>
      <c r="I193" s="4474"/>
      <c r="J193" s="4474"/>
      <c r="K193" s="4475"/>
      <c r="L193" s="4476"/>
      <c r="M193" s="4474"/>
      <c r="N193" s="4474"/>
      <c r="O193" s="4474"/>
      <c r="P193" s="4474"/>
      <c r="Q193" s="4474"/>
      <c r="R193" s="4474"/>
      <c r="S193" s="4474"/>
      <c r="T193" s="4474"/>
      <c r="U193" s="4474"/>
      <c r="V193" s="4474"/>
      <c r="W193" s="4474"/>
      <c r="X193" s="4474"/>
      <c r="Y193" s="4474"/>
      <c r="Z193" s="4474"/>
      <c r="AA193" s="4474"/>
      <c r="AB193" s="4474"/>
      <c r="AC193" s="4474"/>
    </row>
    <row r="194" spans="1:29">
      <c r="A194" s="4474"/>
      <c r="B194" s="4474"/>
      <c r="C194" s="4474"/>
      <c r="D194" s="4474"/>
      <c r="E194" s="4474"/>
      <c r="F194" s="4474"/>
      <c r="G194" s="4474"/>
      <c r="H194" s="4474"/>
      <c r="I194" s="4474"/>
      <c r="J194" s="4474"/>
      <c r="K194" s="4475"/>
      <c r="L194" s="4476"/>
      <c r="M194" s="4474"/>
      <c r="N194" s="4474"/>
      <c r="O194" s="4474"/>
      <c r="P194" s="4474"/>
      <c r="Q194" s="4474"/>
      <c r="R194" s="4474"/>
      <c r="S194" s="4474"/>
      <c r="T194" s="4474"/>
      <c r="U194" s="4474"/>
      <c r="V194" s="4474"/>
      <c r="W194" s="4474"/>
      <c r="X194" s="4474"/>
      <c r="Y194" s="4474"/>
      <c r="Z194" s="4474"/>
      <c r="AA194" s="4474"/>
      <c r="AB194" s="4474"/>
      <c r="AC194" s="4474"/>
    </row>
    <row r="195" spans="1:29">
      <c r="A195" s="4474"/>
      <c r="B195" s="4474"/>
      <c r="C195" s="4474"/>
      <c r="D195" s="4474"/>
      <c r="E195" s="4474"/>
      <c r="F195" s="4474"/>
      <c r="G195" s="4474"/>
      <c r="H195" s="4474"/>
      <c r="I195" s="4474"/>
      <c r="J195" s="4474"/>
      <c r="K195" s="4475"/>
      <c r="L195" s="4476"/>
      <c r="M195" s="4474"/>
      <c r="N195" s="4474"/>
      <c r="O195" s="4474"/>
      <c r="P195" s="4474"/>
      <c r="Q195" s="4474"/>
      <c r="R195" s="4474"/>
      <c r="S195" s="4474"/>
      <c r="T195" s="4474"/>
      <c r="U195" s="4474"/>
      <c r="V195" s="4474"/>
      <c r="W195" s="4474"/>
      <c r="X195" s="4474"/>
      <c r="Y195" s="4474"/>
      <c r="Z195" s="4474"/>
      <c r="AA195" s="4474"/>
      <c r="AB195" s="4474"/>
      <c r="AC195" s="4474"/>
    </row>
    <row r="196" spans="1:29">
      <c r="A196" s="4474"/>
      <c r="B196" s="4474"/>
      <c r="C196" s="4474"/>
      <c r="D196" s="4474"/>
      <c r="E196" s="4474"/>
      <c r="F196" s="4474"/>
      <c r="G196" s="4474"/>
      <c r="H196" s="4474"/>
      <c r="I196" s="4474"/>
      <c r="J196" s="4474"/>
      <c r="K196" s="4475"/>
      <c r="L196" s="4476"/>
      <c r="M196" s="4474"/>
      <c r="N196" s="4474"/>
      <c r="O196" s="4474"/>
      <c r="P196" s="4474"/>
      <c r="Q196" s="4474"/>
      <c r="R196" s="4474"/>
      <c r="S196" s="4474"/>
      <c r="T196" s="4474"/>
      <c r="U196" s="4474"/>
      <c r="V196" s="4474"/>
      <c r="W196" s="4474"/>
      <c r="X196" s="4474"/>
      <c r="Y196" s="4474"/>
      <c r="Z196" s="4474"/>
      <c r="AA196" s="4474"/>
      <c r="AB196" s="4474"/>
      <c r="AC196" s="4474"/>
    </row>
    <row r="197" spans="1:29">
      <c r="A197" s="4474"/>
      <c r="B197" s="4474"/>
      <c r="C197" s="4474"/>
      <c r="D197" s="4474"/>
      <c r="E197" s="4474"/>
      <c r="F197" s="4474"/>
      <c r="G197" s="4474"/>
      <c r="H197" s="4474"/>
      <c r="I197" s="4474"/>
      <c r="J197" s="4474"/>
      <c r="K197" s="4475"/>
      <c r="L197" s="4476"/>
      <c r="M197" s="4474"/>
      <c r="N197" s="4474"/>
      <c r="O197" s="4474"/>
      <c r="P197" s="4474"/>
      <c r="Q197" s="4474"/>
      <c r="R197" s="4474"/>
      <c r="S197" s="4474"/>
      <c r="T197" s="4474"/>
      <c r="U197" s="4474"/>
      <c r="V197" s="4474"/>
      <c r="W197" s="4474"/>
      <c r="X197" s="4474"/>
      <c r="Y197" s="4474"/>
      <c r="Z197" s="4474"/>
      <c r="AA197" s="4474"/>
      <c r="AB197" s="4474"/>
      <c r="AC197" s="4474"/>
    </row>
    <row r="198" spans="1:29">
      <c r="A198" s="4474"/>
      <c r="B198" s="4474"/>
      <c r="C198" s="4474"/>
      <c r="D198" s="4474"/>
      <c r="E198" s="4474"/>
      <c r="F198" s="4474"/>
      <c r="G198" s="4474"/>
      <c r="H198" s="4474"/>
      <c r="I198" s="4474"/>
      <c r="J198" s="4474"/>
      <c r="K198" s="4475"/>
      <c r="L198" s="4476"/>
      <c r="M198" s="4474"/>
      <c r="N198" s="4474"/>
      <c r="O198" s="4474"/>
      <c r="P198" s="4474"/>
      <c r="Q198" s="4474"/>
      <c r="R198" s="4474"/>
      <c r="S198" s="4474"/>
      <c r="T198" s="4474"/>
      <c r="U198" s="4474"/>
      <c r="V198" s="4474"/>
      <c r="W198" s="4474"/>
      <c r="X198" s="4474"/>
      <c r="Y198" s="4474"/>
      <c r="Z198" s="4474"/>
      <c r="AA198" s="4474"/>
      <c r="AB198" s="4474"/>
      <c r="AC198" s="4474"/>
    </row>
    <row r="199" spans="1:29">
      <c r="A199" s="4474"/>
      <c r="B199" s="4474"/>
      <c r="C199" s="4474"/>
      <c r="D199" s="4474"/>
      <c r="E199" s="4474"/>
      <c r="F199" s="4474"/>
      <c r="G199" s="4474"/>
      <c r="H199" s="4474"/>
      <c r="I199" s="4474"/>
      <c r="J199" s="4474"/>
      <c r="K199" s="4475"/>
      <c r="L199" s="4476"/>
      <c r="M199" s="4474"/>
      <c r="N199" s="4474"/>
      <c r="O199" s="4474"/>
      <c r="P199" s="4474"/>
      <c r="Q199" s="4474"/>
      <c r="R199" s="4474"/>
      <c r="S199" s="4474"/>
      <c r="T199" s="4474"/>
      <c r="U199" s="4474"/>
      <c r="V199" s="4474"/>
      <c r="W199" s="4474"/>
      <c r="X199" s="4474"/>
      <c r="Y199" s="4474"/>
      <c r="Z199" s="4474"/>
      <c r="AA199" s="4474"/>
      <c r="AB199" s="4474"/>
      <c r="AC199" s="4474"/>
    </row>
    <row r="200" spans="1:29">
      <c r="A200" s="4474"/>
      <c r="B200" s="4474"/>
      <c r="C200" s="4474"/>
      <c r="D200" s="4474"/>
      <c r="E200" s="4474"/>
      <c r="F200" s="4474"/>
      <c r="G200" s="4474"/>
      <c r="H200" s="4474"/>
      <c r="I200" s="4474"/>
      <c r="J200" s="4474"/>
      <c r="K200" s="4475"/>
      <c r="L200" s="4476"/>
      <c r="M200" s="4474"/>
      <c r="N200" s="4474"/>
      <c r="O200" s="4474"/>
      <c r="P200" s="4474"/>
      <c r="Q200" s="4474"/>
      <c r="R200" s="4474"/>
      <c r="S200" s="4474"/>
      <c r="T200" s="4474"/>
      <c r="U200" s="4474"/>
      <c r="V200" s="4474"/>
      <c r="W200" s="4474"/>
      <c r="X200" s="4474"/>
      <c r="Y200" s="4474"/>
      <c r="Z200" s="4474"/>
      <c r="AA200" s="4474"/>
      <c r="AB200" s="4474"/>
      <c r="AC200" s="4474"/>
    </row>
    <row r="201" spans="1:29">
      <c r="A201" s="4474"/>
      <c r="B201" s="4474"/>
      <c r="C201" s="4474"/>
      <c r="D201" s="4474"/>
      <c r="E201" s="4474"/>
      <c r="F201" s="4474"/>
      <c r="G201" s="4474"/>
      <c r="H201" s="4474"/>
      <c r="I201" s="4474"/>
      <c r="J201" s="4474"/>
      <c r="K201" s="4475"/>
      <c r="L201" s="4476"/>
      <c r="M201" s="4474"/>
      <c r="N201" s="4474"/>
      <c r="O201" s="4474"/>
      <c r="P201" s="4474"/>
      <c r="Q201" s="4474"/>
      <c r="R201" s="4474"/>
      <c r="S201" s="4474"/>
      <c r="T201" s="4474"/>
      <c r="U201" s="4474"/>
      <c r="V201" s="4474"/>
      <c r="W201" s="4474"/>
      <c r="X201" s="4474"/>
      <c r="Y201" s="4474"/>
      <c r="Z201" s="4474"/>
      <c r="AA201" s="4474"/>
      <c r="AB201" s="4474"/>
      <c r="AC201" s="4474"/>
    </row>
    <row r="202" spans="1:29">
      <c r="A202" s="4474"/>
      <c r="B202" s="4474"/>
      <c r="C202" s="4474"/>
      <c r="D202" s="4474"/>
      <c r="E202" s="4474"/>
      <c r="F202" s="4474"/>
      <c r="G202" s="4474"/>
      <c r="H202" s="4474"/>
      <c r="I202" s="4474"/>
      <c r="J202" s="4474"/>
      <c r="K202" s="4475"/>
      <c r="L202" s="4476"/>
      <c r="M202" s="4474"/>
      <c r="N202" s="4474"/>
      <c r="O202" s="4474"/>
      <c r="P202" s="4474"/>
      <c r="Q202" s="4474"/>
      <c r="R202" s="4474"/>
      <c r="S202" s="4474"/>
      <c r="T202" s="4474"/>
      <c r="U202" s="4474"/>
      <c r="V202" s="4474"/>
      <c r="W202" s="4474"/>
      <c r="X202" s="4474"/>
      <c r="Y202" s="4474"/>
      <c r="Z202" s="4474"/>
      <c r="AA202" s="4474"/>
      <c r="AB202" s="4474"/>
      <c r="AC202" s="4474"/>
    </row>
    <row r="203" spans="1:29">
      <c r="A203" s="4474"/>
      <c r="B203" s="4474"/>
      <c r="C203" s="4474"/>
      <c r="D203" s="4474"/>
      <c r="E203" s="4474"/>
      <c r="F203" s="4474"/>
      <c r="G203" s="4474"/>
      <c r="H203" s="4474"/>
      <c r="I203" s="4474"/>
      <c r="J203" s="4474"/>
      <c r="K203" s="4475"/>
      <c r="L203" s="4476"/>
      <c r="M203" s="4474"/>
      <c r="N203" s="4474"/>
      <c r="O203" s="4474"/>
      <c r="P203" s="4474"/>
      <c r="Q203" s="4474"/>
      <c r="R203" s="4474"/>
      <c r="S203" s="4474"/>
      <c r="T203" s="4474"/>
      <c r="U203" s="4474"/>
      <c r="V203" s="4474"/>
      <c r="W203" s="4474"/>
      <c r="X203" s="4474"/>
      <c r="Y203" s="4474"/>
      <c r="Z203" s="4474"/>
      <c r="AA203" s="4474"/>
      <c r="AB203" s="4474"/>
      <c r="AC203" s="4474"/>
    </row>
    <row r="204" spans="1:29">
      <c r="A204" s="4474"/>
      <c r="B204" s="4474"/>
      <c r="C204" s="4474"/>
      <c r="D204" s="4474"/>
      <c r="E204" s="4474"/>
      <c r="F204" s="4474"/>
      <c r="G204" s="4474"/>
      <c r="H204" s="4474"/>
      <c r="I204" s="4474"/>
      <c r="J204" s="4474"/>
      <c r="K204" s="4475"/>
      <c r="L204" s="4476"/>
      <c r="M204" s="4474"/>
      <c r="N204" s="4474"/>
      <c r="O204" s="4474"/>
      <c r="P204" s="4474"/>
      <c r="Q204" s="4474"/>
      <c r="R204" s="4474"/>
      <c r="S204" s="4474"/>
      <c r="T204" s="4474"/>
      <c r="U204" s="4474"/>
      <c r="V204" s="4474"/>
      <c r="W204" s="4474"/>
      <c r="X204" s="4474"/>
      <c r="Y204" s="4474"/>
      <c r="Z204" s="4474"/>
      <c r="AA204" s="4474"/>
      <c r="AB204" s="4474"/>
      <c r="AC204" s="4474"/>
    </row>
    <row r="205" spans="1:29">
      <c r="A205" s="4474"/>
      <c r="B205" s="4474"/>
      <c r="C205" s="4474"/>
      <c r="D205" s="4474"/>
      <c r="E205" s="4474"/>
      <c r="F205" s="4474"/>
      <c r="G205" s="4474"/>
      <c r="H205" s="4474"/>
      <c r="I205" s="4474"/>
      <c r="J205" s="4474"/>
      <c r="K205" s="4475"/>
      <c r="L205" s="4476"/>
      <c r="M205" s="4474"/>
      <c r="N205" s="4474"/>
      <c r="O205" s="4474"/>
      <c r="P205" s="4474"/>
      <c r="Q205" s="4474"/>
      <c r="R205" s="4474"/>
      <c r="S205" s="4474"/>
      <c r="T205" s="4474"/>
      <c r="U205" s="4474"/>
      <c r="V205" s="4474"/>
      <c r="W205" s="4474"/>
      <c r="X205" s="4474"/>
      <c r="Y205" s="4474"/>
      <c r="Z205" s="4474"/>
      <c r="AA205" s="4474"/>
      <c r="AB205" s="4474"/>
      <c r="AC205" s="4474"/>
    </row>
    <row r="206" spans="1:29">
      <c r="A206" s="4474"/>
      <c r="B206" s="4474"/>
      <c r="C206" s="4474"/>
      <c r="D206" s="4474"/>
      <c r="E206" s="4474"/>
      <c r="F206" s="4474"/>
      <c r="G206" s="4474"/>
      <c r="H206" s="4474"/>
      <c r="I206" s="4474"/>
      <c r="J206" s="4474"/>
      <c r="K206" s="4475"/>
      <c r="L206" s="4476"/>
      <c r="M206" s="4474"/>
      <c r="N206" s="4474"/>
      <c r="O206" s="4474"/>
      <c r="P206" s="4474"/>
      <c r="Q206" s="4474"/>
      <c r="R206" s="4474"/>
      <c r="S206" s="4474"/>
      <c r="T206" s="4474"/>
      <c r="U206" s="4474"/>
      <c r="V206" s="4474"/>
      <c r="W206" s="4474"/>
      <c r="X206" s="4474"/>
      <c r="Y206" s="4474"/>
      <c r="Z206" s="4474"/>
      <c r="AA206" s="4474"/>
      <c r="AB206" s="4474"/>
      <c r="AC206" s="4474"/>
    </row>
    <row r="207" spans="1:29">
      <c r="A207" s="4474"/>
      <c r="B207" s="4474"/>
      <c r="C207" s="4474"/>
      <c r="D207" s="4474"/>
      <c r="E207" s="4474"/>
      <c r="F207" s="4474"/>
      <c r="G207" s="4474"/>
      <c r="H207" s="4474"/>
      <c r="I207" s="4474"/>
      <c r="J207" s="4474"/>
      <c r="K207" s="4475"/>
      <c r="L207" s="4476"/>
      <c r="M207" s="4474"/>
      <c r="N207" s="4474"/>
      <c r="O207" s="4474"/>
      <c r="P207" s="4474"/>
      <c r="Q207" s="4474"/>
      <c r="R207" s="4474"/>
      <c r="S207" s="4474"/>
      <c r="T207" s="4474"/>
      <c r="U207" s="4474"/>
      <c r="V207" s="4474"/>
      <c r="W207" s="4474"/>
      <c r="X207" s="4474"/>
      <c r="Y207" s="4474"/>
      <c r="Z207" s="4474"/>
      <c r="AA207" s="4474"/>
      <c r="AB207" s="4474"/>
      <c r="AC207" s="4474"/>
    </row>
    <row r="208" spans="1:29">
      <c r="A208" s="4474"/>
      <c r="B208" s="4474"/>
      <c r="C208" s="4474"/>
      <c r="D208" s="4474"/>
      <c r="E208" s="4474"/>
      <c r="F208" s="4474"/>
      <c r="G208" s="4474"/>
      <c r="H208" s="4474"/>
      <c r="I208" s="4474"/>
      <c r="J208" s="4474"/>
      <c r="K208" s="4475"/>
      <c r="L208" s="4476"/>
      <c r="M208" s="4474"/>
      <c r="N208" s="4474"/>
      <c r="O208" s="4474"/>
      <c r="P208" s="4474"/>
      <c r="Q208" s="4474"/>
      <c r="R208" s="4474"/>
      <c r="S208" s="4474"/>
      <c r="T208" s="4474"/>
      <c r="U208" s="4474"/>
      <c r="V208" s="4474"/>
      <c r="W208" s="4474"/>
      <c r="X208" s="4474"/>
      <c r="Y208" s="4474"/>
      <c r="Z208" s="4474"/>
      <c r="AA208" s="4474"/>
      <c r="AB208" s="4474"/>
      <c r="AC208" s="4474"/>
    </row>
    <row r="209" spans="1:29">
      <c r="A209" s="4474"/>
      <c r="B209" s="4474"/>
      <c r="C209" s="4474"/>
      <c r="D209" s="4474"/>
      <c r="E209" s="4474"/>
      <c r="F209" s="4474"/>
      <c r="G209" s="4474"/>
      <c r="H209" s="4474"/>
      <c r="I209" s="4474"/>
      <c r="J209" s="4474"/>
      <c r="K209" s="4475"/>
      <c r="L209" s="4476"/>
      <c r="M209" s="4474"/>
      <c r="N209" s="4474"/>
      <c r="O209" s="4474"/>
      <c r="P209" s="4474"/>
      <c r="Q209" s="4474"/>
      <c r="R209" s="4474"/>
      <c r="S209" s="4474"/>
      <c r="T209" s="4474"/>
      <c r="U209" s="4474"/>
      <c r="V209" s="4474"/>
      <c r="W209" s="4474"/>
      <c r="X209" s="4474"/>
      <c r="Y209" s="4474"/>
      <c r="Z209" s="4474"/>
      <c r="AA209" s="4474"/>
      <c r="AB209" s="4474"/>
      <c r="AC209" s="4474"/>
    </row>
    <row r="210" spans="1:29">
      <c r="A210" s="4474"/>
      <c r="B210" s="4474"/>
      <c r="C210" s="4474"/>
      <c r="D210" s="4474"/>
      <c r="E210" s="4474"/>
      <c r="F210" s="4474"/>
      <c r="G210" s="4474"/>
      <c r="H210" s="4474"/>
      <c r="I210" s="4474"/>
      <c r="J210" s="4474"/>
      <c r="K210" s="4475"/>
      <c r="L210" s="4476"/>
      <c r="M210" s="4474"/>
      <c r="N210" s="4474"/>
      <c r="O210" s="4474"/>
      <c r="P210" s="4474"/>
      <c r="Q210" s="4474"/>
      <c r="R210" s="4474"/>
      <c r="S210" s="4474"/>
      <c r="T210" s="4474"/>
      <c r="U210" s="4474"/>
      <c r="V210" s="4474"/>
      <c r="W210" s="4474"/>
      <c r="X210" s="4474"/>
      <c r="Y210" s="4474"/>
      <c r="Z210" s="4474"/>
      <c r="AA210" s="4474"/>
      <c r="AB210" s="4474"/>
      <c r="AC210" s="4474"/>
    </row>
    <row r="211" spans="1:29">
      <c r="A211" s="4474"/>
      <c r="B211" s="4474"/>
      <c r="C211" s="4474"/>
      <c r="D211" s="4474"/>
      <c r="E211" s="4474"/>
      <c r="F211" s="4474"/>
      <c r="G211" s="4474"/>
      <c r="H211" s="4474"/>
      <c r="I211" s="4474"/>
      <c r="J211" s="4474"/>
      <c r="K211" s="4475"/>
      <c r="L211" s="4476"/>
      <c r="M211" s="4474"/>
      <c r="N211" s="4474"/>
      <c r="O211" s="4474"/>
      <c r="P211" s="4474"/>
      <c r="Q211" s="4474"/>
      <c r="R211" s="4474"/>
      <c r="S211" s="4474"/>
      <c r="T211" s="4474"/>
      <c r="U211" s="4474"/>
      <c r="V211" s="4474"/>
      <c r="W211" s="4474"/>
      <c r="X211" s="4474"/>
      <c r="Y211" s="4474"/>
      <c r="Z211" s="4474"/>
      <c r="AA211" s="4474"/>
      <c r="AB211" s="4474"/>
      <c r="AC211" s="4474"/>
    </row>
    <row r="212" spans="1:29">
      <c r="A212" s="4474"/>
      <c r="B212" s="4474"/>
      <c r="C212" s="4474"/>
      <c r="D212" s="4474"/>
      <c r="E212" s="4474"/>
      <c r="F212" s="4474"/>
      <c r="G212" s="4474"/>
      <c r="H212" s="4474"/>
      <c r="I212" s="4474"/>
      <c r="J212" s="4474"/>
      <c r="K212" s="4475"/>
      <c r="L212" s="4476"/>
      <c r="M212" s="4474"/>
      <c r="N212" s="4474"/>
      <c r="O212" s="4474"/>
      <c r="P212" s="4474"/>
      <c r="Q212" s="4474"/>
      <c r="R212" s="4474"/>
      <c r="S212" s="4474"/>
      <c r="T212" s="4474"/>
      <c r="U212" s="4474"/>
      <c r="V212" s="4474"/>
      <c r="W212" s="4474"/>
      <c r="X212" s="4474"/>
      <c r="Y212" s="4474"/>
      <c r="Z212" s="4474"/>
      <c r="AA212" s="4474"/>
      <c r="AB212" s="4474"/>
      <c r="AC212" s="4474"/>
    </row>
    <row r="213" spans="1:29">
      <c r="A213" s="4474"/>
      <c r="B213" s="4474"/>
      <c r="C213" s="4474"/>
      <c r="D213" s="4474"/>
      <c r="E213" s="4474"/>
      <c r="F213" s="4474"/>
      <c r="G213" s="4474"/>
      <c r="H213" s="4474"/>
      <c r="I213" s="4474"/>
      <c r="J213" s="4474"/>
      <c r="K213" s="4475"/>
      <c r="L213" s="4476"/>
      <c r="M213" s="4474"/>
      <c r="N213" s="4474"/>
      <c r="O213" s="4474"/>
      <c r="P213" s="4474"/>
      <c r="Q213" s="4474"/>
      <c r="R213" s="4474"/>
      <c r="S213" s="4474"/>
      <c r="T213" s="4474"/>
      <c r="U213" s="4474"/>
      <c r="V213" s="4474"/>
      <c r="W213" s="4474"/>
      <c r="X213" s="4474"/>
      <c r="Y213" s="4474"/>
      <c r="Z213" s="4474"/>
      <c r="AA213" s="4474"/>
      <c r="AB213" s="4474"/>
      <c r="AC213" s="4474"/>
    </row>
    <row r="214" spans="1:29">
      <c r="A214" s="4474"/>
      <c r="B214" s="4474"/>
      <c r="C214" s="4474"/>
      <c r="D214" s="4474"/>
      <c r="E214" s="4474"/>
      <c r="F214" s="4474"/>
      <c r="G214" s="4474"/>
      <c r="H214" s="4474"/>
      <c r="I214" s="4474"/>
      <c r="J214" s="4474"/>
      <c r="K214" s="4475"/>
      <c r="L214" s="4476"/>
      <c r="M214" s="4474"/>
      <c r="N214" s="4474"/>
      <c r="O214" s="4474"/>
      <c r="P214" s="4474"/>
      <c r="Q214" s="4474"/>
      <c r="R214" s="4474"/>
      <c r="S214" s="4474"/>
      <c r="T214" s="4474"/>
      <c r="U214" s="4474"/>
      <c r="V214" s="4474"/>
      <c r="W214" s="4474"/>
      <c r="X214" s="4474"/>
      <c r="Y214" s="4474"/>
      <c r="Z214" s="4474"/>
      <c r="AA214" s="4474"/>
      <c r="AB214" s="4474"/>
      <c r="AC214" s="4474"/>
    </row>
    <row r="215" spans="1:29">
      <c r="A215" s="4474"/>
      <c r="B215" s="4474"/>
      <c r="C215" s="4474"/>
      <c r="D215" s="4474"/>
      <c r="E215" s="4474"/>
      <c r="F215" s="4474"/>
      <c r="G215" s="4474"/>
      <c r="H215" s="4474"/>
      <c r="I215" s="4474"/>
      <c r="J215" s="4474"/>
      <c r="K215" s="4475"/>
      <c r="L215" s="4476"/>
      <c r="M215" s="4474"/>
      <c r="N215" s="4474"/>
      <c r="O215" s="4474"/>
      <c r="P215" s="4474"/>
      <c r="Q215" s="4474"/>
      <c r="R215" s="4474"/>
      <c r="S215" s="4474"/>
      <c r="T215" s="4474"/>
      <c r="U215" s="4474"/>
      <c r="V215" s="4474"/>
      <c r="W215" s="4474"/>
      <c r="X215" s="4474"/>
      <c r="Y215" s="4474"/>
      <c r="Z215" s="4474"/>
      <c r="AA215" s="4474"/>
      <c r="AB215" s="4474"/>
      <c r="AC215" s="4474"/>
    </row>
    <row r="216" spans="1:29">
      <c r="A216" s="4474"/>
      <c r="B216" s="4474"/>
      <c r="C216" s="4474"/>
      <c r="D216" s="4474"/>
      <c r="E216" s="4474"/>
      <c r="F216" s="4474"/>
      <c r="G216" s="4474"/>
      <c r="H216" s="4474"/>
      <c r="I216" s="4474"/>
      <c r="J216" s="4474"/>
      <c r="K216" s="4475"/>
      <c r="L216" s="4476"/>
      <c r="M216" s="4474"/>
      <c r="N216" s="4474"/>
      <c r="O216" s="4474"/>
      <c r="P216" s="4474"/>
      <c r="Q216" s="4474"/>
      <c r="R216" s="4474"/>
      <c r="S216" s="4474"/>
      <c r="T216" s="4474"/>
      <c r="U216" s="4474"/>
      <c r="V216" s="4474"/>
      <c r="W216" s="4474"/>
      <c r="X216" s="4474"/>
      <c r="Y216" s="4474"/>
      <c r="Z216" s="4474"/>
      <c r="AA216" s="4474"/>
      <c r="AB216" s="4474"/>
      <c r="AC216" s="4474"/>
    </row>
    <row r="217" spans="1:29">
      <c r="A217" s="4474"/>
      <c r="B217" s="4474"/>
      <c r="C217" s="4474"/>
      <c r="D217" s="4474"/>
      <c r="E217" s="4474"/>
      <c r="F217" s="4474"/>
      <c r="G217" s="4474"/>
      <c r="H217" s="4474"/>
      <c r="I217" s="4474"/>
      <c r="J217" s="4474"/>
      <c r="K217" s="4475"/>
      <c r="L217" s="4476"/>
      <c r="M217" s="4474"/>
      <c r="N217" s="4474"/>
      <c r="O217" s="4474"/>
      <c r="P217" s="4474"/>
      <c r="Q217" s="4474"/>
      <c r="R217" s="4474"/>
      <c r="S217" s="4474"/>
      <c r="T217" s="4474"/>
      <c r="U217" s="4474"/>
      <c r="V217" s="4474"/>
      <c r="W217" s="4474"/>
      <c r="X217" s="4474"/>
      <c r="Y217" s="4474"/>
      <c r="Z217" s="4474"/>
      <c r="AA217" s="4474"/>
      <c r="AB217" s="4474"/>
      <c r="AC217" s="4474"/>
    </row>
    <row r="218" spans="1:29">
      <c r="A218" s="4474"/>
      <c r="B218" s="4474"/>
      <c r="C218" s="4474"/>
      <c r="D218" s="4474"/>
      <c r="E218" s="4474"/>
      <c r="F218" s="4474"/>
      <c r="G218" s="4474"/>
      <c r="H218" s="4474"/>
      <c r="I218" s="4474"/>
      <c r="J218" s="4474"/>
      <c r="K218" s="4475"/>
      <c r="L218" s="4476"/>
      <c r="M218" s="4474"/>
      <c r="N218" s="4474"/>
      <c r="O218" s="4474"/>
      <c r="P218" s="4474"/>
      <c r="Q218" s="4474"/>
      <c r="R218" s="4474"/>
      <c r="S218" s="4474"/>
      <c r="T218" s="4474"/>
      <c r="U218" s="4474"/>
      <c r="V218" s="4474"/>
      <c r="W218" s="4474"/>
      <c r="X218" s="4474"/>
      <c r="Y218" s="4474"/>
      <c r="Z218" s="4474"/>
      <c r="AA218" s="4474"/>
      <c r="AB218" s="4474"/>
      <c r="AC218" s="4474"/>
    </row>
    <row r="219" spans="1:29">
      <c r="A219" s="4474"/>
      <c r="B219" s="4474"/>
      <c r="C219" s="4474"/>
      <c r="D219" s="4474"/>
      <c r="E219" s="4474"/>
      <c r="F219" s="4474"/>
      <c r="G219" s="4474"/>
      <c r="H219" s="4474"/>
      <c r="I219" s="4474"/>
      <c r="J219" s="4474"/>
      <c r="K219" s="4475"/>
      <c r="L219" s="4476"/>
      <c r="M219" s="4474"/>
      <c r="N219" s="4474"/>
      <c r="O219" s="4474"/>
      <c r="P219" s="4474"/>
      <c r="Q219" s="4474"/>
      <c r="R219" s="4474"/>
      <c r="S219" s="4474"/>
      <c r="T219" s="4474"/>
      <c r="U219" s="4474"/>
      <c r="V219" s="4474"/>
      <c r="W219" s="4474"/>
      <c r="X219" s="4474"/>
      <c r="Y219" s="4474"/>
      <c r="Z219" s="4474"/>
      <c r="AA219" s="4474"/>
      <c r="AB219" s="4474"/>
      <c r="AC219" s="4474"/>
    </row>
    <row r="220" spans="1:29">
      <c r="A220" s="4474"/>
      <c r="B220" s="4474"/>
      <c r="C220" s="4474"/>
      <c r="D220" s="4474"/>
      <c r="E220" s="4474"/>
      <c r="F220" s="4474"/>
      <c r="G220" s="4474"/>
      <c r="H220" s="4474"/>
      <c r="I220" s="4474"/>
      <c r="J220" s="4474"/>
      <c r="K220" s="4475"/>
      <c r="L220" s="4476"/>
      <c r="M220" s="4474"/>
      <c r="N220" s="4474"/>
      <c r="O220" s="4474"/>
      <c r="P220" s="4474"/>
      <c r="Q220" s="4474"/>
      <c r="R220" s="4474"/>
      <c r="S220" s="4474"/>
      <c r="T220" s="4474"/>
      <c r="U220" s="4474"/>
      <c r="V220" s="4474"/>
      <c r="W220" s="4474"/>
      <c r="X220" s="4474"/>
      <c r="Y220" s="4474"/>
      <c r="Z220" s="4474"/>
      <c r="AA220" s="4474"/>
      <c r="AB220" s="4474"/>
      <c r="AC220" s="4474"/>
    </row>
    <row r="221" spans="1:29">
      <c r="A221" s="4474"/>
      <c r="B221" s="4474"/>
      <c r="C221" s="4474"/>
      <c r="D221" s="4474"/>
      <c r="E221" s="4474"/>
      <c r="F221" s="4474"/>
      <c r="G221" s="4474"/>
      <c r="H221" s="4474"/>
      <c r="I221" s="4474"/>
      <c r="J221" s="4474"/>
      <c r="K221" s="4475"/>
      <c r="L221" s="4476"/>
      <c r="M221" s="4474"/>
      <c r="N221" s="4474"/>
      <c r="O221" s="4474"/>
      <c r="P221" s="4474"/>
      <c r="Q221" s="4474"/>
      <c r="R221" s="4474"/>
      <c r="S221" s="4474"/>
      <c r="T221" s="4474"/>
      <c r="U221" s="4474"/>
      <c r="V221" s="4474"/>
      <c r="W221" s="4474"/>
      <c r="X221" s="4474"/>
      <c r="Y221" s="4474"/>
      <c r="Z221" s="4474"/>
      <c r="AA221" s="4474"/>
      <c r="AB221" s="4474"/>
      <c r="AC221" s="4474"/>
    </row>
    <row r="222" spans="1:29">
      <c r="A222" s="4474"/>
      <c r="B222" s="4474"/>
      <c r="C222" s="4474"/>
      <c r="D222" s="4474"/>
      <c r="E222" s="4474"/>
      <c r="F222" s="4474"/>
      <c r="G222" s="4474"/>
      <c r="H222" s="4474"/>
      <c r="I222" s="4474"/>
      <c r="J222" s="4474"/>
      <c r="K222" s="4475"/>
      <c r="L222" s="4476"/>
      <c r="M222" s="4474"/>
      <c r="N222" s="4474"/>
      <c r="O222" s="4474"/>
      <c r="P222" s="4474"/>
      <c r="Q222" s="4474"/>
      <c r="R222" s="4474"/>
      <c r="S222" s="4474"/>
      <c r="T222" s="4474"/>
      <c r="U222" s="4474"/>
      <c r="V222" s="4474"/>
      <c r="W222" s="4474"/>
      <c r="X222" s="4474"/>
      <c r="Y222" s="4474"/>
      <c r="Z222" s="4474"/>
      <c r="AA222" s="4474"/>
      <c r="AB222" s="4474"/>
      <c r="AC222" s="4474"/>
    </row>
    <row r="223" spans="1:29">
      <c r="A223" s="4474"/>
      <c r="B223" s="4474"/>
      <c r="C223" s="4474"/>
      <c r="D223" s="4474"/>
      <c r="E223" s="4474"/>
      <c r="F223" s="4474"/>
      <c r="G223" s="4474"/>
      <c r="H223" s="4474"/>
      <c r="I223" s="4474"/>
      <c r="J223" s="4474"/>
      <c r="K223" s="4475"/>
      <c r="L223" s="4476"/>
      <c r="M223" s="4474"/>
      <c r="N223" s="4474"/>
      <c r="O223" s="4474"/>
      <c r="P223" s="4474"/>
      <c r="Q223" s="4474"/>
      <c r="R223" s="4474"/>
      <c r="S223" s="4474"/>
      <c r="T223" s="4474"/>
      <c r="U223" s="4474"/>
      <c r="V223" s="4474"/>
      <c r="W223" s="4474"/>
      <c r="X223" s="4474"/>
      <c r="Y223" s="4474"/>
      <c r="Z223" s="4474"/>
      <c r="AA223" s="4474"/>
      <c r="AB223" s="4474"/>
      <c r="AC223" s="4474"/>
    </row>
    <row r="224" spans="1:29">
      <c r="A224" s="4474"/>
      <c r="B224" s="4474"/>
      <c r="C224" s="4474"/>
      <c r="D224" s="4474"/>
      <c r="E224" s="4474"/>
      <c r="F224" s="4474"/>
      <c r="G224" s="4474"/>
      <c r="H224" s="4474"/>
      <c r="I224" s="4474"/>
      <c r="J224" s="4474"/>
      <c r="K224" s="4475"/>
      <c r="L224" s="4476"/>
      <c r="M224" s="4474"/>
      <c r="N224" s="4474"/>
      <c r="O224" s="4474"/>
      <c r="P224" s="4474"/>
      <c r="Q224" s="4474"/>
      <c r="R224" s="4474"/>
      <c r="S224" s="4474"/>
      <c r="T224" s="4474"/>
      <c r="U224" s="4474"/>
      <c r="V224" s="4474"/>
      <c r="W224" s="4474"/>
      <c r="X224" s="4474"/>
      <c r="Y224" s="4474"/>
      <c r="Z224" s="4474"/>
      <c r="AA224" s="4474"/>
      <c r="AB224" s="4474"/>
      <c r="AC224" s="4474"/>
    </row>
    <row r="225" spans="1:29">
      <c r="A225" s="4474"/>
      <c r="B225" s="4474"/>
      <c r="C225" s="4474"/>
      <c r="D225" s="4474"/>
      <c r="E225" s="4474"/>
      <c r="F225" s="4474"/>
      <c r="G225" s="4474"/>
      <c r="H225" s="4474"/>
      <c r="I225" s="4474"/>
      <c r="J225" s="4474"/>
      <c r="K225" s="4475"/>
      <c r="L225" s="4476"/>
      <c r="M225" s="4474"/>
      <c r="N225" s="4474"/>
      <c r="O225" s="4474"/>
      <c r="P225" s="4474"/>
      <c r="Q225" s="4474"/>
      <c r="R225" s="4474"/>
      <c r="S225" s="4474"/>
      <c r="T225" s="4474"/>
      <c r="U225" s="4474"/>
      <c r="V225" s="4474"/>
      <c r="W225" s="4474"/>
      <c r="X225" s="4474"/>
      <c r="Y225" s="4474"/>
      <c r="Z225" s="4474"/>
      <c r="AA225" s="4474"/>
      <c r="AB225" s="4474"/>
      <c r="AC225" s="4474"/>
    </row>
    <row r="226" spans="1:29">
      <c r="A226" s="4474"/>
      <c r="B226" s="4474"/>
      <c r="C226" s="4474"/>
      <c r="D226" s="4474"/>
      <c r="E226" s="4474"/>
      <c r="F226" s="4474"/>
      <c r="G226" s="4474"/>
      <c r="H226" s="4474"/>
      <c r="I226" s="4474"/>
      <c r="J226" s="4474"/>
      <c r="K226" s="4475"/>
      <c r="L226" s="4476"/>
      <c r="M226" s="4474"/>
      <c r="N226" s="4474"/>
      <c r="O226" s="4474"/>
      <c r="P226" s="4474"/>
      <c r="Q226" s="4474"/>
      <c r="R226" s="4474"/>
      <c r="S226" s="4474"/>
      <c r="T226" s="4474"/>
      <c r="U226" s="4474"/>
      <c r="V226" s="4474"/>
      <c r="W226" s="4474"/>
      <c r="X226" s="4474"/>
      <c r="Y226" s="4474"/>
      <c r="Z226" s="4474"/>
      <c r="AA226" s="4474"/>
      <c r="AB226" s="4474"/>
      <c r="AC226" s="4474"/>
    </row>
    <row r="227" spans="1:29">
      <c r="A227" s="4474"/>
      <c r="B227" s="4474"/>
      <c r="C227" s="4474"/>
      <c r="D227" s="4474"/>
      <c r="E227" s="4474"/>
      <c r="F227" s="4474"/>
      <c r="G227" s="4474"/>
      <c r="H227" s="4474"/>
      <c r="I227" s="4474"/>
      <c r="J227" s="4474"/>
      <c r="K227" s="4475"/>
      <c r="L227" s="4476"/>
      <c r="M227" s="4474"/>
      <c r="N227" s="4474"/>
      <c r="O227" s="4474"/>
      <c r="P227" s="4474"/>
      <c r="Q227" s="4474"/>
      <c r="R227" s="4474"/>
      <c r="S227" s="4474"/>
      <c r="T227" s="4474"/>
      <c r="U227" s="4474"/>
      <c r="V227" s="4474"/>
      <c r="W227" s="4474"/>
      <c r="X227" s="4474"/>
      <c r="Y227" s="4474"/>
      <c r="Z227" s="4474"/>
      <c r="AA227" s="4474"/>
      <c r="AB227" s="4474"/>
      <c r="AC227" s="4474"/>
    </row>
    <row r="228" spans="1:29">
      <c r="A228" s="4474"/>
      <c r="B228" s="4474"/>
      <c r="C228" s="4474"/>
      <c r="D228" s="4474"/>
      <c r="E228" s="4474"/>
      <c r="F228" s="4474"/>
      <c r="G228" s="4474"/>
      <c r="H228" s="4474"/>
      <c r="I228" s="4474"/>
      <c r="J228" s="4474"/>
      <c r="K228" s="4475"/>
      <c r="L228" s="4476"/>
      <c r="M228" s="4474"/>
      <c r="N228" s="4474"/>
      <c r="O228" s="4474"/>
      <c r="P228" s="4474"/>
      <c r="Q228" s="4474"/>
      <c r="R228" s="4474"/>
      <c r="S228" s="4474"/>
      <c r="T228" s="4474"/>
      <c r="U228" s="4474"/>
      <c r="V228" s="4474"/>
      <c r="W228" s="4474"/>
      <c r="X228" s="4474"/>
      <c r="Y228" s="4474"/>
      <c r="Z228" s="4474"/>
      <c r="AA228" s="4474"/>
      <c r="AB228" s="4474"/>
      <c r="AC228" s="4474"/>
    </row>
    <row r="229" spans="1:29">
      <c r="A229" s="4474"/>
      <c r="B229" s="4474"/>
      <c r="C229" s="4474"/>
      <c r="D229" s="4474"/>
      <c r="E229" s="4474"/>
      <c r="F229" s="4474"/>
      <c r="G229" s="4474"/>
      <c r="H229" s="4474"/>
      <c r="I229" s="4474"/>
      <c r="J229" s="4474"/>
      <c r="K229" s="4475"/>
      <c r="L229" s="4476"/>
      <c r="M229" s="4474"/>
      <c r="N229" s="4474"/>
      <c r="O229" s="4474"/>
      <c r="P229" s="4474"/>
      <c r="Q229" s="4474"/>
      <c r="R229" s="4474"/>
      <c r="S229" s="4474"/>
      <c r="T229" s="4474"/>
      <c r="U229" s="4474"/>
      <c r="V229" s="4474"/>
      <c r="W229" s="4474"/>
      <c r="X229" s="4474"/>
      <c r="Y229" s="4474"/>
      <c r="Z229" s="4474"/>
      <c r="AA229" s="4474"/>
      <c r="AB229" s="4474"/>
      <c r="AC229" s="4474"/>
    </row>
    <row r="230" spans="1:29">
      <c r="A230" s="4474"/>
      <c r="B230" s="4474"/>
      <c r="C230" s="4474"/>
      <c r="D230" s="4474"/>
      <c r="E230" s="4474"/>
      <c r="F230" s="4474"/>
      <c r="G230" s="4474"/>
      <c r="H230" s="4474"/>
      <c r="I230" s="4474"/>
      <c r="J230" s="4474"/>
      <c r="K230" s="4475"/>
      <c r="L230" s="4476"/>
      <c r="M230" s="4474"/>
      <c r="N230" s="4474"/>
      <c r="O230" s="4474"/>
      <c r="P230" s="4474"/>
      <c r="Q230" s="4474"/>
      <c r="R230" s="4474"/>
      <c r="S230" s="4474"/>
      <c r="T230" s="4474"/>
      <c r="U230" s="4474"/>
      <c r="V230" s="4474"/>
      <c r="W230" s="4474"/>
      <c r="X230" s="4474"/>
      <c r="Y230" s="4474"/>
      <c r="Z230" s="4474"/>
      <c r="AA230" s="4474"/>
      <c r="AB230" s="4474"/>
      <c r="AC230" s="4474"/>
    </row>
    <row r="231" spans="1:29">
      <c r="A231" s="4474"/>
      <c r="B231" s="4474"/>
      <c r="C231" s="4474"/>
      <c r="D231" s="4474"/>
      <c r="E231" s="4474"/>
      <c r="F231" s="4474"/>
      <c r="G231" s="4474"/>
      <c r="H231" s="4474"/>
      <c r="I231" s="4474"/>
      <c r="J231" s="4474"/>
      <c r="K231" s="4475"/>
      <c r="L231" s="4476"/>
      <c r="M231" s="4474"/>
      <c r="N231" s="4474"/>
      <c r="O231" s="4474"/>
      <c r="P231" s="4474"/>
      <c r="Q231" s="4474"/>
      <c r="R231" s="4474"/>
      <c r="S231" s="4474"/>
      <c r="T231" s="4474"/>
      <c r="U231" s="4474"/>
      <c r="V231" s="4474"/>
      <c r="W231" s="4474"/>
      <c r="X231" s="4474"/>
      <c r="Y231" s="4474"/>
      <c r="Z231" s="4474"/>
      <c r="AA231" s="4474"/>
      <c r="AB231" s="4474"/>
      <c r="AC231" s="4474"/>
    </row>
    <row r="232" spans="1:29">
      <c r="A232" s="4474"/>
      <c r="B232" s="4474"/>
      <c r="C232" s="4474"/>
      <c r="D232" s="4474"/>
      <c r="E232" s="4474"/>
      <c r="F232" s="4474"/>
      <c r="G232" s="4474"/>
      <c r="H232" s="4474"/>
      <c r="I232" s="4474"/>
      <c r="J232" s="4474"/>
      <c r="K232" s="4475"/>
      <c r="L232" s="4476"/>
      <c r="M232" s="4474"/>
      <c r="N232" s="4474"/>
      <c r="O232" s="4474"/>
      <c r="P232" s="4474"/>
      <c r="Q232" s="4474"/>
      <c r="R232" s="4474"/>
      <c r="S232" s="4474"/>
      <c r="T232" s="4474"/>
      <c r="U232" s="4474"/>
      <c r="V232" s="4474"/>
      <c r="W232" s="4474"/>
      <c r="X232" s="4474"/>
      <c r="Y232" s="4474"/>
      <c r="Z232" s="4474"/>
      <c r="AA232" s="4474"/>
      <c r="AB232" s="4474"/>
      <c r="AC232" s="4474"/>
    </row>
    <row r="233" spans="1:29">
      <c r="A233" s="4474"/>
      <c r="B233" s="4474"/>
      <c r="C233" s="4474"/>
      <c r="D233" s="4474"/>
      <c r="E233" s="4474"/>
      <c r="F233" s="4474"/>
      <c r="G233" s="4474"/>
      <c r="H233" s="4474"/>
      <c r="I233" s="4474"/>
      <c r="J233" s="4474"/>
      <c r="K233" s="4475"/>
      <c r="L233" s="4476"/>
      <c r="M233" s="4474"/>
      <c r="N233" s="4474"/>
      <c r="O233" s="4474"/>
      <c r="P233" s="4474"/>
      <c r="Q233" s="4474"/>
      <c r="R233" s="4474"/>
      <c r="S233" s="4474"/>
      <c r="T233" s="4474"/>
      <c r="U233" s="4474"/>
      <c r="V233" s="4474"/>
      <c r="W233" s="4474"/>
      <c r="X233" s="4474"/>
      <c r="Y233" s="4474"/>
      <c r="Z233" s="4474"/>
      <c r="AA233" s="4474"/>
      <c r="AB233" s="4474"/>
      <c r="AC233" s="4474"/>
    </row>
    <row r="234" spans="1:29">
      <c r="A234" s="4474"/>
      <c r="B234" s="4474"/>
      <c r="C234" s="4474"/>
      <c r="D234" s="4474"/>
      <c r="E234" s="4474"/>
      <c r="F234" s="4474"/>
      <c r="G234" s="4474"/>
      <c r="H234" s="4474"/>
      <c r="I234" s="4474"/>
      <c r="J234" s="4474"/>
      <c r="K234" s="4475"/>
      <c r="L234" s="4476"/>
      <c r="M234" s="4474"/>
      <c r="N234" s="4474"/>
      <c r="O234" s="4474"/>
      <c r="P234" s="4474"/>
      <c r="Q234" s="4474"/>
      <c r="R234" s="4474"/>
      <c r="S234" s="4474"/>
      <c r="T234" s="4474"/>
      <c r="U234" s="4474"/>
      <c r="V234" s="4474"/>
      <c r="W234" s="4474"/>
      <c r="X234" s="4474"/>
      <c r="Y234" s="4474"/>
      <c r="Z234" s="4474"/>
      <c r="AA234" s="4474"/>
      <c r="AB234" s="4474"/>
      <c r="AC234" s="4474"/>
    </row>
    <row r="235" spans="1:29">
      <c r="A235" s="4474"/>
      <c r="B235" s="4474"/>
      <c r="C235" s="4474"/>
      <c r="D235" s="4474"/>
      <c r="E235" s="4474"/>
      <c r="F235" s="4474"/>
      <c r="G235" s="4474"/>
      <c r="H235" s="4474"/>
      <c r="I235" s="4474"/>
      <c r="J235" s="4474"/>
      <c r="K235" s="4475"/>
      <c r="L235" s="4476"/>
      <c r="M235" s="4474"/>
      <c r="N235" s="4474"/>
      <c r="O235" s="4474"/>
      <c r="P235" s="4474"/>
      <c r="Q235" s="4474"/>
      <c r="R235" s="4474"/>
      <c r="S235" s="4474"/>
      <c r="T235" s="4474"/>
      <c r="U235" s="4474"/>
      <c r="V235" s="4474"/>
      <c r="W235" s="4474"/>
      <c r="X235" s="4474"/>
      <c r="Y235" s="4474"/>
      <c r="Z235" s="4474"/>
      <c r="AA235" s="4474"/>
      <c r="AB235" s="4474"/>
      <c r="AC235" s="4474"/>
    </row>
    <row r="236" spans="1:29">
      <c r="A236" s="4474"/>
      <c r="B236" s="4474"/>
      <c r="C236" s="4474"/>
      <c r="D236" s="4474"/>
      <c r="E236" s="4474"/>
      <c r="F236" s="4474"/>
      <c r="G236" s="4474"/>
      <c r="H236" s="4474"/>
      <c r="I236" s="4474"/>
      <c r="J236" s="4474"/>
      <c r="K236" s="4475"/>
      <c r="L236" s="4476"/>
      <c r="M236" s="4474"/>
      <c r="N236" s="4474"/>
      <c r="O236" s="4474"/>
      <c r="P236" s="4474"/>
      <c r="Q236" s="4474"/>
      <c r="R236" s="4474"/>
      <c r="S236" s="4474"/>
      <c r="T236" s="4474"/>
      <c r="U236" s="4474"/>
      <c r="V236" s="4474"/>
      <c r="W236" s="4474"/>
      <c r="X236" s="4474"/>
      <c r="Y236" s="4474"/>
      <c r="Z236" s="4474"/>
      <c r="AA236" s="4474"/>
      <c r="AB236" s="4474"/>
      <c r="AC236" s="4474"/>
    </row>
    <row r="237" spans="1:29">
      <c r="A237" s="4474"/>
      <c r="B237" s="4474"/>
      <c r="C237" s="4474"/>
      <c r="D237" s="4474"/>
      <c r="E237" s="4474"/>
      <c r="F237" s="4474"/>
      <c r="G237" s="4474"/>
      <c r="H237" s="4474"/>
      <c r="I237" s="4474"/>
      <c r="J237" s="4474"/>
      <c r="K237" s="4475"/>
      <c r="L237" s="4476"/>
      <c r="M237" s="4474"/>
      <c r="N237" s="4474"/>
      <c r="O237" s="4474"/>
      <c r="P237" s="4474"/>
      <c r="Q237" s="4474"/>
      <c r="R237" s="4474"/>
      <c r="S237" s="4474"/>
      <c r="T237" s="4474"/>
      <c r="U237" s="4474"/>
      <c r="V237" s="4474"/>
      <c r="W237" s="4474"/>
      <c r="X237" s="4474"/>
      <c r="Y237" s="4474"/>
      <c r="Z237" s="4474"/>
      <c r="AA237" s="4474"/>
      <c r="AB237" s="4474"/>
      <c r="AC237" s="4474"/>
    </row>
    <row r="238" spans="1:29">
      <c r="A238" s="4474"/>
      <c r="B238" s="4474"/>
      <c r="C238" s="4474"/>
      <c r="D238" s="4474"/>
      <c r="E238" s="4474"/>
      <c r="F238" s="4474"/>
      <c r="G238" s="4474"/>
      <c r="H238" s="4474"/>
      <c r="I238" s="4474"/>
      <c r="J238" s="4474"/>
      <c r="K238" s="4475"/>
      <c r="L238" s="4476"/>
      <c r="M238" s="4474"/>
      <c r="N238" s="4474"/>
      <c r="O238" s="4474"/>
      <c r="P238" s="4474"/>
      <c r="Q238" s="4474"/>
      <c r="R238" s="4474"/>
      <c r="S238" s="4474"/>
      <c r="T238" s="4474"/>
      <c r="U238" s="4474"/>
      <c r="V238" s="4474"/>
      <c r="W238" s="4474"/>
      <c r="X238" s="4474"/>
      <c r="Y238" s="4474"/>
      <c r="Z238" s="4474"/>
      <c r="AA238" s="4474"/>
      <c r="AB238" s="4474"/>
      <c r="AC238" s="4474"/>
    </row>
    <row r="239" spans="1:29">
      <c r="A239" s="4474"/>
      <c r="B239" s="4474"/>
      <c r="C239" s="4474"/>
      <c r="D239" s="4474"/>
      <c r="E239" s="4474"/>
      <c r="F239" s="4474"/>
      <c r="G239" s="4474"/>
      <c r="H239" s="4474"/>
      <c r="I239" s="4474"/>
      <c r="J239" s="4474"/>
      <c r="K239" s="4475"/>
      <c r="L239" s="4476"/>
      <c r="M239" s="4474"/>
      <c r="N239" s="4474"/>
      <c r="O239" s="4474"/>
      <c r="P239" s="4474"/>
      <c r="Q239" s="4474"/>
      <c r="R239" s="4474"/>
      <c r="S239" s="4474"/>
      <c r="T239" s="4474"/>
      <c r="U239" s="4474"/>
      <c r="V239" s="4474"/>
      <c r="W239" s="4474"/>
      <c r="X239" s="4474"/>
      <c r="Y239" s="4474"/>
      <c r="Z239" s="4474"/>
      <c r="AA239" s="4474"/>
      <c r="AB239" s="4474"/>
      <c r="AC239" s="4474"/>
    </row>
    <row r="240" spans="1:29">
      <c r="A240" s="4474"/>
      <c r="B240" s="4474"/>
      <c r="C240" s="4474"/>
      <c r="D240" s="4474"/>
      <c r="E240" s="4474"/>
      <c r="F240" s="4474"/>
      <c r="G240" s="4474"/>
      <c r="H240" s="4474"/>
      <c r="I240" s="4474"/>
      <c r="J240" s="4474"/>
      <c r="K240" s="4475"/>
      <c r="L240" s="4476"/>
      <c r="M240" s="4474"/>
      <c r="N240" s="4474"/>
      <c r="O240" s="4474"/>
      <c r="P240" s="4474"/>
      <c r="Q240" s="4474"/>
      <c r="R240" s="4474"/>
      <c r="S240" s="4474"/>
      <c r="T240" s="4474"/>
      <c r="U240" s="4474"/>
      <c r="V240" s="4474"/>
      <c r="W240" s="4474"/>
      <c r="X240" s="4474"/>
      <c r="Y240" s="4474"/>
      <c r="Z240" s="4474"/>
      <c r="AA240" s="4474"/>
      <c r="AB240" s="4474"/>
      <c r="AC240" s="4474"/>
    </row>
    <row r="241" spans="1:29">
      <c r="A241" s="4474"/>
      <c r="B241" s="4474"/>
      <c r="C241" s="4474"/>
      <c r="D241" s="4474"/>
      <c r="E241" s="4474"/>
      <c r="F241" s="4474"/>
      <c r="G241" s="4474"/>
      <c r="H241" s="4474"/>
      <c r="I241" s="4474"/>
      <c r="J241" s="4474"/>
      <c r="K241" s="4475"/>
      <c r="L241" s="4476"/>
      <c r="M241" s="4474"/>
      <c r="N241" s="4474"/>
      <c r="O241" s="4474"/>
      <c r="P241" s="4474"/>
      <c r="Q241" s="4474"/>
      <c r="R241" s="4474"/>
      <c r="S241" s="4474"/>
      <c r="T241" s="4474"/>
      <c r="U241" s="4474"/>
      <c r="V241" s="4474"/>
      <c r="W241" s="4474"/>
      <c r="X241" s="4474"/>
      <c r="Y241" s="4474"/>
      <c r="Z241" s="4474"/>
      <c r="AA241" s="4474"/>
      <c r="AB241" s="4474"/>
      <c r="AC241" s="4474"/>
    </row>
    <row r="242" spans="1:29">
      <c r="A242" s="4474"/>
      <c r="B242" s="4474"/>
      <c r="C242" s="4474"/>
      <c r="D242" s="4474"/>
      <c r="E242" s="4474"/>
      <c r="F242" s="4474"/>
      <c r="G242" s="4474"/>
      <c r="H242" s="4474"/>
      <c r="I242" s="4474"/>
      <c r="J242" s="4474"/>
      <c r="K242" s="4475"/>
      <c r="L242" s="4476"/>
      <c r="M242" s="4474"/>
      <c r="N242" s="4474"/>
      <c r="O242" s="4474"/>
      <c r="P242" s="4474"/>
      <c r="Q242" s="4474"/>
      <c r="R242" s="4474"/>
      <c r="S242" s="4474"/>
      <c r="T242" s="4474"/>
      <c r="U242" s="4474"/>
      <c r="V242" s="4474"/>
      <c r="W242" s="4474"/>
      <c r="X242" s="4474"/>
      <c r="Y242" s="4474"/>
      <c r="Z242" s="4474"/>
      <c r="AA242" s="4474"/>
      <c r="AB242" s="4474"/>
      <c r="AC242" s="4474"/>
    </row>
    <row r="243" spans="1:29">
      <c r="A243" s="4474"/>
      <c r="B243" s="4474"/>
      <c r="C243" s="4474"/>
      <c r="D243" s="4474"/>
      <c r="E243" s="4474"/>
      <c r="F243" s="4474"/>
      <c r="G243" s="4474"/>
      <c r="H243" s="4474"/>
      <c r="I243" s="4474"/>
      <c r="J243" s="4474"/>
      <c r="K243" s="4475"/>
      <c r="L243" s="4476"/>
      <c r="M243" s="4474"/>
      <c r="N243" s="4474"/>
      <c r="O243" s="4474"/>
      <c r="P243" s="4474"/>
      <c r="Q243" s="4474"/>
      <c r="R243" s="4474"/>
      <c r="S243" s="4474"/>
      <c r="T243" s="4474"/>
      <c r="U243" s="4474"/>
      <c r="V243" s="4474"/>
      <c r="W243" s="4474"/>
      <c r="X243" s="4474"/>
      <c r="Y243" s="4474"/>
      <c r="Z243" s="4474"/>
      <c r="AA243" s="4474"/>
      <c r="AB243" s="4474"/>
      <c r="AC243" s="4474"/>
    </row>
    <row r="244" spans="1:29">
      <c r="A244" s="4474"/>
      <c r="B244" s="4474"/>
      <c r="C244" s="4474"/>
      <c r="D244" s="4474"/>
      <c r="E244" s="4474"/>
      <c r="F244" s="4474"/>
      <c r="G244" s="4474"/>
      <c r="H244" s="4474"/>
      <c r="I244" s="4474"/>
      <c r="J244" s="4474"/>
      <c r="K244" s="4475"/>
      <c r="L244" s="4476"/>
      <c r="M244" s="4474"/>
      <c r="N244" s="4474"/>
      <c r="O244" s="4474"/>
      <c r="P244" s="4474"/>
      <c r="Q244" s="4474"/>
      <c r="R244" s="4474"/>
      <c r="S244" s="4474"/>
      <c r="T244" s="4474"/>
      <c r="U244" s="4474"/>
      <c r="V244" s="4474"/>
      <c r="W244" s="4474"/>
      <c r="X244" s="4474"/>
      <c r="Y244" s="4474"/>
      <c r="Z244" s="4474"/>
      <c r="AA244" s="4474"/>
      <c r="AB244" s="4474"/>
      <c r="AC244" s="4474"/>
    </row>
    <row r="245" spans="1:29">
      <c r="A245" s="4474"/>
      <c r="B245" s="4474"/>
      <c r="C245" s="4474"/>
      <c r="D245" s="4474"/>
      <c r="E245" s="4474"/>
      <c r="F245" s="4474"/>
      <c r="G245" s="4474"/>
      <c r="H245" s="4474"/>
      <c r="I245" s="4474"/>
      <c r="J245" s="4474"/>
      <c r="K245" s="4475"/>
      <c r="L245" s="4476"/>
      <c r="M245" s="4474"/>
      <c r="N245" s="4474"/>
      <c r="O245" s="4474"/>
      <c r="P245" s="4474"/>
      <c r="Q245" s="4474"/>
      <c r="R245" s="4474"/>
      <c r="S245" s="4474"/>
      <c r="T245" s="4474"/>
      <c r="U245" s="4474"/>
      <c r="V245" s="4474"/>
      <c r="W245" s="4474"/>
      <c r="X245" s="4474"/>
      <c r="Y245" s="4474"/>
      <c r="Z245" s="4474"/>
      <c r="AA245" s="4474"/>
      <c r="AB245" s="4474"/>
      <c r="AC245" s="4474"/>
    </row>
    <row r="246" spans="1:29">
      <c r="A246" s="4474"/>
      <c r="B246" s="4474"/>
      <c r="C246" s="4474"/>
      <c r="D246" s="4474"/>
      <c r="E246" s="4474"/>
      <c r="F246" s="4474"/>
      <c r="G246" s="4474"/>
      <c r="H246" s="4474"/>
      <c r="I246" s="4474"/>
      <c r="J246" s="4474"/>
      <c r="K246" s="4475"/>
      <c r="L246" s="4476"/>
      <c r="M246" s="4474"/>
      <c r="N246" s="4474"/>
      <c r="O246" s="4474"/>
      <c r="P246" s="4474"/>
      <c r="Q246" s="4474"/>
      <c r="R246" s="4474"/>
      <c r="S246" s="4474"/>
      <c r="T246" s="4474"/>
      <c r="U246" s="4474"/>
      <c r="V246" s="4474"/>
      <c r="W246" s="4474"/>
      <c r="X246" s="4474"/>
      <c r="Y246" s="4474"/>
      <c r="Z246" s="4474"/>
      <c r="AA246" s="4474"/>
      <c r="AB246" s="4474"/>
      <c r="AC246" s="4474"/>
    </row>
    <row r="247" spans="1:29">
      <c r="A247" s="4474"/>
      <c r="B247" s="4474"/>
      <c r="C247" s="4474"/>
      <c r="D247" s="4474"/>
      <c r="E247" s="4474"/>
      <c r="F247" s="4474"/>
      <c r="G247" s="4474"/>
      <c r="H247" s="4474"/>
      <c r="I247" s="4474"/>
      <c r="J247" s="4474"/>
      <c r="K247" s="4475"/>
      <c r="L247" s="4476"/>
      <c r="M247" s="4474"/>
      <c r="N247" s="4474"/>
      <c r="O247" s="4474"/>
      <c r="P247" s="4474"/>
      <c r="Q247" s="4474"/>
      <c r="R247" s="4474"/>
      <c r="S247" s="4474"/>
      <c r="T247" s="4474"/>
      <c r="U247" s="4474"/>
      <c r="V247" s="4474"/>
      <c r="W247" s="4474"/>
      <c r="X247" s="4474"/>
      <c r="Y247" s="4474"/>
      <c r="Z247" s="4474"/>
      <c r="AA247" s="4474"/>
      <c r="AB247" s="4474"/>
      <c r="AC247" s="4474"/>
    </row>
    <row r="248" spans="1:29">
      <c r="A248" s="4474"/>
      <c r="B248" s="4474"/>
      <c r="C248" s="4474"/>
      <c r="D248" s="4474"/>
      <c r="E248" s="4474"/>
      <c r="F248" s="4474"/>
      <c r="G248" s="4474"/>
      <c r="H248" s="4474"/>
      <c r="I248" s="4474"/>
      <c r="J248" s="4474"/>
      <c r="K248" s="4475"/>
      <c r="L248" s="4476"/>
      <c r="M248" s="4474"/>
      <c r="N248" s="4474"/>
      <c r="O248" s="4474"/>
      <c r="P248" s="4474"/>
      <c r="Q248" s="4474"/>
      <c r="R248" s="4474"/>
      <c r="S248" s="4474"/>
      <c r="T248" s="4474"/>
      <c r="U248" s="4474"/>
      <c r="V248" s="4474"/>
      <c r="W248" s="4474"/>
      <c r="X248" s="4474"/>
      <c r="Y248" s="4474"/>
      <c r="Z248" s="4474"/>
      <c r="AA248" s="4474"/>
      <c r="AB248" s="4474"/>
      <c r="AC248" s="4474"/>
    </row>
    <row r="249" spans="1:29">
      <c r="A249" s="4474"/>
      <c r="B249" s="4474"/>
      <c r="C249" s="4474"/>
      <c r="D249" s="4474"/>
      <c r="E249" s="4474"/>
      <c r="F249" s="4474"/>
      <c r="G249" s="4474"/>
      <c r="H249" s="4474"/>
      <c r="I249" s="4474"/>
      <c r="J249" s="4474"/>
      <c r="K249" s="4475"/>
      <c r="L249" s="4476"/>
      <c r="M249" s="4474"/>
      <c r="N249" s="4474"/>
      <c r="O249" s="4474"/>
      <c r="P249" s="4474"/>
      <c r="Q249" s="4474"/>
      <c r="R249" s="4474"/>
      <c r="S249" s="4474"/>
      <c r="T249" s="4474"/>
      <c r="U249" s="4474"/>
      <c r="V249" s="4474"/>
      <c r="W249" s="4474"/>
      <c r="X249" s="4474"/>
      <c r="Y249" s="4474"/>
      <c r="Z249" s="4474"/>
      <c r="AA249" s="4474"/>
      <c r="AB249" s="4474"/>
      <c r="AC249" s="4474"/>
    </row>
    <row r="250" spans="1:29">
      <c r="A250" s="4474"/>
      <c r="B250" s="4474"/>
      <c r="C250" s="4474"/>
      <c r="D250" s="4474"/>
      <c r="E250" s="4474"/>
      <c r="F250" s="4474"/>
      <c r="G250" s="4474"/>
      <c r="H250" s="4474"/>
      <c r="I250" s="4474"/>
      <c r="J250" s="4474"/>
      <c r="K250" s="4475"/>
      <c r="L250" s="4476"/>
      <c r="M250" s="4474"/>
      <c r="N250" s="4474"/>
      <c r="O250" s="4474"/>
      <c r="P250" s="4474"/>
      <c r="Q250" s="4474"/>
      <c r="R250" s="4474"/>
      <c r="S250" s="4474"/>
      <c r="T250" s="4474"/>
      <c r="U250" s="4474"/>
      <c r="V250" s="4474"/>
      <c r="W250" s="4474"/>
      <c r="X250" s="4474"/>
      <c r="Y250" s="4474"/>
      <c r="Z250" s="4474"/>
      <c r="AA250" s="4474"/>
      <c r="AB250" s="4474"/>
      <c r="AC250" s="4474"/>
    </row>
    <row r="251" spans="1:29">
      <c r="A251" s="4474"/>
      <c r="B251" s="4474"/>
      <c r="C251" s="4474"/>
      <c r="D251" s="4474"/>
      <c r="E251" s="4474"/>
      <c r="F251" s="4474"/>
      <c r="G251" s="4474"/>
      <c r="H251" s="4474"/>
      <c r="I251" s="4474"/>
      <c r="J251" s="4474"/>
      <c r="K251" s="4475"/>
      <c r="L251" s="4476"/>
      <c r="M251" s="4474"/>
      <c r="N251" s="4474"/>
      <c r="O251" s="4474"/>
      <c r="P251" s="4474"/>
      <c r="Q251" s="4474"/>
      <c r="R251" s="4474"/>
      <c r="S251" s="4474"/>
      <c r="T251" s="4474"/>
      <c r="U251" s="4474"/>
      <c r="V251" s="4474"/>
      <c r="W251" s="4474"/>
      <c r="X251" s="4474"/>
      <c r="Y251" s="4474"/>
      <c r="Z251" s="4474"/>
      <c r="AA251" s="4474"/>
      <c r="AB251" s="4474"/>
      <c r="AC251" s="4474"/>
    </row>
    <row r="252" spans="1:29">
      <c r="A252" s="4474"/>
      <c r="B252" s="4474"/>
      <c r="C252" s="4474"/>
      <c r="D252" s="4474"/>
      <c r="E252" s="4474"/>
      <c r="F252" s="4474"/>
      <c r="G252" s="4474"/>
      <c r="H252" s="4474"/>
      <c r="I252" s="4474"/>
      <c r="J252" s="4474"/>
      <c r="K252" s="4475"/>
      <c r="L252" s="4476"/>
      <c r="M252" s="4474"/>
      <c r="N252" s="4474"/>
      <c r="O252" s="4474"/>
      <c r="P252" s="4474"/>
      <c r="Q252" s="4474"/>
      <c r="R252" s="4474"/>
      <c r="S252" s="4474"/>
      <c r="T252" s="4474"/>
      <c r="U252" s="4474"/>
      <c r="V252" s="4474"/>
      <c r="W252" s="4474"/>
      <c r="X252" s="4474"/>
      <c r="Y252" s="4474"/>
      <c r="Z252" s="4474"/>
      <c r="AA252" s="4474"/>
      <c r="AB252" s="4474"/>
      <c r="AC252" s="4474"/>
    </row>
    <row r="253" spans="1:29">
      <c r="A253" s="4474"/>
      <c r="B253" s="4474"/>
      <c r="C253" s="4474"/>
      <c r="D253" s="4474"/>
      <c r="E253" s="4474"/>
      <c r="F253" s="4474"/>
      <c r="G253" s="4474"/>
      <c r="H253" s="4474"/>
      <c r="I253" s="4474"/>
      <c r="J253" s="4474"/>
      <c r="K253" s="4475"/>
      <c r="L253" s="4476"/>
      <c r="M253" s="4474"/>
      <c r="N253" s="4474"/>
      <c r="O253" s="4474"/>
      <c r="P253" s="4474"/>
      <c r="Q253" s="4474"/>
      <c r="R253" s="4474"/>
      <c r="S253" s="4474"/>
      <c r="T253" s="4474"/>
      <c r="U253" s="4474"/>
      <c r="V253" s="4474"/>
      <c r="W253" s="4474"/>
      <c r="X253" s="4474"/>
      <c r="Y253" s="4474"/>
      <c r="Z253" s="4474"/>
      <c r="AA253" s="4474"/>
      <c r="AB253" s="4474"/>
      <c r="AC253" s="4474"/>
    </row>
    <row r="254" spans="1:29">
      <c r="A254" s="4474"/>
      <c r="B254" s="4474"/>
      <c r="C254" s="4474"/>
      <c r="D254" s="4474"/>
      <c r="E254" s="4474"/>
      <c r="F254" s="4474"/>
      <c r="G254" s="4474"/>
      <c r="H254" s="4474"/>
      <c r="I254" s="4474"/>
      <c r="J254" s="4474"/>
      <c r="K254" s="4475"/>
      <c r="L254" s="4476"/>
      <c r="M254" s="4474"/>
      <c r="N254" s="4474"/>
      <c r="O254" s="4474"/>
      <c r="P254" s="4474"/>
      <c r="Q254" s="4474"/>
      <c r="R254" s="4474"/>
      <c r="S254" s="4474"/>
      <c r="T254" s="4474"/>
      <c r="U254" s="4474"/>
      <c r="V254" s="4474"/>
      <c r="W254" s="4474"/>
      <c r="X254" s="4474"/>
      <c r="Y254" s="4474"/>
      <c r="Z254" s="4474"/>
      <c r="AA254" s="4474"/>
      <c r="AB254" s="4474"/>
      <c r="AC254" s="4474"/>
    </row>
    <row r="255" spans="1:29">
      <c r="A255" s="4474"/>
      <c r="B255" s="4474"/>
      <c r="C255" s="4474"/>
      <c r="D255" s="4474"/>
      <c r="E255" s="4474"/>
      <c r="F255" s="4474"/>
      <c r="G255" s="4474"/>
      <c r="H255" s="4474"/>
      <c r="I255" s="4474"/>
      <c r="J255" s="4474"/>
      <c r="K255" s="4475"/>
      <c r="L255" s="4476"/>
      <c r="M255" s="4474"/>
      <c r="N255" s="4474"/>
      <c r="O255" s="4474"/>
      <c r="P255" s="4474"/>
      <c r="Q255" s="4474"/>
      <c r="R255" s="4474"/>
      <c r="S255" s="4474"/>
      <c r="T255" s="4474"/>
      <c r="U255" s="4474"/>
      <c r="V255" s="4474"/>
      <c r="W255" s="4474"/>
      <c r="X255" s="4474"/>
      <c r="Y255" s="4474"/>
      <c r="Z255" s="4474"/>
      <c r="AA255" s="4474"/>
      <c r="AB255" s="4474"/>
      <c r="AC255" s="4474"/>
    </row>
    <row r="256" spans="1:29">
      <c r="A256" s="4474"/>
      <c r="B256" s="4474"/>
      <c r="C256" s="4474"/>
      <c r="D256" s="4474"/>
      <c r="E256" s="4474"/>
      <c r="F256" s="4474"/>
      <c r="G256" s="4474"/>
      <c r="H256" s="4474"/>
      <c r="I256" s="4474"/>
      <c r="J256" s="4474"/>
      <c r="K256" s="4475"/>
      <c r="L256" s="4476"/>
      <c r="M256" s="4474"/>
      <c r="N256" s="4474"/>
      <c r="O256" s="4474"/>
      <c r="P256" s="4474"/>
      <c r="Q256" s="4474"/>
      <c r="R256" s="4474"/>
      <c r="S256" s="4474"/>
      <c r="T256" s="4474"/>
      <c r="U256" s="4474"/>
      <c r="V256" s="4474"/>
      <c r="W256" s="4474"/>
      <c r="X256" s="4474"/>
      <c r="Y256" s="4474"/>
      <c r="Z256" s="4474"/>
      <c r="AA256" s="4474"/>
      <c r="AB256" s="4474"/>
      <c r="AC256" s="4474"/>
    </row>
    <row r="257" spans="1:29">
      <c r="A257" s="4474"/>
      <c r="B257" s="4474"/>
      <c r="C257" s="4474"/>
      <c r="D257" s="4474"/>
      <c r="E257" s="4474"/>
      <c r="F257" s="4474"/>
      <c r="G257" s="4474"/>
      <c r="H257" s="4474"/>
      <c r="I257" s="4474"/>
      <c r="J257" s="4474"/>
      <c r="K257" s="4475"/>
      <c r="L257" s="4476"/>
      <c r="M257" s="4474"/>
      <c r="N257" s="4474"/>
      <c r="O257" s="4474"/>
      <c r="P257" s="4474"/>
      <c r="Q257" s="4474"/>
      <c r="R257" s="4474"/>
      <c r="S257" s="4474"/>
      <c r="T257" s="4474"/>
      <c r="U257" s="4474"/>
      <c r="V257" s="4474"/>
      <c r="W257" s="4474"/>
      <c r="X257" s="4474"/>
      <c r="Y257" s="4474"/>
      <c r="Z257" s="4474"/>
      <c r="AA257" s="4474"/>
      <c r="AB257" s="4474"/>
      <c r="AC257" s="4474"/>
    </row>
    <row r="258" spans="1:29">
      <c r="A258" s="4474"/>
      <c r="B258" s="4474"/>
      <c r="C258" s="4474"/>
      <c r="D258" s="4474"/>
      <c r="E258" s="4474"/>
      <c r="F258" s="4474"/>
      <c r="G258" s="4474"/>
      <c r="H258" s="4474"/>
      <c r="I258" s="4474"/>
      <c r="J258" s="4474"/>
      <c r="K258" s="4475"/>
      <c r="L258" s="4476"/>
      <c r="M258" s="4474"/>
      <c r="N258" s="4474"/>
      <c r="O258" s="4474"/>
      <c r="P258" s="4474"/>
      <c r="Q258" s="4474"/>
      <c r="R258" s="4474"/>
      <c r="S258" s="4474"/>
      <c r="T258" s="4474"/>
      <c r="U258" s="4474"/>
      <c r="V258" s="4474"/>
      <c r="W258" s="4474"/>
      <c r="X258" s="4474"/>
      <c r="Y258" s="4474"/>
      <c r="Z258" s="4474"/>
      <c r="AA258" s="4474"/>
      <c r="AB258" s="4474"/>
      <c r="AC258" s="4474"/>
    </row>
    <row r="259" spans="1:29">
      <c r="A259" s="4474"/>
      <c r="B259" s="4474"/>
      <c r="C259" s="4474"/>
      <c r="D259" s="4474"/>
      <c r="E259" s="4474"/>
      <c r="F259" s="4474"/>
      <c r="G259" s="4474"/>
      <c r="H259" s="4474"/>
      <c r="I259" s="4474"/>
      <c r="J259" s="4474"/>
      <c r="K259" s="4475"/>
      <c r="L259" s="4476"/>
      <c r="M259" s="4474"/>
      <c r="N259" s="4474"/>
      <c r="O259" s="4474"/>
      <c r="P259" s="4474"/>
      <c r="Q259" s="4474"/>
      <c r="R259" s="4474"/>
      <c r="S259" s="4474"/>
      <c r="T259" s="4474"/>
      <c r="U259" s="4474"/>
      <c r="V259" s="4474"/>
      <c r="W259" s="4474"/>
      <c r="X259" s="4474"/>
      <c r="Y259" s="4474"/>
      <c r="Z259" s="4474"/>
      <c r="AA259" s="4474"/>
      <c r="AB259" s="4474"/>
      <c r="AC259" s="4474"/>
    </row>
    <row r="260" spans="1:29">
      <c r="A260" s="4474"/>
      <c r="B260" s="4474"/>
      <c r="C260" s="4474"/>
      <c r="D260" s="4474"/>
      <c r="E260" s="4474"/>
      <c r="F260" s="4474"/>
      <c r="G260" s="4474"/>
      <c r="H260" s="4474"/>
      <c r="I260" s="4474"/>
      <c r="J260" s="4474"/>
      <c r="K260" s="4475"/>
      <c r="L260" s="4476"/>
      <c r="M260" s="4474"/>
      <c r="N260" s="4474"/>
      <c r="O260" s="4474"/>
      <c r="P260" s="4474"/>
      <c r="Q260" s="4474"/>
      <c r="R260" s="4474"/>
      <c r="S260" s="4474"/>
      <c r="T260" s="4474"/>
      <c r="U260" s="4474"/>
      <c r="V260" s="4474"/>
      <c r="W260" s="4474"/>
      <c r="X260" s="4474"/>
      <c r="Y260" s="4474"/>
      <c r="Z260" s="4474"/>
      <c r="AA260" s="4474"/>
      <c r="AB260" s="4474"/>
      <c r="AC260" s="4474"/>
    </row>
    <row r="261" spans="1:29">
      <c r="A261" s="4474"/>
      <c r="B261" s="4474"/>
      <c r="C261" s="4474"/>
      <c r="D261" s="4474"/>
      <c r="E261" s="4474"/>
      <c r="F261" s="4474"/>
      <c r="G261" s="4474"/>
      <c r="H261" s="4474"/>
      <c r="I261" s="4474"/>
      <c r="J261" s="4474"/>
      <c r="K261" s="4475"/>
      <c r="L261" s="4476"/>
      <c r="M261" s="4474"/>
      <c r="N261" s="4474"/>
      <c r="O261" s="4474"/>
      <c r="P261" s="4474"/>
      <c r="Q261" s="4474"/>
      <c r="R261" s="4474"/>
      <c r="S261" s="4474"/>
      <c r="T261" s="4474"/>
      <c r="U261" s="4474"/>
      <c r="V261" s="4474"/>
      <c r="W261" s="4474"/>
      <c r="X261" s="4474"/>
      <c r="Y261" s="4474"/>
      <c r="Z261" s="4474"/>
      <c r="AA261" s="4474"/>
      <c r="AB261" s="4474"/>
      <c r="AC261" s="4474"/>
    </row>
  </sheetData>
  <sheetProtection formatCells="0" formatColumns="0" formatRows="0"/>
  <mergeCells count="41">
    <mergeCell ref="G52:H53"/>
    <mergeCell ref="P44:Q44"/>
    <mergeCell ref="R44:S44"/>
    <mergeCell ref="T44:U44"/>
    <mergeCell ref="V44:W44"/>
    <mergeCell ref="P45:Q45"/>
    <mergeCell ref="R45:W45"/>
    <mergeCell ref="P34:P42"/>
    <mergeCell ref="Y34:Y42"/>
    <mergeCell ref="P43:Q43"/>
    <mergeCell ref="R43:S43"/>
    <mergeCell ref="T43:U43"/>
    <mergeCell ref="V43:W43"/>
    <mergeCell ref="P10:Q10"/>
    <mergeCell ref="Y10:Z10"/>
    <mergeCell ref="P11:P16"/>
    <mergeCell ref="Y11:Y16"/>
    <mergeCell ref="P17:P33"/>
    <mergeCell ref="Y17:Y33"/>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4" type="noConversion"/>
  <conditionalFormatting sqref="F48 H48 J48">
    <cfRule type="containsText" dxfId="35" priority="17" stopIfTrue="1" operator="containsText" text="超过">
      <formula>NOT(ISERROR(SEARCH("超过",F48)))</formula>
    </cfRule>
  </conditionalFormatting>
  <conditionalFormatting sqref="J50">
    <cfRule type="containsText" dxfId="34" priority="16" stopIfTrue="1" operator="containsText" text="超过">
      <formula>NOT(ISERROR(SEARCH("超过",J50)))</formula>
    </cfRule>
  </conditionalFormatting>
  <conditionalFormatting sqref="H50">
    <cfRule type="containsText" dxfId="33" priority="15" stopIfTrue="1" operator="containsText" text="超过">
      <formula>NOT(ISERROR(SEARCH("超过",H50)))</formula>
    </cfRule>
  </conditionalFormatting>
  <conditionalFormatting sqref="F50">
    <cfRule type="containsText" dxfId="32" priority="14" stopIfTrue="1" operator="containsText" text="超过">
      <formula>NOT(ISERROR(SEARCH("超过",F50)))</formula>
    </cfRule>
  </conditionalFormatting>
  <conditionalFormatting sqref="F49 H49 J49">
    <cfRule type="containsText" dxfId="31" priority="13" stopIfTrue="1" operator="containsText" text="超过">
      <formula>NOT(ISERROR(SEARCH("超过",F49)))</formula>
    </cfRule>
  </conditionalFormatting>
  <conditionalFormatting sqref="E48">
    <cfRule type="expression" dxfId="30" priority="12" stopIfTrue="1">
      <formula>$F$48="超过30%"</formula>
    </cfRule>
  </conditionalFormatting>
  <conditionalFormatting sqref="G50">
    <cfRule type="expression" dxfId="29" priority="11" stopIfTrue="1">
      <formula>$H$50="超过30%"</formula>
    </cfRule>
  </conditionalFormatting>
  <conditionalFormatting sqref="E50">
    <cfRule type="expression" dxfId="28" priority="10" stopIfTrue="1">
      <formula>$F$50="超过30%"</formula>
    </cfRule>
  </conditionalFormatting>
  <conditionalFormatting sqref="G48">
    <cfRule type="expression" dxfId="27" priority="9" stopIfTrue="1">
      <formula>$H$48="超过30%"</formula>
    </cfRule>
  </conditionalFormatting>
  <conditionalFormatting sqref="G49">
    <cfRule type="expression" dxfId="26" priority="8" stopIfTrue="1">
      <formula>$H$49="超过20%"</formula>
    </cfRule>
  </conditionalFormatting>
  <conditionalFormatting sqref="I48">
    <cfRule type="expression" dxfId="25" priority="7" stopIfTrue="1">
      <formula>$J$48="超过30%"</formula>
    </cfRule>
  </conditionalFormatting>
  <conditionalFormatting sqref="I49">
    <cfRule type="expression" dxfId="24" priority="6" stopIfTrue="1">
      <formula>$J$49="超过20%"</formula>
    </cfRule>
  </conditionalFormatting>
  <conditionalFormatting sqref="I50">
    <cfRule type="expression" dxfId="23" priority="5" stopIfTrue="1">
      <formula>$J$50="超过30%"</formula>
    </cfRule>
  </conditionalFormatting>
  <conditionalFormatting sqref="E49">
    <cfRule type="expression" dxfId="22" priority="18" stopIfTrue="1">
      <formula>#REF!+$F$49="超过20%"</formula>
    </cfRule>
  </conditionalFormatting>
  <conditionalFormatting sqref="F44">
    <cfRule type="expression" dxfId="21" priority="4">
      <formula>$D$44="简单平均"</formula>
    </cfRule>
  </conditionalFormatting>
  <conditionalFormatting sqref="H44">
    <cfRule type="expression" dxfId="20" priority="3">
      <formula>$D$44="简单平均"</formula>
    </cfRule>
  </conditionalFormatting>
  <conditionalFormatting sqref="J44">
    <cfRule type="expression" dxfId="19" priority="2">
      <formula>$D$44="简单平均"</formula>
    </cfRule>
  </conditionalFormatting>
  <conditionalFormatting sqref="F9:F42 H9:H42 J9:J42">
    <cfRule type="cellIs" dxfId="1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1427</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1428</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106677.19平方米。根据《建设工程规划许可证》[]、《出让合同》[]，估价对象规划建筑面积为35000平方米。</v>
      </c>
    </row>
    <row r="7" spans="1:4" ht="87">
      <c r="A7" s="2353" t="s">
        <v>2029</v>
      </c>
    </row>
    <row r="8" spans="1:4" ht="17.399999999999999">
      <c r="A8" s="1582" t="s">
        <v>1429</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1543</v>
      </c>
    </row>
    <row r="11" spans="1:4" ht="17.399999999999999">
      <c r="A11" s="1568" t="str">
        <f>TEXT(项目基本情况!D3,"yyyy年m月d日;;")&amp;IF(项目基本情况!B3=项目基本情况!D3,"（评估专业人员勘察现场之日）","")</f>
        <v>2024年8月2日</v>
      </c>
    </row>
    <row r="12" spans="1:4" ht="17.399999999999999">
      <c r="A12" s="1585" t="s">
        <v>1542</v>
      </c>
    </row>
    <row r="13" spans="1:4" ht="17.399999999999999">
      <c r="A13" s="1579" t="s">
        <v>1588</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1589</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1590</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根据《国有土地使用证》[]，估价对象（分摊）出让国有建设用地使用权面积为106677.19平方米。根据《建设工程规划许可证》[]、《出让合同》[]，估价对象规划建筑面积为35000平方米。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1591</v>
      </c>
    </row>
    <row r="23" spans="1:1" ht="17.399999999999999">
      <c r="A23" s="2355" t="s">
        <v>2030</v>
      </c>
    </row>
    <row r="24" spans="1:1" ht="17.399999999999999">
      <c r="A24" s="1579" t="s">
        <v>1592</v>
      </c>
    </row>
    <row r="25" spans="1:1" ht="87">
      <c r="A25" s="1579" t="str">
        <f>定义!C53</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1544</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E22" sqref="E22"/>
    </sheetView>
  </sheetViews>
  <sheetFormatPr defaultColWidth="9" defaultRowHeight="14.4"/>
  <cols>
    <col min="1" max="1" width="5.77734375" style="4494" customWidth="1"/>
    <col min="2" max="2" width="47" style="4494" customWidth="1"/>
    <col min="3" max="3" width="9" style="4494"/>
    <col min="4" max="4" width="11" style="4494" customWidth="1"/>
    <col min="5" max="5" width="11.77734375" style="4494" customWidth="1"/>
    <col min="6" max="6" width="14.109375" style="4494" customWidth="1"/>
    <col min="7" max="7" width="14.21875" style="4494" customWidth="1"/>
    <col min="8" max="8" width="12.77734375" style="4494" bestFit="1" customWidth="1"/>
    <col min="9" max="9" width="11.109375" style="4494" bestFit="1" customWidth="1"/>
    <col min="10" max="11" width="10.44140625" style="4494" customWidth="1"/>
    <col min="12" max="16384" width="9" style="4485"/>
  </cols>
  <sheetData>
    <row r="1" spans="1:11" ht="14.25" customHeight="1">
      <c r="A1" s="4479" t="s">
        <v>3586</v>
      </c>
      <c r="B1" s="4479" t="s">
        <v>2145</v>
      </c>
      <c r="C1" s="4479" t="s">
        <v>3587</v>
      </c>
      <c r="D1" s="4480" t="s">
        <v>3588</v>
      </c>
      <c r="E1" s="4481"/>
      <c r="F1" s="4482" t="s">
        <v>3589</v>
      </c>
      <c r="G1" s="4483"/>
      <c r="H1" s="4484" t="s">
        <v>3590</v>
      </c>
      <c r="I1" s="4479" t="s">
        <v>3591</v>
      </c>
      <c r="J1" s="4480" t="s">
        <v>3592</v>
      </c>
      <c r="K1" s="4481"/>
    </row>
    <row r="2" spans="1:11" ht="69.75" customHeight="1">
      <c r="A2" s="4486"/>
      <c r="B2" s="4486"/>
      <c r="C2" s="4486"/>
      <c r="D2" s="4487" t="s">
        <v>3593</v>
      </c>
      <c r="E2" s="4487" t="s">
        <v>3594</v>
      </c>
      <c r="F2" s="4488" t="s">
        <v>3595</v>
      </c>
      <c r="G2" s="4488" t="s">
        <v>3596</v>
      </c>
      <c r="H2" s="4489"/>
      <c r="I2" s="4486"/>
      <c r="J2" s="4490" t="s">
        <v>3597</v>
      </c>
      <c r="K2" s="4490" t="s">
        <v>3598</v>
      </c>
    </row>
    <row r="3" spans="1:11">
      <c r="A3" s="4491">
        <v>1</v>
      </c>
      <c r="B3" s="4492" t="s">
        <v>3599</v>
      </c>
      <c r="C3" s="4491" t="s">
        <v>3600</v>
      </c>
      <c r="D3" s="4491">
        <v>180055.75</v>
      </c>
      <c r="E3" s="4491">
        <v>114154.36</v>
      </c>
      <c r="F3" s="4491">
        <v>59468.76</v>
      </c>
      <c r="G3" s="4491">
        <v>125573.86</v>
      </c>
      <c r="H3" s="4491">
        <v>45702.91</v>
      </c>
      <c r="I3" s="4493">
        <v>44435</v>
      </c>
      <c r="J3" s="4491">
        <f>ROUND((F3+G3)/D3*10000,0)</f>
        <v>10277</v>
      </c>
      <c r="K3" s="4491">
        <f>ROUND(J3*J20*J19*J18*J17*J16*J15*J14*J13,0)</f>
        <v>10810</v>
      </c>
    </row>
    <row r="4" spans="1:11">
      <c r="A4" s="4491">
        <v>2</v>
      </c>
      <c r="B4" s="4492" t="s">
        <v>3601</v>
      </c>
      <c r="C4" s="4491" t="s">
        <v>3600</v>
      </c>
      <c r="D4" s="4491">
        <v>187577</v>
      </c>
      <c r="E4" s="4491">
        <v>158604</v>
      </c>
      <c r="F4" s="4491">
        <v>42423.81</v>
      </c>
      <c r="G4" s="4491">
        <v>124048.85</v>
      </c>
      <c r="H4" s="4491">
        <v>39104.71</v>
      </c>
      <c r="I4" s="4493">
        <v>44704</v>
      </c>
      <c r="J4" s="4491">
        <f t="shared" ref="J4:J6" si="0">ROUND((F4+G4)/D4*10000,0)</f>
        <v>8875</v>
      </c>
      <c r="K4" s="4491">
        <f>ROUND(J4*J17*J16*J15*J14*J13,0)</f>
        <v>9126</v>
      </c>
    </row>
    <row r="5" spans="1:11">
      <c r="A5" s="4491">
        <v>3</v>
      </c>
      <c r="B5" s="4491" t="s">
        <v>3602</v>
      </c>
      <c r="C5" s="4491" t="s">
        <v>3603</v>
      </c>
      <c r="D5" s="4491">
        <v>485752.79</v>
      </c>
      <c r="E5" s="4492" t="s">
        <v>3604</v>
      </c>
      <c r="F5" s="4491">
        <v>76356.42</v>
      </c>
      <c r="G5" s="4491">
        <v>274068.84999999998</v>
      </c>
      <c r="H5" s="4491">
        <v>110586.31</v>
      </c>
      <c r="I5" s="4493">
        <v>43795</v>
      </c>
      <c r="J5" s="4491">
        <f t="shared" si="0"/>
        <v>7214</v>
      </c>
      <c r="K5" s="4491">
        <f>ROUND(J5*J27*J26*J25*J24*J23*J22*J21*J20*J19*J18*J17*J16*J15*J14*J13,0)</f>
        <v>8001</v>
      </c>
    </row>
    <row r="6" spans="1:11">
      <c r="A6" s="4491">
        <v>4</v>
      </c>
      <c r="B6" s="4492" t="s">
        <v>3605</v>
      </c>
      <c r="C6" s="4491" t="s">
        <v>3606</v>
      </c>
      <c r="D6" s="4491">
        <v>156502.60800000001</v>
      </c>
      <c r="E6" s="4491">
        <v>97812.236999999994</v>
      </c>
      <c r="F6" s="4491">
        <v>5325.24</v>
      </c>
      <c r="G6" s="4491">
        <v>121777.87</v>
      </c>
      <c r="H6" s="4491">
        <v>3604.32</v>
      </c>
      <c r="I6" s="4493">
        <v>45062</v>
      </c>
      <c r="J6" s="4491">
        <f t="shared" si="0"/>
        <v>8121</v>
      </c>
      <c r="K6" s="4491">
        <f>ROUND(J6*J13,0)</f>
        <v>8156</v>
      </c>
    </row>
    <row r="11" spans="1:11">
      <c r="H11" s="4495"/>
      <c r="I11" s="4495"/>
      <c r="J11" s="4495"/>
    </row>
    <row r="12" spans="1:11">
      <c r="H12" s="4496" t="s">
        <v>3607</v>
      </c>
      <c r="I12" s="4497">
        <v>0</v>
      </c>
      <c r="J12" s="4495"/>
    </row>
    <row r="13" spans="1:11">
      <c r="H13" s="4496" t="s">
        <v>3608</v>
      </c>
      <c r="I13" s="4497">
        <v>0.43</v>
      </c>
      <c r="J13" s="4495">
        <v>1.0043</v>
      </c>
    </row>
    <row r="14" spans="1:11">
      <c r="H14" s="4498" t="s">
        <v>3609</v>
      </c>
      <c r="I14" s="4499">
        <v>0.71</v>
      </c>
      <c r="J14" s="4495">
        <v>1.0071000000000001</v>
      </c>
    </row>
    <row r="15" spans="1:11">
      <c r="H15" s="4496" t="s">
        <v>3610</v>
      </c>
      <c r="I15" s="4500">
        <v>0.5</v>
      </c>
      <c r="J15" s="4495">
        <v>1.0049999999999999</v>
      </c>
    </row>
    <row r="16" spans="1:11">
      <c r="H16" s="4496" t="s">
        <v>3611</v>
      </c>
      <c r="I16" s="4500">
        <v>0.53</v>
      </c>
      <c r="J16" s="4495">
        <v>1.0053000000000001</v>
      </c>
    </row>
    <row r="17" spans="8:10">
      <c r="H17" s="4496" t="s">
        <v>3612</v>
      </c>
      <c r="I17" s="4500">
        <v>0.63</v>
      </c>
      <c r="J17" s="4495">
        <v>1.0063</v>
      </c>
    </row>
    <row r="18" spans="8:10">
      <c r="H18" s="4496" t="s">
        <v>3613</v>
      </c>
      <c r="I18" s="4500">
        <v>1.08</v>
      </c>
      <c r="J18" s="4495">
        <v>1.0107999999999999</v>
      </c>
    </row>
    <row r="19" spans="8:10">
      <c r="H19" s="4496" t="s">
        <v>3614</v>
      </c>
      <c r="I19" s="4500">
        <v>0.64</v>
      </c>
      <c r="J19" s="4495">
        <v>1.0064</v>
      </c>
    </row>
    <row r="20" spans="8:10">
      <c r="H20" s="4496" t="s">
        <v>3615</v>
      </c>
      <c r="I20" s="4500">
        <v>0.55000000000000004</v>
      </c>
      <c r="J20" s="4495">
        <v>1.0055000000000001</v>
      </c>
    </row>
    <row r="21" spans="8:10">
      <c r="H21" s="4496" t="s">
        <v>3460</v>
      </c>
      <c r="I21" s="4500">
        <v>0.48</v>
      </c>
      <c r="J21" s="4495">
        <v>1.0047999999999999</v>
      </c>
    </row>
    <row r="22" spans="8:10">
      <c r="H22" s="4496" t="s">
        <v>3462</v>
      </c>
      <c r="I22" s="4500">
        <v>1.01</v>
      </c>
      <c r="J22" s="4495">
        <v>1.0101</v>
      </c>
    </row>
    <row r="23" spans="8:10" ht="15" thickBot="1">
      <c r="H23" s="4501" t="s">
        <v>3464</v>
      </c>
      <c r="I23" s="4502">
        <v>0.36</v>
      </c>
      <c r="J23" s="4495">
        <v>1.0036</v>
      </c>
    </row>
    <row r="24" spans="8:10" ht="15" thickTop="1">
      <c r="H24" s="4503" t="s">
        <v>3616</v>
      </c>
      <c r="I24" s="4494">
        <v>2.69</v>
      </c>
      <c r="J24" s="4494">
        <f>I24/100+1</f>
        <v>1.0268999999999999</v>
      </c>
    </row>
    <row r="25" spans="8:10">
      <c r="H25" s="4503" t="s">
        <v>3617</v>
      </c>
      <c r="I25" s="4494">
        <v>7.0000000000000007E-2</v>
      </c>
      <c r="J25" s="4494">
        <f t="shared" ref="J25:J31" si="1">I25/100+1</f>
        <v>1.0006999999999999</v>
      </c>
    </row>
    <row r="26" spans="8:10">
      <c r="H26" s="4503" t="s">
        <v>3618</v>
      </c>
      <c r="I26" s="4494">
        <v>0.47</v>
      </c>
      <c r="J26" s="4494">
        <f t="shared" si="1"/>
        <v>1.0046999999999999</v>
      </c>
    </row>
    <row r="27" spans="8:10">
      <c r="H27" s="4503" t="s">
        <v>3619</v>
      </c>
      <c r="I27" s="4494">
        <v>0.27</v>
      </c>
      <c r="J27" s="4494">
        <f t="shared" si="1"/>
        <v>1.0026999999999999</v>
      </c>
    </row>
    <row r="28" spans="8:10">
      <c r="H28" s="4503" t="s">
        <v>3620</v>
      </c>
      <c r="I28" s="4494">
        <v>0.48</v>
      </c>
      <c r="J28" s="4494">
        <f t="shared" si="1"/>
        <v>1.0047999999999999</v>
      </c>
    </row>
    <row r="29" spans="8:10">
      <c r="H29" s="4503" t="s">
        <v>3621</v>
      </c>
      <c r="I29" s="4494">
        <v>1.03</v>
      </c>
      <c r="J29" s="4494">
        <f t="shared" si="1"/>
        <v>1.0103</v>
      </c>
    </row>
    <row r="30" spans="8:10">
      <c r="H30" s="4503" t="s">
        <v>3622</v>
      </c>
      <c r="I30" s="4494">
        <v>1.25</v>
      </c>
      <c r="J30" s="4494">
        <f t="shared" si="1"/>
        <v>1.0125</v>
      </c>
    </row>
    <row r="31" spans="8:10">
      <c r="H31" s="4503" t="s">
        <v>3623</v>
      </c>
      <c r="I31" s="4494">
        <v>1.1299999999999999</v>
      </c>
      <c r="J31" s="4494">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31" sqref="F31"/>
    </sheetView>
  </sheetViews>
  <sheetFormatPr defaultRowHeight="14.4"/>
  <sheetData/>
  <phoneticPr fontId="22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2231" t="s">
        <v>665</v>
      </c>
      <c r="C1" s="2232" t="s">
        <v>666</v>
      </c>
      <c r="D1" s="2233"/>
      <c r="E1" s="1850"/>
      <c r="F1" s="2287"/>
      <c r="G1" s="1410" t="s">
        <v>667</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668</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868" t="s">
        <v>471</v>
      </c>
      <c r="D4" s="3869"/>
      <c r="E4" s="3890" t="s">
        <v>472</v>
      </c>
      <c r="F4" s="3891"/>
      <c r="G4" s="3868" t="s">
        <v>473</v>
      </c>
      <c r="H4" s="3869"/>
      <c r="I4" s="3868" t="s">
        <v>474</v>
      </c>
      <c r="J4" s="3869"/>
      <c r="K4" s="818" t="s">
        <v>475</v>
      </c>
      <c r="L4" s="1856"/>
      <c r="M4" s="1857"/>
      <c r="N4" s="1857"/>
      <c r="O4" s="1857"/>
      <c r="P4" s="3870" t="s">
        <v>476</v>
      </c>
      <c r="Q4" s="3871"/>
      <c r="R4" s="3854" t="s">
        <v>472</v>
      </c>
      <c r="S4" s="3855"/>
      <c r="T4" s="3854" t="s">
        <v>473</v>
      </c>
      <c r="U4" s="3855"/>
      <c r="V4" s="3876" t="s">
        <v>474</v>
      </c>
      <c r="W4" s="3876"/>
      <c r="X4" s="1380"/>
      <c r="Y4" s="3854" t="s">
        <v>476</v>
      </c>
      <c r="Z4" s="3855"/>
      <c r="AA4" s="3849" t="s">
        <v>472</v>
      </c>
      <c r="AB4" s="3849" t="s">
        <v>473</v>
      </c>
      <c r="AC4" s="3849" t="s">
        <v>474</v>
      </c>
    </row>
    <row r="5" spans="1:29">
      <c r="A5" s="485"/>
      <c r="B5" s="486"/>
      <c r="C5" s="3879" t="s">
        <v>2191</v>
      </c>
      <c r="D5" s="3880"/>
      <c r="E5" s="3892" t="s">
        <v>2192</v>
      </c>
      <c r="F5" s="3893"/>
      <c r="G5" s="3879" t="s">
        <v>2193</v>
      </c>
      <c r="H5" s="3880"/>
      <c r="I5" s="3879" t="s">
        <v>2194</v>
      </c>
      <c r="J5" s="3880"/>
      <c r="K5" s="819"/>
      <c r="L5" s="1856"/>
      <c r="M5" s="1857"/>
      <c r="N5" s="1857"/>
      <c r="O5" s="1857"/>
      <c r="P5" s="3872"/>
      <c r="Q5" s="3873"/>
      <c r="R5" s="3856"/>
      <c r="S5" s="3857"/>
      <c r="T5" s="3856"/>
      <c r="U5" s="3857"/>
      <c r="V5" s="3876"/>
      <c r="W5" s="3876"/>
      <c r="X5" s="1380"/>
      <c r="Y5" s="3856"/>
      <c r="Z5" s="3857"/>
      <c r="AA5" s="3850"/>
      <c r="AB5" s="3850"/>
      <c r="AC5" s="3850"/>
    </row>
    <row r="6" spans="1:29" ht="15" thickBot="1">
      <c r="A6" s="487"/>
      <c r="B6" s="488"/>
      <c r="C6" s="3877" t="s">
        <v>2195</v>
      </c>
      <c r="D6" s="3878"/>
      <c r="E6" s="3894" t="s">
        <v>2195</v>
      </c>
      <c r="F6" s="3895"/>
      <c r="G6" s="3877" t="s">
        <v>2195</v>
      </c>
      <c r="H6" s="3878"/>
      <c r="I6" s="3877" t="s">
        <v>2195</v>
      </c>
      <c r="J6" s="3878"/>
      <c r="K6" s="819" t="s">
        <v>477</v>
      </c>
      <c r="L6" s="1856"/>
      <c r="M6" s="1857"/>
      <c r="N6" s="1857"/>
      <c r="O6" s="1857"/>
      <c r="P6" s="3874"/>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45506</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52" t="s">
        <v>479</v>
      </c>
      <c r="Q7" s="3861"/>
      <c r="R7" s="1381" t="s">
        <v>10</v>
      </c>
      <c r="S7" s="1382">
        <f t="shared" ref="S7:S15" si="0">F7</f>
        <v>0</v>
      </c>
      <c r="T7" s="1381" t="s">
        <v>10</v>
      </c>
      <c r="U7" s="1382">
        <f t="shared" ref="U7:U15" si="1">H7</f>
        <v>0</v>
      </c>
      <c r="V7" s="1381" t="s">
        <v>10</v>
      </c>
      <c r="W7" s="1382">
        <f t="shared" ref="W7:W15"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52" t="s">
        <v>482</v>
      </c>
      <c r="Q8" s="3853"/>
      <c r="R8" s="1381" t="s">
        <v>10</v>
      </c>
      <c r="S8" s="1382">
        <f t="shared" si="0"/>
        <v>0</v>
      </c>
      <c r="T8" s="1381" t="s">
        <v>10</v>
      </c>
      <c r="U8" s="1382">
        <f t="shared" si="1"/>
        <v>0</v>
      </c>
      <c r="V8" s="1381" t="s">
        <v>10</v>
      </c>
      <c r="W8" s="1382">
        <f t="shared" si="2"/>
        <v>0</v>
      </c>
      <c r="X8" s="1383"/>
      <c r="Y8" s="3852" t="s">
        <v>482</v>
      </c>
      <c r="Z8" s="3853"/>
      <c r="AA8" s="1384" t="e">
        <f t="shared" ref="AA8:AA46" si="3">D8/F8</f>
        <v>#DIV/0!</v>
      </c>
      <c r="AB8" s="1384" t="e">
        <f t="shared" ref="AB8:AB46" si="4">D8/H8</f>
        <v>#DIV/0!</v>
      </c>
      <c r="AC8" s="1384" t="e">
        <f t="shared" ref="AC8:AC46" si="5">D8/J8</f>
        <v>#DIV/0!</v>
      </c>
    </row>
    <row r="9" spans="1:29" s="1118" customFormat="1" ht="14.4">
      <c r="A9" s="2394"/>
      <c r="B9" s="2401" t="s">
        <v>2037</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0"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0"/>
      <c r="Q11" s="1050" t="str">
        <f t="shared" si="6"/>
        <v>容积率</v>
      </c>
      <c r="R11" s="1381" t="s">
        <v>8</v>
      </c>
      <c r="S11" s="1382" t="e">
        <f t="shared" si="0"/>
        <v>#N/A</v>
      </c>
      <c r="T11" s="1381" t="s">
        <v>8</v>
      </c>
      <c r="U11" s="1382" t="e">
        <f t="shared" si="1"/>
        <v>#N/A</v>
      </c>
      <c r="V11" s="1381" t="s">
        <v>8</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0"/>
      <c r="Q12" s="1050">
        <f t="shared" si="6"/>
        <v>111</v>
      </c>
      <c r="R12" s="1381" t="s">
        <v>8</v>
      </c>
      <c r="S12" s="1382">
        <f t="shared" si="0"/>
        <v>100</v>
      </c>
      <c r="T12" s="1381" t="s">
        <v>8</v>
      </c>
      <c r="U12" s="1382">
        <f t="shared" si="1"/>
        <v>100</v>
      </c>
      <c r="V12" s="1381" t="s">
        <v>8</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0"/>
      <c r="Q13" s="1050">
        <f t="shared" si="6"/>
        <v>111</v>
      </c>
      <c r="R13" s="1381" t="s">
        <v>8</v>
      </c>
      <c r="S13" s="1382">
        <f t="shared" si="0"/>
        <v>100</v>
      </c>
      <c r="T13" s="1381" t="s">
        <v>8</v>
      </c>
      <c r="U13" s="1382">
        <f t="shared" si="1"/>
        <v>100</v>
      </c>
      <c r="V13" s="1381" t="s">
        <v>8</v>
      </c>
      <c r="W13" s="1382">
        <f t="shared" si="2"/>
        <v>100</v>
      </c>
      <c r="X13" s="1383"/>
      <c r="Y13" s="3808"/>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0"/>
      <c r="Q14" s="1050">
        <f t="shared" si="6"/>
        <v>111</v>
      </c>
      <c r="R14" s="1381" t="s">
        <v>8</v>
      </c>
      <c r="S14" s="1382">
        <f t="shared" si="0"/>
        <v>100</v>
      </c>
      <c r="T14" s="1381" t="s">
        <v>8</v>
      </c>
      <c r="U14" s="1382">
        <f t="shared" si="1"/>
        <v>100</v>
      </c>
      <c r="V14" s="1381" t="s">
        <v>8</v>
      </c>
      <c r="W14" s="1382">
        <f t="shared" si="2"/>
        <v>100</v>
      </c>
      <c r="X14" s="1383"/>
      <c r="Y14" s="3808"/>
      <c r="Z14" s="1049">
        <f t="shared" si="7"/>
        <v>111</v>
      </c>
      <c r="AA14" s="1384">
        <f t="shared" si="3"/>
        <v>1</v>
      </c>
      <c r="AB14" s="1384">
        <f t="shared" si="4"/>
        <v>1</v>
      </c>
      <c r="AC14" s="1384">
        <f t="shared" si="5"/>
        <v>1</v>
      </c>
    </row>
    <row r="15" spans="1:29" ht="96.6">
      <c r="A15" s="2390" t="s">
        <v>2035</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62" t="s">
        <v>489</v>
      </c>
      <c r="Q15" s="1385" t="str">
        <f t="shared" si="6"/>
        <v>居住社区成熟度</v>
      </c>
      <c r="R15" s="1386" t="s">
        <v>8</v>
      </c>
      <c r="S15" s="1387">
        <f t="shared" si="0"/>
        <v>100</v>
      </c>
      <c r="T15" s="1386" t="s">
        <v>8</v>
      </c>
      <c r="U15" s="1387">
        <f t="shared" si="1"/>
        <v>100</v>
      </c>
      <c r="V15" s="1386" t="s">
        <v>8</v>
      </c>
      <c r="W15" s="1387">
        <f t="shared" si="2"/>
        <v>100</v>
      </c>
      <c r="X15" s="1380"/>
      <c r="Y15" s="386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63"/>
      <c r="Q16" s="1385"/>
      <c r="R16" s="1386"/>
      <c r="S16" s="1387"/>
      <c r="T16" s="1386"/>
      <c r="U16" s="1387"/>
      <c r="V16" s="1386"/>
      <c r="W16" s="1387"/>
      <c r="X16" s="1380"/>
      <c r="Y16" s="3863"/>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63"/>
      <c r="Q17" s="1385" t="str">
        <f>B17</f>
        <v>交通便捷度</v>
      </c>
      <c r="R17" s="1386" t="s">
        <v>8</v>
      </c>
      <c r="S17" s="1387">
        <f>F17</f>
        <v>100</v>
      </c>
      <c r="T17" s="1386" t="s">
        <v>8</v>
      </c>
      <c r="U17" s="1387">
        <f>H17</f>
        <v>100</v>
      </c>
      <c r="V17" s="1386" t="s">
        <v>8</v>
      </c>
      <c r="W17" s="1387">
        <f>J17</f>
        <v>100</v>
      </c>
      <c r="X17" s="1380"/>
      <c r="Y17" s="386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63"/>
      <c r="Q18" s="1385"/>
      <c r="R18" s="1386"/>
      <c r="S18" s="1387"/>
      <c r="T18" s="1386"/>
      <c r="U18" s="1387"/>
      <c r="V18" s="1386"/>
      <c r="W18" s="1387"/>
      <c r="X18" s="1380"/>
      <c r="Y18" s="3863"/>
      <c r="Z18" s="1388"/>
      <c r="AA18" s="1389">
        <v>1</v>
      </c>
      <c r="AB18" s="1389">
        <v>1</v>
      </c>
      <c r="AC18" s="1389">
        <v>1</v>
      </c>
    </row>
    <row r="19" spans="1:29" ht="41.4">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63"/>
      <c r="Q19" s="1385" t="str">
        <f>B19</f>
        <v>公共配套设施</v>
      </c>
      <c r="R19" s="1386" t="s">
        <v>8</v>
      </c>
      <c r="S19" s="1387">
        <f>F19</f>
        <v>100</v>
      </c>
      <c r="T19" s="1386" t="s">
        <v>8</v>
      </c>
      <c r="U19" s="1387">
        <f>H19</f>
        <v>100</v>
      </c>
      <c r="V19" s="1386" t="s">
        <v>8</v>
      </c>
      <c r="W19" s="1387">
        <f>J19</f>
        <v>100</v>
      </c>
      <c r="X19" s="1380"/>
      <c r="Y19" s="386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63"/>
      <c r="Q20" s="1385"/>
      <c r="R20" s="1386"/>
      <c r="S20" s="1387"/>
      <c r="T20" s="1386"/>
      <c r="U20" s="1387"/>
      <c r="V20" s="1386"/>
      <c r="W20" s="1387"/>
      <c r="X20" s="1380"/>
      <c r="Y20" s="3863"/>
      <c r="Z20" s="1388"/>
      <c r="AA20" s="1389">
        <v>1</v>
      </c>
      <c r="AB20" s="1389">
        <v>1</v>
      </c>
      <c r="AC20" s="1389">
        <v>1</v>
      </c>
    </row>
    <row r="21" spans="1:29" ht="27.6">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63"/>
      <c r="Q21" s="2193" t="str">
        <f>B21</f>
        <v>基础设施水平</v>
      </c>
      <c r="R21" s="1386" t="s">
        <v>8</v>
      </c>
      <c r="S21" s="1387">
        <f>F21</f>
        <v>100</v>
      </c>
      <c r="T21" s="1386" t="s">
        <v>8</v>
      </c>
      <c r="U21" s="1387">
        <f>H21</f>
        <v>100</v>
      </c>
      <c r="V21" s="1386" t="s">
        <v>8</v>
      </c>
      <c r="W21" s="1387">
        <f>J21</f>
        <v>100</v>
      </c>
      <c r="X21" s="2195"/>
      <c r="Y21" s="386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63"/>
      <c r="Q22" s="2193"/>
      <c r="R22" s="1386"/>
      <c r="S22" s="1387"/>
      <c r="T22" s="1386"/>
      <c r="U22" s="1387"/>
      <c r="V22" s="1386"/>
      <c r="W22" s="1387"/>
      <c r="X22" s="2195"/>
      <c r="Y22" s="3863"/>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63"/>
      <c r="Q23" s="1385" t="str">
        <f>B23</f>
        <v>自然及人文环境</v>
      </c>
      <c r="R23" s="1386" t="s">
        <v>8</v>
      </c>
      <c r="S23" s="1387">
        <f>F23</f>
        <v>100</v>
      </c>
      <c r="T23" s="1386" t="s">
        <v>8</v>
      </c>
      <c r="U23" s="1387">
        <f>H23</f>
        <v>100</v>
      </c>
      <c r="V23" s="1386" t="s">
        <v>8</v>
      </c>
      <c r="W23" s="1387">
        <f>J23</f>
        <v>100</v>
      </c>
      <c r="X23" s="1380"/>
      <c r="Y23" s="386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63"/>
      <c r="Q24" s="1385"/>
      <c r="R24" s="1386"/>
      <c r="S24" s="1387"/>
      <c r="T24" s="1386"/>
      <c r="U24" s="1387"/>
      <c r="V24" s="1386"/>
      <c r="W24" s="1387"/>
      <c r="X24" s="1380"/>
      <c r="Y24" s="3863"/>
      <c r="Z24" s="1388"/>
      <c r="AA24" s="1389">
        <v>1</v>
      </c>
      <c r="AB24" s="1389">
        <v>1</v>
      </c>
      <c r="AC24" s="1389">
        <v>1</v>
      </c>
    </row>
    <row r="25" spans="1:29" ht="15">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63"/>
      <c r="Q25" s="1385" t="str">
        <f t="shared" ref="Q25:Q46" si="8">B25</f>
        <v>楼层-1</v>
      </c>
      <c r="R25" s="1386" t="s">
        <v>8</v>
      </c>
      <c r="S25" s="1387">
        <f>F25</f>
        <v>100</v>
      </c>
      <c r="T25" s="1386" t="s">
        <v>8</v>
      </c>
      <c r="U25" s="1387">
        <f>H25</f>
        <v>100</v>
      </c>
      <c r="V25" s="1386" t="s">
        <v>8</v>
      </c>
      <c r="W25" s="1387">
        <f>J25</f>
        <v>100</v>
      </c>
      <c r="X25" s="1380"/>
      <c r="Y25" s="3863"/>
      <c r="Z25" s="1388" t="str">
        <f>Q25</f>
        <v>楼层-1</v>
      </c>
      <c r="AA25" s="1389">
        <f t="shared" si="3"/>
        <v>1</v>
      </c>
      <c r="AB25" s="1389">
        <f t="shared" si="4"/>
        <v>1</v>
      </c>
      <c r="AC25" s="1389">
        <f t="shared" si="5"/>
        <v>1</v>
      </c>
    </row>
    <row r="26" spans="1:29" ht="15">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63"/>
      <c r="Q26" s="1385" t="str">
        <f t="shared" si="8"/>
        <v>朝向</v>
      </c>
      <c r="R26" s="1386" t="s">
        <v>8</v>
      </c>
      <c r="S26" s="1387">
        <f>F26</f>
        <v>100</v>
      </c>
      <c r="T26" s="1386" t="s">
        <v>8</v>
      </c>
      <c r="U26" s="1387">
        <f>H26</f>
        <v>100</v>
      </c>
      <c r="V26" s="1386" t="s">
        <v>8</v>
      </c>
      <c r="W26" s="1387">
        <f>J26</f>
        <v>100</v>
      </c>
      <c r="X26" s="1380"/>
      <c r="Y26" s="3863"/>
      <c r="Z26" s="1388" t="str">
        <f>Q26</f>
        <v>朝向</v>
      </c>
      <c r="AA26" s="1389">
        <f t="shared" si="3"/>
        <v>1</v>
      </c>
      <c r="AB26" s="1389">
        <f t="shared" si="4"/>
        <v>1</v>
      </c>
      <c r="AC26" s="1389">
        <f t="shared" si="5"/>
        <v>1</v>
      </c>
    </row>
    <row r="27" spans="1:29" s="1118" customFormat="1" ht="15">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63"/>
      <c r="Q27" s="1050" t="str">
        <f t="shared" si="8"/>
        <v>道路级别</v>
      </c>
      <c r="R27" s="1381" t="s">
        <v>8</v>
      </c>
      <c r="S27" s="1382">
        <f>F27</f>
        <v>100</v>
      </c>
      <c r="T27" s="1381" t="s">
        <v>8</v>
      </c>
      <c r="U27" s="1382">
        <f>H27</f>
        <v>100</v>
      </c>
      <c r="V27" s="1381" t="s">
        <v>8</v>
      </c>
      <c r="W27" s="1382">
        <f>J27</f>
        <v>100</v>
      </c>
      <c r="X27" s="1383"/>
      <c r="Y27" s="386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63"/>
      <c r="Q28" s="1385">
        <f t="shared" si="8"/>
        <v>111</v>
      </c>
      <c r="R28" s="1386" t="s">
        <v>8</v>
      </c>
      <c r="S28" s="1387">
        <f t="shared" ref="S28:S46" si="9">F28</f>
        <v>100</v>
      </c>
      <c r="T28" s="1386" t="s">
        <v>8</v>
      </c>
      <c r="U28" s="1387">
        <f t="shared" ref="U28:U46" si="10">H28</f>
        <v>100</v>
      </c>
      <c r="V28" s="1386" t="s">
        <v>8</v>
      </c>
      <c r="W28" s="1387">
        <f t="shared" ref="W28:W46" si="11">J28</f>
        <v>100</v>
      </c>
      <c r="X28" s="1380"/>
      <c r="Y28" s="386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63"/>
      <c r="Q29" s="1385">
        <f t="shared" si="8"/>
        <v>111</v>
      </c>
      <c r="R29" s="1386" t="s">
        <v>8</v>
      </c>
      <c r="S29" s="1387">
        <f t="shared" si="9"/>
        <v>100</v>
      </c>
      <c r="T29" s="1386" t="s">
        <v>8</v>
      </c>
      <c r="U29" s="1387">
        <f t="shared" si="10"/>
        <v>100</v>
      </c>
      <c r="V29" s="1386" t="s">
        <v>8</v>
      </c>
      <c r="W29" s="1387">
        <f t="shared" si="11"/>
        <v>100</v>
      </c>
      <c r="X29" s="1380"/>
      <c r="Y29" s="386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63"/>
      <c r="Q30" s="1385">
        <f t="shared" si="8"/>
        <v>111</v>
      </c>
      <c r="R30" s="1386" t="s">
        <v>8</v>
      </c>
      <c r="S30" s="1387">
        <f t="shared" si="9"/>
        <v>100</v>
      </c>
      <c r="T30" s="1386" t="s">
        <v>8</v>
      </c>
      <c r="U30" s="1387">
        <f t="shared" si="10"/>
        <v>100</v>
      </c>
      <c r="V30" s="1386" t="s">
        <v>8</v>
      </c>
      <c r="W30" s="1387">
        <f t="shared" si="11"/>
        <v>100</v>
      </c>
      <c r="X30" s="1380"/>
      <c r="Y30" s="3863"/>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63"/>
      <c r="Q31" s="1385">
        <f t="shared" si="8"/>
        <v>111</v>
      </c>
      <c r="R31" s="1386" t="s">
        <v>8</v>
      </c>
      <c r="S31" s="1387">
        <f t="shared" si="9"/>
        <v>100</v>
      </c>
      <c r="T31" s="1386" t="s">
        <v>8</v>
      </c>
      <c r="U31" s="1387">
        <f t="shared" si="10"/>
        <v>100</v>
      </c>
      <c r="V31" s="1386" t="s">
        <v>8</v>
      </c>
      <c r="W31" s="1387">
        <f t="shared" si="11"/>
        <v>100</v>
      </c>
      <c r="X31" s="1380"/>
      <c r="Y31" s="3863"/>
      <c r="Z31" s="1388">
        <f t="shared" si="12"/>
        <v>111</v>
      </c>
      <c r="AA31" s="1389">
        <f t="shared" si="3"/>
        <v>1</v>
      </c>
      <c r="AB31" s="1389">
        <f t="shared" si="4"/>
        <v>1</v>
      </c>
      <c r="AC31" s="1389">
        <f t="shared" si="5"/>
        <v>1</v>
      </c>
    </row>
    <row r="32" spans="1:29" ht="15">
      <c r="A32" s="2387" t="s">
        <v>2036</v>
      </c>
      <c r="B32" s="165" t="s">
        <v>671</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64" t="s">
        <v>499</v>
      </c>
      <c r="Q32" s="1385" t="str">
        <f t="shared" si="8"/>
        <v>建筑类型</v>
      </c>
      <c r="R32" s="1386" t="s">
        <v>8</v>
      </c>
      <c r="S32" s="1387">
        <f t="shared" si="9"/>
        <v>100</v>
      </c>
      <c r="T32" s="1386" t="s">
        <v>8</v>
      </c>
      <c r="U32" s="1387">
        <f t="shared" si="10"/>
        <v>100</v>
      </c>
      <c r="V32" s="1386" t="s">
        <v>8</v>
      </c>
      <c r="W32" s="1387">
        <f t="shared" si="11"/>
        <v>100</v>
      </c>
      <c r="X32" s="1380"/>
      <c r="Y32" s="3865" t="s">
        <v>499</v>
      </c>
      <c r="Z32" s="1388" t="str">
        <f t="shared" si="12"/>
        <v>建筑类型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65"/>
      <c r="Q33" s="1414" t="str">
        <f t="shared" si="8"/>
        <v>项目建筑规模</v>
      </c>
      <c r="R33" s="1390" t="s">
        <v>8</v>
      </c>
      <c r="S33" s="1391" t="e">
        <f t="shared" si="9"/>
        <v>#N/A</v>
      </c>
      <c r="T33" s="1390" t="s">
        <v>8</v>
      </c>
      <c r="U33" s="1391" t="e">
        <f t="shared" si="10"/>
        <v>#N/A</v>
      </c>
      <c r="V33" s="1390" t="s">
        <v>8</v>
      </c>
      <c r="W33" s="1391" t="e">
        <f t="shared" si="11"/>
        <v>#N/A</v>
      </c>
      <c r="X33" s="1392"/>
      <c r="Y33" s="3865"/>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65"/>
      <c r="Q34" s="1385" t="str">
        <f t="shared" si="8"/>
        <v>建筑结构</v>
      </c>
      <c r="R34" s="1386" t="s">
        <v>8</v>
      </c>
      <c r="S34" s="1387">
        <f t="shared" si="9"/>
        <v>100</v>
      </c>
      <c r="T34" s="1386" t="s">
        <v>8</v>
      </c>
      <c r="U34" s="1387">
        <f t="shared" si="10"/>
        <v>100</v>
      </c>
      <c r="V34" s="1386" t="s">
        <v>8</v>
      </c>
      <c r="W34" s="1387">
        <f t="shared" si="11"/>
        <v>100</v>
      </c>
      <c r="X34" s="1380"/>
      <c r="Y34" s="3865"/>
      <c r="Z34" s="1388" t="str">
        <f t="shared" si="12"/>
        <v>建筑结构</v>
      </c>
      <c r="AA34" s="1389">
        <f t="shared" si="3"/>
        <v>1</v>
      </c>
      <c r="AB34" s="1389">
        <f t="shared" si="4"/>
        <v>1</v>
      </c>
      <c r="AC34" s="1389">
        <f t="shared" si="5"/>
        <v>1</v>
      </c>
    </row>
    <row r="35" spans="1:29" ht="15">
      <c r="A35" s="564"/>
      <c r="B35" s="497" t="s">
        <v>674</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65"/>
      <c r="Q35" s="1385" t="str">
        <f t="shared" si="8"/>
        <v>建筑品质</v>
      </c>
      <c r="R35" s="1386" t="s">
        <v>8</v>
      </c>
      <c r="S35" s="1387">
        <f t="shared" si="9"/>
        <v>100</v>
      </c>
      <c r="T35" s="1386" t="s">
        <v>8</v>
      </c>
      <c r="U35" s="1387">
        <f t="shared" si="10"/>
        <v>100</v>
      </c>
      <c r="V35" s="1386" t="s">
        <v>8</v>
      </c>
      <c r="W35" s="1387">
        <f t="shared" si="11"/>
        <v>100</v>
      </c>
      <c r="X35" s="1380"/>
      <c r="Y35" s="3865"/>
      <c r="Z35" s="1388" t="str">
        <f t="shared" si="12"/>
        <v>建筑品质</v>
      </c>
      <c r="AA35" s="1389">
        <f t="shared" si="3"/>
        <v>1</v>
      </c>
      <c r="AB35" s="1389">
        <f t="shared" si="4"/>
        <v>1</v>
      </c>
      <c r="AC35" s="1389">
        <f t="shared" si="5"/>
        <v>1</v>
      </c>
    </row>
    <row r="36" spans="1:29" ht="15">
      <c r="A36" s="564"/>
      <c r="B36" s="497" t="s">
        <v>675</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65"/>
      <c r="Q36" s="1385" t="str">
        <f t="shared" si="8"/>
        <v>公共部分装修</v>
      </c>
      <c r="R36" s="1386" t="s">
        <v>8</v>
      </c>
      <c r="S36" s="1387">
        <f t="shared" si="9"/>
        <v>100</v>
      </c>
      <c r="T36" s="1386" t="s">
        <v>8</v>
      </c>
      <c r="U36" s="1387">
        <f t="shared" si="10"/>
        <v>100</v>
      </c>
      <c r="V36" s="1386" t="s">
        <v>8</v>
      </c>
      <c r="W36" s="1387">
        <f t="shared" si="11"/>
        <v>100</v>
      </c>
      <c r="X36" s="1380"/>
      <c r="Y36" s="3865"/>
      <c r="Z36" s="1388" t="str">
        <f t="shared" si="12"/>
        <v>公共部分装修</v>
      </c>
      <c r="AA36" s="1389">
        <f t="shared" si="3"/>
        <v>1</v>
      </c>
      <c r="AB36" s="1389">
        <f t="shared" si="4"/>
        <v>1</v>
      </c>
      <c r="AC36" s="1389">
        <f t="shared" si="5"/>
        <v>1</v>
      </c>
    </row>
    <row r="37" spans="1:29" s="1118" customFormat="1" ht="15">
      <c r="A37" s="570"/>
      <c r="B37" s="497" t="s">
        <v>676</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65"/>
      <c r="Q37" s="1050" t="str">
        <f t="shared" si="8"/>
        <v>成新度</v>
      </c>
      <c r="R37" s="1381" t="s">
        <v>8</v>
      </c>
      <c r="S37" s="1382" t="e">
        <f t="shared" si="9"/>
        <v>#N/A</v>
      </c>
      <c r="T37" s="1381" t="s">
        <v>8</v>
      </c>
      <c r="U37" s="1382" t="e">
        <f t="shared" si="10"/>
        <v>#N/A</v>
      </c>
      <c r="V37" s="1381" t="s">
        <v>8</v>
      </c>
      <c r="W37" s="1382" t="e">
        <f t="shared" si="11"/>
        <v>#N/A</v>
      </c>
      <c r="X37" s="1383"/>
      <c r="Y37" s="3865"/>
      <c r="Z37" s="1049" t="str">
        <f t="shared" si="12"/>
        <v>成新度</v>
      </c>
      <c r="AA37" s="1384" t="e">
        <f t="shared" si="3"/>
        <v>#N/A</v>
      </c>
      <c r="AB37" s="1384" t="e">
        <f t="shared" si="4"/>
        <v>#N/A</v>
      </c>
      <c r="AC37" s="1384" t="e">
        <f t="shared" si="5"/>
        <v>#N/A</v>
      </c>
    </row>
    <row r="38" spans="1:29" ht="15">
      <c r="A38" s="564"/>
      <c r="B38" s="497" t="s">
        <v>677</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65" t="s">
        <v>499</v>
      </c>
      <c r="Q38" s="1385" t="str">
        <f t="shared" si="8"/>
        <v>物业管理</v>
      </c>
      <c r="R38" s="1386" t="s">
        <v>8</v>
      </c>
      <c r="S38" s="1387">
        <f t="shared" si="9"/>
        <v>100</v>
      </c>
      <c r="T38" s="1386" t="s">
        <v>8</v>
      </c>
      <c r="U38" s="1387">
        <f t="shared" si="10"/>
        <v>100</v>
      </c>
      <c r="V38" s="1386" t="s">
        <v>8</v>
      </c>
      <c r="W38" s="1387">
        <f t="shared" si="11"/>
        <v>100</v>
      </c>
      <c r="X38" s="1380"/>
      <c r="Y38" s="3865" t="s">
        <v>499</v>
      </c>
      <c r="Z38" s="1388" t="str">
        <f t="shared" si="12"/>
        <v>物业管理</v>
      </c>
      <c r="AA38" s="1389">
        <f t="shared" si="3"/>
        <v>1</v>
      </c>
      <c r="AB38" s="1389">
        <f t="shared" si="4"/>
        <v>1</v>
      </c>
      <c r="AC38" s="1389">
        <f t="shared" si="5"/>
        <v>1</v>
      </c>
    </row>
    <row r="39" spans="1:29" ht="15">
      <c r="A39" s="564"/>
      <c r="B39" s="1651"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65"/>
      <c r="Q39" s="1385" t="str">
        <f t="shared" si="8"/>
        <v>市政基础设施</v>
      </c>
      <c r="R39" s="1386" t="s">
        <v>8</v>
      </c>
      <c r="S39" s="1387">
        <f t="shared" si="9"/>
        <v>100</v>
      </c>
      <c r="T39" s="1386" t="s">
        <v>8</v>
      </c>
      <c r="U39" s="1387">
        <f t="shared" si="10"/>
        <v>100</v>
      </c>
      <c r="V39" s="1386" t="s">
        <v>8</v>
      </c>
      <c r="W39" s="1387">
        <f t="shared" si="11"/>
        <v>100</v>
      </c>
      <c r="X39" s="1380"/>
      <c r="Y39" s="3865"/>
      <c r="Z39" s="1388" t="str">
        <f t="shared" si="12"/>
        <v>市政基础设施</v>
      </c>
      <c r="AA39" s="1389">
        <f t="shared" si="3"/>
        <v>1</v>
      </c>
      <c r="AB39" s="1389">
        <f t="shared" si="4"/>
        <v>1</v>
      </c>
      <c r="AC39" s="1389">
        <f t="shared" si="5"/>
        <v>1</v>
      </c>
    </row>
    <row r="40" spans="1:29" ht="15">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65"/>
      <c r="Q40" s="1385" t="str">
        <f t="shared" si="8"/>
        <v>房型</v>
      </c>
      <c r="R40" s="1386" t="s">
        <v>8</v>
      </c>
      <c r="S40" s="1387">
        <f t="shared" si="9"/>
        <v>100</v>
      </c>
      <c r="T40" s="1386" t="s">
        <v>8</v>
      </c>
      <c r="U40" s="1387">
        <f t="shared" si="10"/>
        <v>100</v>
      </c>
      <c r="V40" s="1386" t="s">
        <v>8</v>
      </c>
      <c r="W40" s="1387">
        <f t="shared" si="11"/>
        <v>100</v>
      </c>
      <c r="X40" s="1380"/>
      <c r="Y40" s="3865"/>
      <c r="Z40" s="1388" t="str">
        <f t="shared" si="12"/>
        <v>房型</v>
      </c>
      <c r="AA40" s="1389">
        <f t="shared" si="3"/>
        <v>1</v>
      </c>
      <c r="AB40" s="1389">
        <f t="shared" si="4"/>
        <v>1</v>
      </c>
      <c r="AC40" s="1389">
        <f t="shared" si="5"/>
        <v>1</v>
      </c>
    </row>
    <row r="41" spans="1:29" s="1200" customFormat="1" ht="28.8">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65"/>
      <c r="Q41" s="1414" t="str">
        <f t="shared" si="8"/>
        <v>单套/主力户型建筑面积</v>
      </c>
      <c r="R41" s="1390" t="s">
        <v>8</v>
      </c>
      <c r="S41" s="1391">
        <f t="shared" si="9"/>
        <v>100</v>
      </c>
      <c r="T41" s="1390" t="s">
        <v>8</v>
      </c>
      <c r="U41" s="1391">
        <f t="shared" si="10"/>
        <v>100</v>
      </c>
      <c r="V41" s="1390" t="s">
        <v>8</v>
      </c>
      <c r="W41" s="1391">
        <f t="shared" si="11"/>
        <v>100</v>
      </c>
      <c r="X41" s="1392"/>
      <c r="Y41" s="3865"/>
      <c r="Z41" s="1393" t="str">
        <f t="shared" si="12"/>
        <v>单套/主力户型建筑面积</v>
      </c>
      <c r="AA41" s="1389">
        <f t="shared" si="3"/>
        <v>1</v>
      </c>
      <c r="AB41" s="1389">
        <f t="shared" si="4"/>
        <v>1</v>
      </c>
      <c r="AC41" s="1389">
        <f t="shared" si="5"/>
        <v>1</v>
      </c>
    </row>
    <row r="42" spans="1:29" ht="15">
      <c r="A42" s="564"/>
      <c r="B42" s="497" t="s">
        <v>680</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65"/>
      <c r="Q42" s="1385" t="str">
        <f t="shared" si="8"/>
        <v>内部装修</v>
      </c>
      <c r="R42" s="1386" t="s">
        <v>8</v>
      </c>
      <c r="S42" s="1387">
        <f t="shared" si="9"/>
        <v>100</v>
      </c>
      <c r="T42" s="1386" t="s">
        <v>8</v>
      </c>
      <c r="U42" s="1387">
        <f t="shared" si="10"/>
        <v>100</v>
      </c>
      <c r="V42" s="1386" t="s">
        <v>8</v>
      </c>
      <c r="W42" s="1387">
        <f t="shared" si="11"/>
        <v>100</v>
      </c>
      <c r="X42" s="1380"/>
      <c r="Y42" s="3865"/>
      <c r="Z42" s="1388" t="str">
        <f t="shared" si="12"/>
        <v>内部装修</v>
      </c>
      <c r="AA42" s="1389">
        <f t="shared" si="3"/>
        <v>1</v>
      </c>
      <c r="AB42" s="1389">
        <f t="shared" si="4"/>
        <v>1</v>
      </c>
      <c r="AC42" s="1389">
        <f t="shared" si="5"/>
        <v>1</v>
      </c>
    </row>
    <row r="43" spans="1:29" ht="28.8">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65"/>
      <c r="Q43" s="1385" t="str">
        <f t="shared" si="8"/>
        <v>内部装修维护情况</v>
      </c>
      <c r="R43" s="1386" t="s">
        <v>8</v>
      </c>
      <c r="S43" s="1387">
        <f t="shared" si="9"/>
        <v>100</v>
      </c>
      <c r="T43" s="1386" t="s">
        <v>8</v>
      </c>
      <c r="U43" s="1387">
        <f t="shared" si="10"/>
        <v>100</v>
      </c>
      <c r="V43" s="1386" t="s">
        <v>8</v>
      </c>
      <c r="W43" s="1387">
        <f t="shared" si="11"/>
        <v>100</v>
      </c>
      <c r="X43" s="1380"/>
      <c r="Y43" s="386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65"/>
      <c r="Q44" s="1050">
        <f t="shared" si="8"/>
        <v>111</v>
      </c>
      <c r="R44" s="1381" t="s">
        <v>8</v>
      </c>
      <c r="S44" s="1382">
        <f t="shared" si="9"/>
        <v>100</v>
      </c>
      <c r="T44" s="1381" t="s">
        <v>8</v>
      </c>
      <c r="U44" s="1382">
        <f t="shared" si="10"/>
        <v>100</v>
      </c>
      <c r="V44" s="1381" t="s">
        <v>8</v>
      </c>
      <c r="W44" s="1382">
        <f t="shared" si="11"/>
        <v>100</v>
      </c>
      <c r="X44" s="1383"/>
      <c r="Y44" s="386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65"/>
      <c r="Q45" s="1385">
        <f t="shared" si="8"/>
        <v>111</v>
      </c>
      <c r="R45" s="1386" t="s">
        <v>8</v>
      </c>
      <c r="S45" s="1387">
        <f t="shared" si="9"/>
        <v>100</v>
      </c>
      <c r="T45" s="1386" t="s">
        <v>8</v>
      </c>
      <c r="U45" s="1387">
        <f t="shared" si="10"/>
        <v>100</v>
      </c>
      <c r="V45" s="1386" t="s">
        <v>8</v>
      </c>
      <c r="W45" s="1387">
        <f t="shared" si="11"/>
        <v>100</v>
      </c>
      <c r="X45" s="1380"/>
      <c r="Y45" s="3865"/>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3"/>
      <c r="Q46" s="1385">
        <f t="shared" si="8"/>
        <v>111</v>
      </c>
      <c r="R46" s="1386" t="s">
        <v>7</v>
      </c>
      <c r="S46" s="1387">
        <f t="shared" si="9"/>
        <v>100</v>
      </c>
      <c r="T46" s="1386" t="s">
        <v>7</v>
      </c>
      <c r="U46" s="1387">
        <f t="shared" si="10"/>
        <v>100</v>
      </c>
      <c r="V46" s="1386" t="s">
        <v>7</v>
      </c>
      <c r="W46" s="1387">
        <f t="shared" si="11"/>
        <v>100</v>
      </c>
      <c r="X46" s="1380"/>
      <c r="Y46" s="3973"/>
      <c r="Z46" s="1388">
        <f t="shared" si="12"/>
        <v>111</v>
      </c>
      <c r="AA46" s="1389">
        <f t="shared" si="3"/>
        <v>1</v>
      </c>
      <c r="AB46" s="1389">
        <f t="shared" si="4"/>
        <v>1</v>
      </c>
      <c r="AC46" s="1389">
        <f t="shared" si="5"/>
        <v>1</v>
      </c>
    </row>
    <row r="47" spans="1:29" ht="14.4">
      <c r="A47" s="577" t="s">
        <v>682</v>
      </c>
      <c r="B47" s="850"/>
      <c r="C47" s="2234" t="s">
        <v>6</v>
      </c>
      <c r="D47" s="2235"/>
      <c r="E47" s="2236"/>
      <c r="F47" s="2237"/>
      <c r="G47" s="2238"/>
      <c r="H47" s="2239"/>
      <c r="I47" s="2236"/>
      <c r="J47" s="2239"/>
      <c r="K47" s="1415"/>
      <c r="L47" s="1867"/>
      <c r="M47" s="1868"/>
      <c r="N47" s="1857"/>
      <c r="O47" s="1868"/>
      <c r="P47" s="3860" t="str">
        <f>A47</f>
        <v>成交单价（元/平方米）</v>
      </c>
      <c r="Q47" s="3860"/>
      <c r="R47" s="3972">
        <f>E47</f>
        <v>0</v>
      </c>
      <c r="S47" s="3972"/>
      <c r="T47" s="3972">
        <f>G47</f>
        <v>0</v>
      </c>
      <c r="U47" s="3972"/>
      <c r="V47" s="3972">
        <f>I47</f>
        <v>0</v>
      </c>
      <c r="W47" s="3972"/>
      <c r="X47" s="1375"/>
      <c r="Y47" s="1394"/>
      <c r="Z47" s="1375"/>
      <c r="AA47" s="1375"/>
      <c r="AB47" s="1375"/>
      <c r="AC47" s="1375"/>
    </row>
    <row r="48" spans="1:29" ht="15" thickBot="1">
      <c r="A48" s="585" t="s">
        <v>2041</v>
      </c>
      <c r="B48" s="851"/>
      <c r="C48" s="2240" t="e">
        <f>R49</f>
        <v>#DIV/0!</v>
      </c>
      <c r="D48" s="2757" t="s">
        <v>2260</v>
      </c>
      <c r="E48" s="2241" t="e">
        <f>R48</f>
        <v>#DIV/0!</v>
      </c>
      <c r="F48" s="2758"/>
      <c r="G48" s="2240" t="e">
        <f>T48</f>
        <v>#DIV/0!</v>
      </c>
      <c r="H48" s="2758"/>
      <c r="I48" s="2241" t="e">
        <f>V48</f>
        <v>#DIV/0!</v>
      </c>
      <c r="J48" s="2758"/>
      <c r="K48" s="2766">
        <f>F48+H48+J48</f>
        <v>0</v>
      </c>
      <c r="L48" s="1867"/>
      <c r="M48" s="1868"/>
      <c r="N48" s="1868"/>
      <c r="O48" s="1868"/>
      <c r="P48" s="3860" t="str">
        <f>A48</f>
        <v>比较价格（元/平方米）</v>
      </c>
      <c r="Q48" s="3860"/>
      <c r="R48" s="3972" t="e">
        <f>IF(F1="售价",ROUND(PRODUCT(R47,AA7:AA46),0),ROUND(PRODUCT(R47,AA7:AA46),1))</f>
        <v>#DIV/0!</v>
      </c>
      <c r="S48" s="3972"/>
      <c r="T48" s="3972" t="e">
        <f>IF(F1="售价",ROUND(PRODUCT(T47,AB7:AB46),0),ROUND(PRODUCT(T47,AB7:AB46),1))</f>
        <v>#DIV/0!</v>
      </c>
      <c r="U48" s="3972"/>
      <c r="V48" s="3972" t="e">
        <f>IF(F1="售价",ROUND(PRODUCT(V47,AC7:AC46),0),ROUND(PRODUCT(V47,AC7:AC46),1))</f>
        <v>#DIV/0!</v>
      </c>
      <c r="W48" s="3972"/>
      <c r="X48" s="1375"/>
      <c r="Y48" s="1375"/>
      <c r="Z48" s="1375"/>
      <c r="AA48" s="1375"/>
      <c r="AB48" s="1375"/>
      <c r="AC48" s="1375"/>
    </row>
    <row r="49" spans="1:29" ht="15" thickBot="1">
      <c r="A49" s="589" t="s">
        <v>2197</v>
      </c>
      <c r="B49" s="590"/>
      <c r="C49" s="2242" t="e">
        <f>R49</f>
        <v>#DIV/0!</v>
      </c>
      <c r="D49" s="2242"/>
      <c r="E49" s="2242"/>
      <c r="F49" s="2242"/>
      <c r="G49" s="2242"/>
      <c r="H49" s="2242"/>
      <c r="I49" s="2242"/>
      <c r="J49" s="2242"/>
      <c r="K49" s="1416"/>
      <c r="L49" s="1867"/>
      <c r="M49" s="1868"/>
      <c r="N49" s="1868"/>
      <c r="O49" s="1868"/>
      <c r="P49" s="3866" t="str">
        <f>A49</f>
        <v>估价对象XX用房的比较价格（楼面单价，元/平方米）</v>
      </c>
      <c r="Q49" s="3867"/>
      <c r="R49" s="3971" t="e">
        <f>IF(F1="售价",ROUND(IF(D48="简单平均",AVERAGE(R48:V48),R48*F48+T48*H48+V48*J48),0),ROUND(IF(D48="简单平均",AVERAGE(R48:V48),R48*F48+T48*H48+V48*J48),1))</f>
        <v>#DIV/0!</v>
      </c>
      <c r="S49" s="3971"/>
      <c r="T49" s="3971"/>
      <c r="U49" s="3971"/>
      <c r="V49" s="3971"/>
      <c r="W49" s="397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2024-8</v>
      </c>
      <c r="D58" s="2284">
        <f>EDATE(C58,-1)</f>
        <v>45474</v>
      </c>
      <c r="E58" s="2284">
        <f t="shared" ref="E58:O58" si="13">EDATE(D58,-1)</f>
        <v>45444</v>
      </c>
      <c r="F58" s="2284">
        <f t="shared" si="13"/>
        <v>45413</v>
      </c>
      <c r="G58" s="2284">
        <f t="shared" si="13"/>
        <v>45383</v>
      </c>
      <c r="H58" s="2284">
        <f t="shared" si="13"/>
        <v>45352</v>
      </c>
      <c r="I58" s="2284">
        <f t="shared" si="13"/>
        <v>45323</v>
      </c>
      <c r="J58" s="2284">
        <f t="shared" si="13"/>
        <v>45292</v>
      </c>
      <c r="K58" s="2284">
        <f t="shared" si="13"/>
        <v>45261</v>
      </c>
      <c r="L58" s="2284">
        <f t="shared" si="13"/>
        <v>45231</v>
      </c>
      <c r="M58" s="2284">
        <f t="shared" si="13"/>
        <v>45200</v>
      </c>
      <c r="N58" s="2284">
        <f t="shared" si="13"/>
        <v>45170</v>
      </c>
      <c r="O58" s="2284">
        <f t="shared" si="13"/>
        <v>45139</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1839</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683</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685</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686</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689</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690</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1838</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693</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679</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695</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473" t="s">
        <v>696</v>
      </c>
      <c r="C1" s="474" t="s">
        <v>666</v>
      </c>
      <c r="D1" s="206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668</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868" t="s">
        <v>471</v>
      </c>
      <c r="D4" s="3869"/>
      <c r="E4" s="3890" t="s">
        <v>472</v>
      </c>
      <c r="F4" s="3891"/>
      <c r="G4" s="3868" t="s">
        <v>473</v>
      </c>
      <c r="H4" s="3869"/>
      <c r="I4" s="3868" t="s">
        <v>474</v>
      </c>
      <c r="J4" s="3869"/>
      <c r="K4" s="484" t="s">
        <v>475</v>
      </c>
      <c r="L4" s="1856"/>
      <c r="M4" s="1857"/>
      <c r="N4" s="1857"/>
      <c r="O4" s="1857"/>
      <c r="P4" s="3870" t="s">
        <v>476</v>
      </c>
      <c r="Q4" s="3871"/>
      <c r="R4" s="3854" t="s">
        <v>472</v>
      </c>
      <c r="S4" s="3855"/>
      <c r="T4" s="3854" t="s">
        <v>473</v>
      </c>
      <c r="U4" s="3855"/>
      <c r="V4" s="3876" t="s">
        <v>474</v>
      </c>
      <c r="W4" s="3876"/>
      <c r="X4" s="1380"/>
      <c r="Y4" s="3854" t="s">
        <v>476</v>
      </c>
      <c r="Z4" s="3855"/>
      <c r="AA4" s="3849" t="s">
        <v>472</v>
      </c>
      <c r="AB4" s="3876" t="s">
        <v>473</v>
      </c>
      <c r="AC4" s="3849" t="s">
        <v>474</v>
      </c>
    </row>
    <row r="5" spans="1:29">
      <c r="A5" s="485"/>
      <c r="B5" s="486"/>
      <c r="C5" s="3879" t="s">
        <v>2191</v>
      </c>
      <c r="D5" s="3880"/>
      <c r="E5" s="3892" t="s">
        <v>2192</v>
      </c>
      <c r="F5" s="3893"/>
      <c r="G5" s="3879" t="s">
        <v>2193</v>
      </c>
      <c r="H5" s="3880"/>
      <c r="I5" s="3879" t="s">
        <v>2194</v>
      </c>
      <c r="J5" s="3880"/>
      <c r="K5" s="484"/>
      <c r="L5" s="1856"/>
      <c r="M5" s="1857"/>
      <c r="N5" s="1857"/>
      <c r="O5" s="1857"/>
      <c r="P5" s="3872"/>
      <c r="Q5" s="3873"/>
      <c r="R5" s="3856"/>
      <c r="S5" s="3857"/>
      <c r="T5" s="3856"/>
      <c r="U5" s="3857"/>
      <c r="V5" s="3876"/>
      <c r="W5" s="3876"/>
      <c r="X5" s="1380"/>
      <c r="Y5" s="3856"/>
      <c r="Z5" s="3857"/>
      <c r="AA5" s="3850"/>
      <c r="AB5" s="3876"/>
      <c r="AC5" s="3850"/>
    </row>
    <row r="6" spans="1:29" ht="15" thickBot="1">
      <c r="A6" s="487"/>
      <c r="B6" s="488"/>
      <c r="C6" s="3877" t="s">
        <v>2195</v>
      </c>
      <c r="D6" s="3878"/>
      <c r="E6" s="3894" t="s">
        <v>2195</v>
      </c>
      <c r="F6" s="3895"/>
      <c r="G6" s="3877" t="s">
        <v>2195</v>
      </c>
      <c r="H6" s="3878"/>
      <c r="I6" s="3877" t="s">
        <v>2195</v>
      </c>
      <c r="J6" s="3878"/>
      <c r="K6" s="484" t="s">
        <v>477</v>
      </c>
      <c r="L6" s="1856"/>
      <c r="M6" s="1857"/>
      <c r="N6" s="1857"/>
      <c r="O6" s="1857"/>
      <c r="P6" s="3874"/>
      <c r="Q6" s="3875"/>
      <c r="R6" s="3856"/>
      <c r="S6" s="3857"/>
      <c r="T6" s="3858"/>
      <c r="U6" s="3859"/>
      <c r="V6" s="3876"/>
      <c r="W6" s="3876"/>
      <c r="X6" s="1380"/>
      <c r="Y6" s="3858"/>
      <c r="Z6" s="3859"/>
      <c r="AA6" s="3851"/>
      <c r="AB6" s="3876"/>
      <c r="AC6" s="3851"/>
    </row>
    <row r="7" spans="1:29" s="1118" customFormat="1" ht="15" thickBot="1">
      <c r="A7" s="2392"/>
      <c r="B7" s="2399" t="s">
        <v>478</v>
      </c>
      <c r="C7" s="489">
        <f>'数据-取费表'!B2</f>
        <v>45506</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52" t="s">
        <v>479</v>
      </c>
      <c r="Q7" s="3861"/>
      <c r="R7" s="1381" t="s">
        <v>5</v>
      </c>
      <c r="S7" s="1382">
        <f t="shared" ref="S7:S15" si="0">F7</f>
        <v>0</v>
      </c>
      <c r="T7" s="1381" t="s">
        <v>5</v>
      </c>
      <c r="U7" s="1382">
        <f t="shared" ref="U7:U15" si="1">H7</f>
        <v>0</v>
      </c>
      <c r="V7" s="1381" t="s">
        <v>5</v>
      </c>
      <c r="W7" s="1382">
        <f t="shared" ref="W7:W15"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52" t="s">
        <v>482</v>
      </c>
      <c r="Q8" s="3853"/>
      <c r="R8" s="1381" t="s">
        <v>5</v>
      </c>
      <c r="S8" s="1382">
        <f t="shared" si="0"/>
        <v>0</v>
      </c>
      <c r="T8" s="1381" t="s">
        <v>5</v>
      </c>
      <c r="U8" s="1382">
        <f t="shared" si="1"/>
        <v>0</v>
      </c>
      <c r="V8" s="1381" t="s">
        <v>5</v>
      </c>
      <c r="W8" s="1382">
        <f t="shared" si="2"/>
        <v>0</v>
      </c>
      <c r="X8" s="1383"/>
      <c r="Y8" s="3852" t="s">
        <v>482</v>
      </c>
      <c r="Z8" s="3853"/>
      <c r="AA8" s="1384" t="e">
        <f t="shared" ref="AA8:AA46" si="3">D8/F8</f>
        <v>#DIV/0!</v>
      </c>
      <c r="AB8" s="1384" t="e">
        <f t="shared" ref="AB8:AB46" si="4">D8/H8</f>
        <v>#DIV/0!</v>
      </c>
      <c r="AC8" s="1384" t="e">
        <f t="shared" ref="AC8:AC46" si="5">D8/J8</f>
        <v>#DIV/0!</v>
      </c>
    </row>
    <row r="9" spans="1:29" s="1118" customFormat="1" ht="14.4">
      <c r="A9" s="2394"/>
      <c r="B9" s="2401" t="s">
        <v>2037</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0"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0"/>
      <c r="Q11" s="1050" t="str">
        <f t="shared" si="6"/>
        <v>容积率</v>
      </c>
      <c r="R11" s="1381" t="s">
        <v>5</v>
      </c>
      <c r="S11" s="1382" t="e">
        <f t="shared" si="0"/>
        <v>#N/A</v>
      </c>
      <c r="T11" s="1381" t="s">
        <v>5</v>
      </c>
      <c r="U11" s="1382" t="e">
        <f t="shared" si="1"/>
        <v>#N/A</v>
      </c>
      <c r="V11" s="1381" t="s">
        <v>5</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0"/>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 t="shared" si="3"/>
        <v>1</v>
      </c>
      <c r="AB14" s="1384">
        <f t="shared" si="4"/>
        <v>1</v>
      </c>
      <c r="AC14" s="1384">
        <f t="shared" si="5"/>
        <v>1</v>
      </c>
    </row>
    <row r="15" spans="1:29" ht="82.8">
      <c r="A15" s="2390" t="s">
        <v>2035</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62" t="s">
        <v>489</v>
      </c>
      <c r="Q15" s="1385" t="str">
        <f t="shared" si="6"/>
        <v>商业繁华度</v>
      </c>
      <c r="R15" s="1386" t="s">
        <v>5</v>
      </c>
      <c r="S15" s="1387">
        <f t="shared" si="0"/>
        <v>100</v>
      </c>
      <c r="T15" s="1386" t="s">
        <v>5</v>
      </c>
      <c r="U15" s="1387">
        <f t="shared" si="1"/>
        <v>100</v>
      </c>
      <c r="V15" s="1386" t="s">
        <v>5</v>
      </c>
      <c r="W15" s="1387">
        <f t="shared" si="2"/>
        <v>100</v>
      </c>
      <c r="X15" s="1380"/>
      <c r="Y15" s="386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3"/>
      <c r="Q16" s="1385"/>
      <c r="R16" s="1386"/>
      <c r="S16" s="1387"/>
      <c r="T16" s="1386"/>
      <c r="U16" s="1387"/>
      <c r="V16" s="1386"/>
      <c r="W16" s="1387"/>
      <c r="X16" s="1380"/>
      <c r="Y16" s="3863"/>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63"/>
      <c r="Q17" s="1385" t="str">
        <f>B17</f>
        <v>交通便捷度</v>
      </c>
      <c r="R17" s="1386" t="s">
        <v>5</v>
      </c>
      <c r="S17" s="1387">
        <f>F17</f>
        <v>100</v>
      </c>
      <c r="T17" s="1386" t="s">
        <v>5</v>
      </c>
      <c r="U17" s="1387">
        <f>H17</f>
        <v>100</v>
      </c>
      <c r="V17" s="1386" t="s">
        <v>5</v>
      </c>
      <c r="W17" s="1387">
        <f>J17</f>
        <v>100</v>
      </c>
      <c r="X17" s="1380"/>
      <c r="Y17" s="386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3"/>
      <c r="Q18" s="1385"/>
      <c r="R18" s="1386"/>
      <c r="S18" s="1387"/>
      <c r="T18" s="1386"/>
      <c r="U18" s="1387"/>
      <c r="V18" s="1386"/>
      <c r="W18" s="1387"/>
      <c r="X18" s="1380"/>
      <c r="Y18" s="3863"/>
      <c r="Z18" s="1388"/>
      <c r="AA18" s="1389">
        <v>1</v>
      </c>
      <c r="AB18" s="1389">
        <v>1</v>
      </c>
      <c r="AC18" s="1389">
        <v>1</v>
      </c>
    </row>
    <row r="19" spans="1:29" ht="41.4">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63"/>
      <c r="Q19" s="1385" t="str">
        <f>B19</f>
        <v>公共配套设施</v>
      </c>
      <c r="R19" s="1386" t="s">
        <v>5</v>
      </c>
      <c r="S19" s="1387">
        <f>F19</f>
        <v>100</v>
      </c>
      <c r="T19" s="1386" t="s">
        <v>5</v>
      </c>
      <c r="U19" s="1387">
        <f>H19</f>
        <v>100</v>
      </c>
      <c r="V19" s="1386" t="s">
        <v>5</v>
      </c>
      <c r="W19" s="1387">
        <f>J19</f>
        <v>100</v>
      </c>
      <c r="X19" s="1380"/>
      <c r="Y19" s="386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63"/>
      <c r="Q20" s="1385"/>
      <c r="R20" s="1386"/>
      <c r="S20" s="1387"/>
      <c r="T20" s="1386"/>
      <c r="U20" s="1387"/>
      <c r="V20" s="1386"/>
      <c r="W20" s="1387"/>
      <c r="X20" s="1380"/>
      <c r="Y20" s="3863"/>
      <c r="Z20" s="1388"/>
      <c r="AA20" s="1389">
        <v>1</v>
      </c>
      <c r="AB20" s="1389">
        <v>1</v>
      </c>
      <c r="AC20" s="1389">
        <v>1</v>
      </c>
    </row>
    <row r="21" spans="1:29" ht="41.4">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63"/>
      <c r="Q21" s="2193" t="str">
        <f>B21</f>
        <v>基础设施水平</v>
      </c>
      <c r="R21" s="1386" t="s">
        <v>5</v>
      </c>
      <c r="S21" s="1387">
        <f>F21</f>
        <v>100</v>
      </c>
      <c r="T21" s="1386" t="s">
        <v>5</v>
      </c>
      <c r="U21" s="1387">
        <f>H21</f>
        <v>100</v>
      </c>
      <c r="V21" s="1386" t="s">
        <v>5</v>
      </c>
      <c r="W21" s="1387">
        <f>J21</f>
        <v>100</v>
      </c>
      <c r="X21" s="2195"/>
      <c r="Y21" s="386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63"/>
      <c r="Q22" s="2193"/>
      <c r="R22" s="1386"/>
      <c r="S22" s="1387"/>
      <c r="T22" s="1386"/>
      <c r="U22" s="1387"/>
      <c r="V22" s="1386"/>
      <c r="W22" s="1387"/>
      <c r="X22" s="2195"/>
      <c r="Y22" s="3863"/>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63"/>
      <c r="Q23" s="1385" t="str">
        <f>B23</f>
        <v>自然及人文环境</v>
      </c>
      <c r="R23" s="1386" t="s">
        <v>5</v>
      </c>
      <c r="S23" s="1387">
        <f>F23</f>
        <v>100</v>
      </c>
      <c r="T23" s="1386" t="s">
        <v>5</v>
      </c>
      <c r="U23" s="1387">
        <f>H23</f>
        <v>100</v>
      </c>
      <c r="V23" s="1386" t="s">
        <v>5</v>
      </c>
      <c r="W23" s="1387">
        <f>J23</f>
        <v>100</v>
      </c>
      <c r="X23" s="1380"/>
      <c r="Y23" s="386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63"/>
      <c r="Q24" s="1385"/>
      <c r="R24" s="1386"/>
      <c r="S24" s="1387"/>
      <c r="T24" s="1386"/>
      <c r="U24" s="1387"/>
      <c r="V24" s="1386"/>
      <c r="W24" s="1387"/>
      <c r="X24" s="1380"/>
      <c r="Y24" s="386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63"/>
      <c r="Q25" s="1385" t="str">
        <f t="shared" ref="Q25:Q46" si="8">B25</f>
        <v>临街状况</v>
      </c>
      <c r="R25" s="1386" t="s">
        <v>5</v>
      </c>
      <c r="S25" s="1387">
        <f>F25</f>
        <v>100</v>
      </c>
      <c r="T25" s="1386" t="s">
        <v>5</v>
      </c>
      <c r="U25" s="1387">
        <f>H25</f>
        <v>100</v>
      </c>
      <c r="V25" s="1386" t="s">
        <v>5</v>
      </c>
      <c r="W25" s="1387">
        <f>J25</f>
        <v>100</v>
      </c>
      <c r="X25" s="1380"/>
      <c r="Y25" s="3863"/>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63"/>
      <c r="Q26" s="1385" t="str">
        <f t="shared" si="8"/>
        <v>平面位置/可视性</v>
      </c>
      <c r="R26" s="1386" t="s">
        <v>5</v>
      </c>
      <c r="S26" s="1387">
        <f>F26</f>
        <v>100</v>
      </c>
      <c r="T26" s="1386" t="s">
        <v>5</v>
      </c>
      <c r="U26" s="1387">
        <f>H26</f>
        <v>100</v>
      </c>
      <c r="V26" s="1386" t="s">
        <v>5</v>
      </c>
      <c r="W26" s="1387">
        <f>J26</f>
        <v>100</v>
      </c>
      <c r="X26" s="1380"/>
      <c r="Y26" s="3863"/>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63"/>
      <c r="Q27" s="1050" t="str">
        <f t="shared" si="8"/>
        <v>人流量</v>
      </c>
      <c r="R27" s="1381" t="s">
        <v>5</v>
      </c>
      <c r="S27" s="1382">
        <f>F27</f>
        <v>100</v>
      </c>
      <c r="T27" s="1381" t="s">
        <v>5</v>
      </c>
      <c r="U27" s="1382">
        <f>H27</f>
        <v>100</v>
      </c>
      <c r="V27" s="1381" t="s">
        <v>5</v>
      </c>
      <c r="W27" s="1382">
        <f>J27</f>
        <v>100</v>
      </c>
      <c r="X27" s="1383"/>
      <c r="Y27" s="3863"/>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6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6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63"/>
      <c r="Q29" s="1385">
        <f t="shared" si="8"/>
        <v>111</v>
      </c>
      <c r="R29" s="1386" t="s">
        <v>5</v>
      </c>
      <c r="S29" s="1387">
        <f t="shared" si="9"/>
        <v>100</v>
      </c>
      <c r="T29" s="1386" t="s">
        <v>5</v>
      </c>
      <c r="U29" s="1387">
        <f t="shared" si="10"/>
        <v>100</v>
      </c>
      <c r="V29" s="1386" t="s">
        <v>5</v>
      </c>
      <c r="W29" s="1387">
        <f t="shared" si="11"/>
        <v>100</v>
      </c>
      <c r="X29" s="1380"/>
      <c r="Y29" s="386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63"/>
      <c r="Q30" s="1385">
        <f t="shared" si="8"/>
        <v>111</v>
      </c>
      <c r="R30" s="1386" t="s">
        <v>5</v>
      </c>
      <c r="S30" s="1387">
        <f t="shared" si="9"/>
        <v>100</v>
      </c>
      <c r="T30" s="1386" t="s">
        <v>5</v>
      </c>
      <c r="U30" s="1387">
        <f t="shared" si="10"/>
        <v>100</v>
      </c>
      <c r="V30" s="1386" t="s">
        <v>5</v>
      </c>
      <c r="W30" s="1387">
        <f t="shared" si="11"/>
        <v>100</v>
      </c>
      <c r="X30" s="1380"/>
      <c r="Y30" s="3863"/>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63"/>
      <c r="Q31" s="1385">
        <f t="shared" si="8"/>
        <v>111</v>
      </c>
      <c r="R31" s="1386" t="s">
        <v>5</v>
      </c>
      <c r="S31" s="1387">
        <f t="shared" si="9"/>
        <v>100</v>
      </c>
      <c r="T31" s="1386" t="s">
        <v>5</v>
      </c>
      <c r="U31" s="1387">
        <f t="shared" si="10"/>
        <v>100</v>
      </c>
      <c r="V31" s="1386" t="s">
        <v>5</v>
      </c>
      <c r="W31" s="1387">
        <f t="shared" si="11"/>
        <v>100</v>
      </c>
      <c r="X31" s="1380"/>
      <c r="Y31" s="3863"/>
      <c r="Z31" s="1388">
        <f t="shared" si="12"/>
        <v>111</v>
      </c>
      <c r="AA31" s="1389">
        <f t="shared" si="3"/>
        <v>1</v>
      </c>
      <c r="AB31" s="1389">
        <f t="shared" si="4"/>
        <v>1</v>
      </c>
      <c r="AC31" s="1389">
        <f t="shared" si="5"/>
        <v>1</v>
      </c>
    </row>
    <row r="32" spans="1:29" ht="15">
      <c r="A32" s="2387" t="s">
        <v>2036</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64" t="s">
        <v>499</v>
      </c>
      <c r="Q32" s="1385" t="str">
        <f t="shared" si="8"/>
        <v>商业类型</v>
      </c>
      <c r="R32" s="1386" t="s">
        <v>5</v>
      </c>
      <c r="S32" s="1387">
        <f t="shared" si="9"/>
        <v>100</v>
      </c>
      <c r="T32" s="1386" t="s">
        <v>5</v>
      </c>
      <c r="U32" s="1387">
        <f t="shared" si="10"/>
        <v>100</v>
      </c>
      <c r="V32" s="1386" t="s">
        <v>5</v>
      </c>
      <c r="W32" s="1387">
        <f t="shared" si="11"/>
        <v>100</v>
      </c>
      <c r="X32" s="1380"/>
      <c r="Y32" s="3865" t="s">
        <v>499</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65"/>
      <c r="Q33" s="1414" t="str">
        <f t="shared" si="8"/>
        <v>项目建筑规模</v>
      </c>
      <c r="R33" s="1390" t="s">
        <v>5</v>
      </c>
      <c r="S33" s="1391" t="e">
        <f t="shared" si="9"/>
        <v>#N/A</v>
      </c>
      <c r="T33" s="1390" t="s">
        <v>5</v>
      </c>
      <c r="U33" s="1391" t="e">
        <f t="shared" si="10"/>
        <v>#N/A</v>
      </c>
      <c r="V33" s="1390" t="s">
        <v>5</v>
      </c>
      <c r="W33" s="1391" t="e">
        <f t="shared" si="11"/>
        <v>#N/A</v>
      </c>
      <c r="X33" s="1392"/>
      <c r="Y33" s="3865"/>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65"/>
      <c r="Q34" s="1385" t="str">
        <f t="shared" si="8"/>
        <v>建筑结构</v>
      </c>
      <c r="R34" s="1386" t="s">
        <v>5</v>
      </c>
      <c r="S34" s="1387">
        <f t="shared" si="9"/>
        <v>100</v>
      </c>
      <c r="T34" s="1386" t="s">
        <v>5</v>
      </c>
      <c r="U34" s="1387">
        <f t="shared" si="10"/>
        <v>100</v>
      </c>
      <c r="V34" s="1386" t="s">
        <v>5</v>
      </c>
      <c r="W34" s="1387">
        <f t="shared" si="11"/>
        <v>100</v>
      </c>
      <c r="X34" s="1380"/>
      <c r="Y34" s="3865"/>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65"/>
      <c r="Q35" s="1385" t="str">
        <f t="shared" si="8"/>
        <v>公共部分装修</v>
      </c>
      <c r="R35" s="1386" t="s">
        <v>5</v>
      </c>
      <c r="S35" s="1387">
        <f t="shared" si="9"/>
        <v>100</v>
      </c>
      <c r="T35" s="1386" t="s">
        <v>5</v>
      </c>
      <c r="U35" s="1387">
        <f t="shared" si="10"/>
        <v>100</v>
      </c>
      <c r="V35" s="1386" t="s">
        <v>5</v>
      </c>
      <c r="W35" s="1387">
        <f t="shared" si="11"/>
        <v>100</v>
      </c>
      <c r="X35" s="1380"/>
      <c r="Y35" s="3865"/>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65"/>
      <c r="Q36" s="1385" t="str">
        <f t="shared" si="8"/>
        <v>成新度</v>
      </c>
      <c r="R36" s="1386" t="s">
        <v>5</v>
      </c>
      <c r="S36" s="1387" t="e">
        <f t="shared" si="9"/>
        <v>#N/A</v>
      </c>
      <c r="T36" s="1386" t="s">
        <v>5</v>
      </c>
      <c r="U36" s="1387" t="e">
        <f t="shared" si="10"/>
        <v>#N/A</v>
      </c>
      <c r="V36" s="1386" t="s">
        <v>5</v>
      </c>
      <c r="W36" s="1387" t="e">
        <f t="shared" si="11"/>
        <v>#N/A</v>
      </c>
      <c r="X36" s="1380"/>
      <c r="Y36" s="3865"/>
      <c r="Z36" s="1388" t="str">
        <f t="shared" si="12"/>
        <v>成新度</v>
      </c>
      <c r="AA36" s="1389" t="e">
        <f t="shared" si="3"/>
        <v>#N/A</v>
      </c>
      <c r="AB36" s="1389" t="e">
        <f t="shared" si="4"/>
        <v>#N/A</v>
      </c>
      <c r="AC36" s="1389" t="e">
        <f t="shared" si="5"/>
        <v>#N/A</v>
      </c>
    </row>
    <row r="37" spans="1:29" s="1118" customFormat="1" ht="15">
      <c r="A37" s="570"/>
      <c r="B37" s="1651"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65"/>
      <c r="Q37" s="1050" t="str">
        <f t="shared" si="8"/>
        <v>市政基础设施</v>
      </c>
      <c r="R37" s="1381" t="s">
        <v>5</v>
      </c>
      <c r="S37" s="1382">
        <f t="shared" si="9"/>
        <v>100</v>
      </c>
      <c r="T37" s="1381" t="s">
        <v>5</v>
      </c>
      <c r="U37" s="1382">
        <f t="shared" si="10"/>
        <v>100</v>
      </c>
      <c r="V37" s="1381" t="s">
        <v>5</v>
      </c>
      <c r="W37" s="1382">
        <f t="shared" si="11"/>
        <v>100</v>
      </c>
      <c r="X37" s="1383"/>
      <c r="Y37" s="3865"/>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65" t="s">
        <v>705</v>
      </c>
      <c r="Q38" s="1385" t="str">
        <f t="shared" si="8"/>
        <v>业态</v>
      </c>
      <c r="R38" s="1386" t="s">
        <v>5</v>
      </c>
      <c r="S38" s="1387">
        <f t="shared" si="9"/>
        <v>100</v>
      </c>
      <c r="T38" s="1386" t="s">
        <v>5</v>
      </c>
      <c r="U38" s="1387">
        <f t="shared" si="10"/>
        <v>100</v>
      </c>
      <c r="V38" s="1386" t="s">
        <v>5</v>
      </c>
      <c r="W38" s="1387">
        <f t="shared" si="11"/>
        <v>100</v>
      </c>
      <c r="X38" s="1380"/>
      <c r="Y38" s="3865"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65"/>
      <c r="Q39" s="1385" t="str">
        <f t="shared" si="8"/>
        <v>层高</v>
      </c>
      <c r="R39" s="1386" t="s">
        <v>5</v>
      </c>
      <c r="S39" s="1387">
        <f t="shared" si="9"/>
        <v>100</v>
      </c>
      <c r="T39" s="1386" t="s">
        <v>5</v>
      </c>
      <c r="U39" s="1387">
        <f t="shared" si="10"/>
        <v>100</v>
      </c>
      <c r="V39" s="1386" t="s">
        <v>5</v>
      </c>
      <c r="W39" s="1387">
        <f t="shared" si="11"/>
        <v>100</v>
      </c>
      <c r="X39" s="1380"/>
      <c r="Y39" s="3865"/>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65"/>
      <c r="Q40" s="1385" t="str">
        <f t="shared" si="8"/>
        <v>单套建筑面积</v>
      </c>
      <c r="R40" s="1386" t="s">
        <v>5</v>
      </c>
      <c r="S40" s="1387">
        <f t="shared" si="9"/>
        <v>100</v>
      </c>
      <c r="T40" s="1386" t="s">
        <v>5</v>
      </c>
      <c r="U40" s="1387">
        <f t="shared" si="10"/>
        <v>100</v>
      </c>
      <c r="V40" s="1386" t="s">
        <v>5</v>
      </c>
      <c r="W40" s="1387">
        <f t="shared" si="11"/>
        <v>100</v>
      </c>
      <c r="X40" s="1380"/>
      <c r="Y40" s="3865"/>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65"/>
      <c r="Q41" s="1414" t="str">
        <f t="shared" si="8"/>
        <v>进深比</v>
      </c>
      <c r="R41" s="1390" t="s">
        <v>5</v>
      </c>
      <c r="S41" s="1391">
        <f t="shared" si="9"/>
        <v>100</v>
      </c>
      <c r="T41" s="1390" t="s">
        <v>5</v>
      </c>
      <c r="U41" s="1391">
        <f t="shared" si="10"/>
        <v>100</v>
      </c>
      <c r="V41" s="1390" t="s">
        <v>5</v>
      </c>
      <c r="W41" s="1391">
        <f t="shared" si="11"/>
        <v>100</v>
      </c>
      <c r="X41" s="1392"/>
      <c r="Y41" s="3865"/>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65"/>
      <c r="Q42" s="1385" t="str">
        <f t="shared" si="8"/>
        <v>内部装修</v>
      </c>
      <c r="R42" s="1386" t="s">
        <v>5</v>
      </c>
      <c r="S42" s="1387">
        <f t="shared" si="9"/>
        <v>100</v>
      </c>
      <c r="T42" s="1386" t="s">
        <v>5</v>
      </c>
      <c r="U42" s="1387">
        <f t="shared" si="10"/>
        <v>100</v>
      </c>
      <c r="V42" s="1386" t="s">
        <v>5</v>
      </c>
      <c r="W42" s="1387">
        <f t="shared" si="11"/>
        <v>100</v>
      </c>
      <c r="X42" s="1380"/>
      <c r="Y42" s="3865"/>
      <c r="Z42" s="1388" t="str">
        <f t="shared" si="12"/>
        <v>内部装修</v>
      </c>
      <c r="AA42" s="1389">
        <f t="shared" si="3"/>
        <v>1</v>
      </c>
      <c r="AB42" s="1389">
        <f t="shared" si="4"/>
        <v>1</v>
      </c>
      <c r="AC42" s="1389">
        <f t="shared" si="5"/>
        <v>1</v>
      </c>
    </row>
    <row r="43" spans="1:29" ht="28.8">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65"/>
      <c r="Q43" s="1385" t="str">
        <f t="shared" si="8"/>
        <v>内部装修维护情况</v>
      </c>
      <c r="R43" s="1386" t="s">
        <v>5</v>
      </c>
      <c r="S43" s="1387">
        <f t="shared" si="9"/>
        <v>100</v>
      </c>
      <c r="T43" s="1386" t="s">
        <v>5</v>
      </c>
      <c r="U43" s="1387">
        <f t="shared" si="10"/>
        <v>100</v>
      </c>
      <c r="V43" s="1386" t="s">
        <v>5</v>
      </c>
      <c r="W43" s="1387">
        <f t="shared" si="11"/>
        <v>100</v>
      </c>
      <c r="X43" s="1380"/>
      <c r="Y43" s="386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65"/>
      <c r="Q44" s="1050">
        <f t="shared" si="8"/>
        <v>111</v>
      </c>
      <c r="R44" s="1381" t="s">
        <v>5</v>
      </c>
      <c r="S44" s="1382">
        <f t="shared" si="9"/>
        <v>100</v>
      </c>
      <c r="T44" s="1381" t="s">
        <v>5</v>
      </c>
      <c r="U44" s="1382">
        <f t="shared" si="10"/>
        <v>100</v>
      </c>
      <c r="V44" s="1381" t="s">
        <v>5</v>
      </c>
      <c r="W44" s="1382">
        <f t="shared" si="11"/>
        <v>100</v>
      </c>
      <c r="X44" s="1383"/>
      <c r="Y44" s="386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65"/>
      <c r="Q45" s="1385">
        <f t="shared" si="8"/>
        <v>111</v>
      </c>
      <c r="R45" s="1386" t="s">
        <v>5</v>
      </c>
      <c r="S45" s="1387">
        <f t="shared" si="9"/>
        <v>100</v>
      </c>
      <c r="T45" s="1386" t="s">
        <v>5</v>
      </c>
      <c r="U45" s="1387">
        <f t="shared" si="10"/>
        <v>100</v>
      </c>
      <c r="V45" s="1386" t="s">
        <v>5</v>
      </c>
      <c r="W45" s="1387">
        <f t="shared" si="11"/>
        <v>100</v>
      </c>
      <c r="X45" s="1380"/>
      <c r="Y45" s="3865"/>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3"/>
      <c r="Q46" s="1385">
        <f t="shared" si="8"/>
        <v>111</v>
      </c>
      <c r="R46" s="1386" t="s">
        <v>5</v>
      </c>
      <c r="S46" s="1387">
        <f t="shared" si="9"/>
        <v>100</v>
      </c>
      <c r="T46" s="1386" t="s">
        <v>5</v>
      </c>
      <c r="U46" s="1387">
        <f t="shared" si="10"/>
        <v>100</v>
      </c>
      <c r="V46" s="1386" t="s">
        <v>5</v>
      </c>
      <c r="W46" s="1387">
        <f t="shared" si="11"/>
        <v>100</v>
      </c>
      <c r="X46" s="1380"/>
      <c r="Y46" s="3973"/>
      <c r="Z46" s="1388">
        <f t="shared" si="12"/>
        <v>111</v>
      </c>
      <c r="AA46" s="1389">
        <f t="shared" si="3"/>
        <v>1</v>
      </c>
      <c r="AB46" s="1389">
        <f t="shared" si="4"/>
        <v>1</v>
      </c>
      <c r="AC46" s="1389">
        <f t="shared" si="5"/>
        <v>1</v>
      </c>
    </row>
    <row r="47" spans="1:29" ht="14.4">
      <c r="A47" s="577" t="s">
        <v>682</v>
      </c>
      <c r="B47" s="850"/>
      <c r="C47" s="2234" t="s">
        <v>0</v>
      </c>
      <c r="D47" s="2235"/>
      <c r="E47" s="2236"/>
      <c r="F47" s="2237"/>
      <c r="G47" s="2238"/>
      <c r="H47" s="2239"/>
      <c r="I47" s="2236"/>
      <c r="J47" s="2239"/>
      <c r="K47" s="1419"/>
      <c r="L47" s="1867"/>
      <c r="M47" s="1868"/>
      <c r="N47" s="1857"/>
      <c r="O47" s="1868"/>
      <c r="P47" s="3860" t="str">
        <f>A47</f>
        <v>成交单价（元/平方米）</v>
      </c>
      <c r="Q47" s="3860"/>
      <c r="R47" s="3972">
        <f>E47</f>
        <v>0</v>
      </c>
      <c r="S47" s="3972"/>
      <c r="T47" s="3972">
        <f>G47</f>
        <v>0</v>
      </c>
      <c r="U47" s="3972"/>
      <c r="V47" s="3972">
        <f>I47</f>
        <v>0</v>
      </c>
      <c r="W47" s="3972"/>
      <c r="X47" s="1375"/>
      <c r="Y47" s="1394"/>
      <c r="Z47" s="1375"/>
      <c r="AA47" s="1375"/>
      <c r="AB47" s="1375"/>
      <c r="AC47" s="1375"/>
    </row>
    <row r="48" spans="1:29" ht="15" thickBot="1">
      <c r="A48" s="585" t="s">
        <v>2041</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3860" t="str">
        <f>A48</f>
        <v>比较价格（元/平方米）</v>
      </c>
      <c r="Q48" s="3860"/>
      <c r="R48" s="3972" t="e">
        <f>IF(F1="售价",ROUND(PRODUCT(R47,AA7:AA46),0),ROUND(PRODUCT(R47,AA7:AA46),1))</f>
        <v>#DIV/0!</v>
      </c>
      <c r="S48" s="3972"/>
      <c r="T48" s="3972" t="e">
        <f>IF(F1="售价",ROUND(PRODUCT(T47,AB7:AB46),0),ROUND(PRODUCT(T47,AB7:AB46),1))</f>
        <v>#DIV/0!</v>
      </c>
      <c r="U48" s="3972"/>
      <c r="V48" s="3972" t="e">
        <f>IF(F1="售价",ROUND(PRODUCT(V47,AC7:AC46),0),ROUND(PRODUCT(V47,AC7:AC46),1))</f>
        <v>#DIV/0!</v>
      </c>
      <c r="W48" s="3972"/>
      <c r="X48" s="1375"/>
      <c r="Y48" s="1375"/>
      <c r="Z48" s="1375"/>
      <c r="AA48" s="1375"/>
      <c r="AB48" s="1375"/>
      <c r="AC48" s="1375"/>
    </row>
    <row r="49" spans="1:29" ht="15" thickBot="1">
      <c r="A49" s="589" t="s">
        <v>2197</v>
      </c>
      <c r="B49" s="590"/>
      <c r="C49" s="2242" t="e">
        <f>R49</f>
        <v>#DIV/0!</v>
      </c>
      <c r="D49" s="2242"/>
      <c r="E49" s="2242"/>
      <c r="F49" s="2242"/>
      <c r="G49" s="2242"/>
      <c r="H49" s="2242"/>
      <c r="I49" s="2242"/>
      <c r="J49" s="2242"/>
      <c r="K49" s="1420"/>
      <c r="L49" s="1867"/>
      <c r="M49" s="1868"/>
      <c r="N49" s="1857"/>
      <c r="O49" s="1868"/>
      <c r="P49" s="3866" t="str">
        <f>A49</f>
        <v>估价对象XX用房的比较价格（楼面单价，元/平方米）</v>
      </c>
      <c r="Q49" s="3867"/>
      <c r="R49" s="3971" t="e">
        <f>IF(F1="售价",ROUND(IF(D48="简单平均",AVERAGE(R48:V48),R48*F48+T48*H48+V48*J48),0),ROUND(IF(D48="简单平均",AVERAGE(R48:V48),R48*F48+T48*H48+V48*J48),1))</f>
        <v>#DIV/0!</v>
      </c>
      <c r="S49" s="3971"/>
      <c r="T49" s="3971"/>
      <c r="U49" s="3971"/>
      <c r="V49" s="3971"/>
      <c r="W49" s="397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2024-8</v>
      </c>
      <c r="D58" s="2284">
        <f>EDATE(C58,-1)</f>
        <v>45474</v>
      </c>
      <c r="E58" s="2284">
        <f t="shared" ref="E58:O58" si="13">EDATE(D58,-1)</f>
        <v>45444</v>
      </c>
      <c r="F58" s="2284">
        <f t="shared" si="13"/>
        <v>45413</v>
      </c>
      <c r="G58" s="2284">
        <f t="shared" si="13"/>
        <v>45383</v>
      </c>
      <c r="H58" s="2284">
        <f t="shared" si="13"/>
        <v>45352</v>
      </c>
      <c r="I58" s="2284">
        <f t="shared" si="13"/>
        <v>45323</v>
      </c>
      <c r="J58" s="2284">
        <f t="shared" si="13"/>
        <v>45292</v>
      </c>
      <c r="K58" s="2284">
        <f t="shared" si="13"/>
        <v>45261</v>
      </c>
      <c r="L58" s="2284">
        <f t="shared" si="13"/>
        <v>45231</v>
      </c>
      <c r="M58" s="2284">
        <f t="shared" si="13"/>
        <v>45200</v>
      </c>
      <c r="N58" s="2284">
        <f t="shared" si="13"/>
        <v>45170</v>
      </c>
      <c r="O58" s="2284">
        <f t="shared" si="13"/>
        <v>45139</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1839</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683</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710</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711</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1838</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713</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714</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715</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695</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473" t="s">
        <v>716</v>
      </c>
      <c r="C1" s="474" t="s">
        <v>666</v>
      </c>
      <c r="D1" s="814"/>
      <c r="E1" s="476"/>
      <c r="F1" s="2287"/>
      <c r="G1" s="1410" t="s">
        <v>667</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668</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868" t="s">
        <v>471</v>
      </c>
      <c r="D4" s="3869"/>
      <c r="E4" s="3890" t="s">
        <v>472</v>
      </c>
      <c r="F4" s="3891"/>
      <c r="G4" s="3868" t="s">
        <v>473</v>
      </c>
      <c r="H4" s="3869"/>
      <c r="I4" s="3868" t="s">
        <v>474</v>
      </c>
      <c r="J4" s="3869"/>
      <c r="K4" s="484" t="s">
        <v>475</v>
      </c>
      <c r="L4" s="1856"/>
      <c r="M4" s="1857"/>
      <c r="N4" s="1857"/>
      <c r="O4" s="1857"/>
      <c r="P4" s="3974" t="s">
        <v>476</v>
      </c>
      <c r="Q4" s="3871"/>
      <c r="R4" s="3854" t="s">
        <v>472</v>
      </c>
      <c r="S4" s="3855"/>
      <c r="T4" s="3854" t="s">
        <v>473</v>
      </c>
      <c r="U4" s="3855"/>
      <c r="V4" s="3876" t="s">
        <v>474</v>
      </c>
      <c r="W4" s="3876"/>
      <c r="X4" s="1380"/>
      <c r="Y4" s="3854" t="s">
        <v>476</v>
      </c>
      <c r="Z4" s="3855"/>
      <c r="AA4" s="3849" t="s">
        <v>472</v>
      </c>
      <c r="AB4" s="3849" t="s">
        <v>473</v>
      </c>
      <c r="AC4" s="3849" t="s">
        <v>474</v>
      </c>
    </row>
    <row r="5" spans="1:29">
      <c r="A5" s="485"/>
      <c r="B5" s="486"/>
      <c r="C5" s="3879" t="s">
        <v>2191</v>
      </c>
      <c r="D5" s="3880"/>
      <c r="E5" s="3892" t="s">
        <v>2192</v>
      </c>
      <c r="F5" s="3893"/>
      <c r="G5" s="3879" t="s">
        <v>2193</v>
      </c>
      <c r="H5" s="3880"/>
      <c r="I5" s="3879" t="s">
        <v>2194</v>
      </c>
      <c r="J5" s="3880"/>
      <c r="K5" s="484"/>
      <c r="L5" s="1856"/>
      <c r="M5" s="1857"/>
      <c r="N5" s="1857"/>
      <c r="O5" s="1857"/>
      <c r="P5" s="3975"/>
      <c r="Q5" s="3873"/>
      <c r="R5" s="3856"/>
      <c r="S5" s="3857"/>
      <c r="T5" s="3856"/>
      <c r="U5" s="3857"/>
      <c r="V5" s="3876"/>
      <c r="W5" s="3876"/>
      <c r="X5" s="1380"/>
      <c r="Y5" s="3856"/>
      <c r="Z5" s="3857"/>
      <c r="AA5" s="3850"/>
      <c r="AB5" s="3850"/>
      <c r="AC5" s="3850"/>
    </row>
    <row r="6" spans="1:29" ht="15" thickBot="1">
      <c r="A6" s="487"/>
      <c r="B6" s="488"/>
      <c r="C6" s="3877" t="s">
        <v>2195</v>
      </c>
      <c r="D6" s="3878"/>
      <c r="E6" s="3894" t="s">
        <v>2195</v>
      </c>
      <c r="F6" s="3895"/>
      <c r="G6" s="3877" t="s">
        <v>2195</v>
      </c>
      <c r="H6" s="3878"/>
      <c r="I6" s="3877" t="s">
        <v>2195</v>
      </c>
      <c r="J6" s="3878"/>
      <c r="K6" s="484" t="s">
        <v>477</v>
      </c>
      <c r="L6" s="1856"/>
      <c r="M6" s="1857"/>
      <c r="N6" s="1857"/>
      <c r="O6" s="1857"/>
      <c r="P6" s="3976"/>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45506</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1" t="s">
        <v>479</v>
      </c>
      <c r="Q7" s="3861"/>
      <c r="R7" s="1381" t="s">
        <v>5</v>
      </c>
      <c r="S7" s="1382">
        <f t="shared" ref="S7:S15" si="0">F7</f>
        <v>0</v>
      </c>
      <c r="T7" s="1381" t="s">
        <v>5</v>
      </c>
      <c r="U7" s="1382">
        <f t="shared" ref="U7:U15" si="1">H7</f>
        <v>0</v>
      </c>
      <c r="V7" s="1381" t="s">
        <v>5</v>
      </c>
      <c r="W7" s="1382">
        <f t="shared" ref="W7:W15"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1" t="s">
        <v>482</v>
      </c>
      <c r="Q8" s="3853"/>
      <c r="R8" s="1381" t="s">
        <v>5</v>
      </c>
      <c r="S8" s="1382">
        <f t="shared" si="0"/>
        <v>0</v>
      </c>
      <c r="T8" s="1381" t="s">
        <v>5</v>
      </c>
      <c r="U8" s="1382">
        <f t="shared" si="1"/>
        <v>0</v>
      </c>
      <c r="V8" s="1381" t="s">
        <v>5</v>
      </c>
      <c r="W8" s="1382">
        <f t="shared" si="2"/>
        <v>0</v>
      </c>
      <c r="X8" s="1383"/>
      <c r="Y8" s="3852" t="s">
        <v>482</v>
      </c>
      <c r="Z8" s="3853"/>
      <c r="AA8" s="1384" t="e">
        <f t="shared" ref="AA8:AA47" si="3">D8/F8</f>
        <v>#DIV/0!</v>
      </c>
      <c r="AB8" s="1384" t="e">
        <f t="shared" ref="AB8:AB47" si="4">D8/H8</f>
        <v>#DIV/0!</v>
      </c>
      <c r="AC8" s="1384" t="e">
        <f t="shared" ref="AC8:AC47" si="5">D8/J8</f>
        <v>#DIV/0!</v>
      </c>
    </row>
    <row r="9" spans="1:29" s="1118" customFormat="1" ht="14.4">
      <c r="A9" s="2394"/>
      <c r="B9" s="2401" t="s">
        <v>2037</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0"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0"/>
      <c r="Q11" s="1050" t="str">
        <f t="shared" si="6"/>
        <v>容积率</v>
      </c>
      <c r="R11" s="1381" t="s">
        <v>5</v>
      </c>
      <c r="S11" s="1382" t="e">
        <f t="shared" si="0"/>
        <v>#N/A</v>
      </c>
      <c r="T11" s="1381" t="s">
        <v>5</v>
      </c>
      <c r="U11" s="1382" t="e">
        <f t="shared" si="1"/>
        <v>#N/A</v>
      </c>
      <c r="V11" s="1381" t="s">
        <v>5</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0"/>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 t="shared" si="3"/>
        <v>1</v>
      </c>
      <c r="AB14" s="1384">
        <f t="shared" si="4"/>
        <v>1</v>
      </c>
      <c r="AC14" s="1384">
        <f t="shared" si="5"/>
        <v>1</v>
      </c>
    </row>
    <row r="15" spans="1:29" ht="82.8">
      <c r="A15" s="2390" t="s">
        <v>2035</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62" t="s">
        <v>489</v>
      </c>
      <c r="Q15" s="1385" t="str">
        <f t="shared" si="6"/>
        <v>办公集聚程度</v>
      </c>
      <c r="R15" s="1386" t="s">
        <v>5</v>
      </c>
      <c r="S15" s="1387">
        <f t="shared" si="0"/>
        <v>100</v>
      </c>
      <c r="T15" s="1386" t="s">
        <v>5</v>
      </c>
      <c r="U15" s="1387">
        <f t="shared" si="1"/>
        <v>100</v>
      </c>
      <c r="V15" s="1386" t="s">
        <v>5</v>
      </c>
      <c r="W15" s="1387">
        <f t="shared" si="2"/>
        <v>100</v>
      </c>
      <c r="X15" s="1380"/>
      <c r="Y15" s="386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63"/>
      <c r="Q16" s="1385"/>
      <c r="R16" s="1386"/>
      <c r="S16" s="1387"/>
      <c r="T16" s="1386"/>
      <c r="U16" s="1387"/>
      <c r="V16" s="1386"/>
      <c r="W16" s="1387"/>
      <c r="X16" s="1380"/>
      <c r="Y16" s="3863"/>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63"/>
      <c r="Q17" s="1385" t="str">
        <f>B17</f>
        <v>交通便捷度</v>
      </c>
      <c r="R17" s="1386" t="s">
        <v>5</v>
      </c>
      <c r="S17" s="1387">
        <f>F17</f>
        <v>100</v>
      </c>
      <c r="T17" s="1386" t="s">
        <v>5</v>
      </c>
      <c r="U17" s="1387">
        <f>H17</f>
        <v>100</v>
      </c>
      <c r="V17" s="1386" t="s">
        <v>5</v>
      </c>
      <c r="W17" s="1387">
        <f>J17</f>
        <v>100</v>
      </c>
      <c r="X17" s="1380"/>
      <c r="Y17" s="386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63"/>
      <c r="Q18" s="1385"/>
      <c r="R18" s="1386"/>
      <c r="S18" s="1387"/>
      <c r="T18" s="1386"/>
      <c r="U18" s="1387"/>
      <c r="V18" s="1386"/>
      <c r="W18" s="1387"/>
      <c r="X18" s="1380"/>
      <c r="Y18" s="3863"/>
      <c r="Z18" s="1388"/>
      <c r="AA18" s="1389">
        <v>1</v>
      </c>
      <c r="AB18" s="1389">
        <v>1</v>
      </c>
      <c r="AC18" s="1389">
        <v>1</v>
      </c>
    </row>
    <row r="19" spans="1:29" ht="41.4">
      <c r="A19" s="502"/>
      <c r="B19" s="2211"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63"/>
      <c r="Q19" s="1385" t="str">
        <f>B19</f>
        <v>公共配套设施</v>
      </c>
      <c r="R19" s="1386" t="s">
        <v>5</v>
      </c>
      <c r="S19" s="1387">
        <f>F19</f>
        <v>100</v>
      </c>
      <c r="T19" s="1386" t="s">
        <v>5</v>
      </c>
      <c r="U19" s="1387">
        <f>H19</f>
        <v>100</v>
      </c>
      <c r="V19" s="1386" t="s">
        <v>5</v>
      </c>
      <c r="W19" s="1387">
        <f>J19</f>
        <v>100</v>
      </c>
      <c r="X19" s="1380"/>
      <c r="Y19" s="386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63"/>
      <c r="Q20" s="1385"/>
      <c r="R20" s="1386"/>
      <c r="S20" s="1387"/>
      <c r="T20" s="1386"/>
      <c r="U20" s="1387"/>
      <c r="V20" s="1386"/>
      <c r="W20" s="1387"/>
      <c r="X20" s="1380"/>
      <c r="Y20" s="3863"/>
      <c r="Z20" s="1388"/>
      <c r="AA20" s="1389">
        <v>1</v>
      </c>
      <c r="AB20" s="1389">
        <v>1</v>
      </c>
      <c r="AC20" s="1389">
        <v>1</v>
      </c>
    </row>
    <row r="21" spans="1:29" ht="41.4">
      <c r="A21" s="502"/>
      <c r="B21" s="2199"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63"/>
      <c r="Q21" s="2193" t="str">
        <f>B21</f>
        <v>基础设施水平</v>
      </c>
      <c r="R21" s="1386" t="s">
        <v>5</v>
      </c>
      <c r="S21" s="1387">
        <f>F21</f>
        <v>100</v>
      </c>
      <c r="T21" s="1386" t="s">
        <v>5</v>
      </c>
      <c r="U21" s="1387">
        <f>H21</f>
        <v>100</v>
      </c>
      <c r="V21" s="1386" t="s">
        <v>5</v>
      </c>
      <c r="W21" s="1387">
        <f>J21</f>
        <v>100</v>
      </c>
      <c r="X21" s="2195"/>
      <c r="Y21" s="386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63"/>
      <c r="Q22" s="2193"/>
      <c r="R22" s="1386"/>
      <c r="S22" s="1387"/>
      <c r="T22" s="1386"/>
      <c r="U22" s="1387"/>
      <c r="V22" s="1386"/>
      <c r="W22" s="1387"/>
      <c r="X22" s="2195"/>
      <c r="Y22" s="3863"/>
      <c r="Z22" s="2194"/>
      <c r="AA22" s="1389">
        <v>1</v>
      </c>
      <c r="AB22" s="1389">
        <v>1</v>
      </c>
      <c r="AC22" s="1389">
        <v>1</v>
      </c>
    </row>
    <row r="23" spans="1:29" ht="55.2">
      <c r="A23" s="502"/>
      <c r="B23" s="530" t="s">
        <v>717</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63"/>
      <c r="Q23" s="1385" t="str">
        <f>B23</f>
        <v>环境质量</v>
      </c>
      <c r="R23" s="1386" t="s">
        <v>5</v>
      </c>
      <c r="S23" s="1387">
        <f>F23</f>
        <v>100</v>
      </c>
      <c r="T23" s="1386" t="s">
        <v>5</v>
      </c>
      <c r="U23" s="1387">
        <f>H23</f>
        <v>100</v>
      </c>
      <c r="V23" s="1386" t="s">
        <v>5</v>
      </c>
      <c r="W23" s="1387">
        <f>J23</f>
        <v>100</v>
      </c>
      <c r="X23" s="1380"/>
      <c r="Y23" s="386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63"/>
      <c r="Q24" s="1385"/>
      <c r="R24" s="1386"/>
      <c r="S24" s="1387"/>
      <c r="T24" s="1386"/>
      <c r="U24" s="1387"/>
      <c r="V24" s="1386"/>
      <c r="W24" s="1387"/>
      <c r="X24" s="1380"/>
      <c r="Y24" s="3863"/>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63"/>
      <c r="Q25" s="1385" t="str">
        <f>B25</f>
        <v>毗邻道路的类型与等级</v>
      </c>
      <c r="R25" s="1386" t="s">
        <v>5</v>
      </c>
      <c r="S25" s="1387">
        <f>F25</f>
        <v>100</v>
      </c>
      <c r="T25" s="1386" t="s">
        <v>5</v>
      </c>
      <c r="U25" s="1387">
        <f>H25</f>
        <v>100</v>
      </c>
      <c r="V25" s="1386" t="s">
        <v>5</v>
      </c>
      <c r="W25" s="1387">
        <f>J25</f>
        <v>100</v>
      </c>
      <c r="X25" s="1380"/>
      <c r="Y25" s="386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63"/>
      <c r="Q26" s="1385"/>
      <c r="R26" s="1386"/>
      <c r="S26" s="1387"/>
      <c r="T26" s="1386"/>
      <c r="U26" s="1387"/>
      <c r="V26" s="1386"/>
      <c r="W26" s="1387"/>
      <c r="X26" s="1380"/>
      <c r="Y26" s="3863"/>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63"/>
      <c r="Q27" s="1385" t="str">
        <f t="shared" ref="Q27:Q47" si="8">B27</f>
        <v>楼层</v>
      </c>
      <c r="R27" s="1386" t="s">
        <v>5</v>
      </c>
      <c r="S27" s="1387">
        <f>F27</f>
        <v>100</v>
      </c>
      <c r="T27" s="1386" t="s">
        <v>5</v>
      </c>
      <c r="U27" s="1387">
        <f>H27</f>
        <v>100</v>
      </c>
      <c r="V27" s="1386" t="s">
        <v>5</v>
      </c>
      <c r="W27" s="1387">
        <f>J27</f>
        <v>100</v>
      </c>
      <c r="X27" s="1380"/>
      <c r="Y27" s="3863"/>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63"/>
      <c r="Q28" s="1050" t="str">
        <f t="shared" si="8"/>
        <v>朝向</v>
      </c>
      <c r="R28" s="1381" t="s">
        <v>5</v>
      </c>
      <c r="S28" s="1382">
        <f>F28</f>
        <v>100</v>
      </c>
      <c r="T28" s="1381" t="s">
        <v>5</v>
      </c>
      <c r="U28" s="1382">
        <f>H28</f>
        <v>100</v>
      </c>
      <c r="V28" s="1381" t="s">
        <v>5</v>
      </c>
      <c r="W28" s="1382">
        <f>J28</f>
        <v>100</v>
      </c>
      <c r="X28" s="1383"/>
      <c r="Y28" s="386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63"/>
      <c r="Q29" s="1385">
        <f t="shared" si="8"/>
        <v>111</v>
      </c>
      <c r="R29" s="1386" t="s">
        <v>5</v>
      </c>
      <c r="S29" s="1387">
        <f t="shared" ref="S29:S47" si="9">F29</f>
        <v>100</v>
      </c>
      <c r="T29" s="1386" t="s">
        <v>5</v>
      </c>
      <c r="U29" s="1387">
        <f t="shared" ref="U29:U47" si="10">H29</f>
        <v>100</v>
      </c>
      <c r="V29" s="1386" t="s">
        <v>5</v>
      </c>
      <c r="W29" s="1387">
        <f t="shared" ref="W29:W47" si="11">J29</f>
        <v>100</v>
      </c>
      <c r="X29" s="1380"/>
      <c r="Y29" s="386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63"/>
      <c r="Q30" s="1385">
        <f t="shared" si="8"/>
        <v>111</v>
      </c>
      <c r="R30" s="1386" t="s">
        <v>5</v>
      </c>
      <c r="S30" s="1387">
        <f t="shared" si="9"/>
        <v>100</v>
      </c>
      <c r="T30" s="1386" t="s">
        <v>5</v>
      </c>
      <c r="U30" s="1387">
        <f t="shared" si="10"/>
        <v>100</v>
      </c>
      <c r="V30" s="1386" t="s">
        <v>5</v>
      </c>
      <c r="W30" s="1387">
        <f t="shared" si="11"/>
        <v>100</v>
      </c>
      <c r="X30" s="1380"/>
      <c r="Y30" s="386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63"/>
      <c r="Q31" s="1385">
        <f t="shared" si="8"/>
        <v>111</v>
      </c>
      <c r="R31" s="1386" t="s">
        <v>5</v>
      </c>
      <c r="S31" s="1387">
        <f t="shared" si="9"/>
        <v>100</v>
      </c>
      <c r="T31" s="1386" t="s">
        <v>5</v>
      </c>
      <c r="U31" s="1387">
        <f t="shared" si="10"/>
        <v>100</v>
      </c>
      <c r="V31" s="1386" t="s">
        <v>5</v>
      </c>
      <c r="W31" s="1387">
        <f t="shared" si="11"/>
        <v>100</v>
      </c>
      <c r="X31" s="1380"/>
      <c r="Y31" s="3863"/>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63"/>
      <c r="Q32" s="1385">
        <f t="shared" si="8"/>
        <v>111</v>
      </c>
      <c r="R32" s="1386" t="s">
        <v>5</v>
      </c>
      <c r="S32" s="1387">
        <f t="shared" si="9"/>
        <v>100</v>
      </c>
      <c r="T32" s="1386" t="s">
        <v>5</v>
      </c>
      <c r="U32" s="1387">
        <f t="shared" si="10"/>
        <v>100</v>
      </c>
      <c r="V32" s="1386" t="s">
        <v>5</v>
      </c>
      <c r="W32" s="1387">
        <f t="shared" si="11"/>
        <v>100</v>
      </c>
      <c r="X32" s="1380"/>
      <c r="Y32" s="3863"/>
      <c r="Z32" s="1388">
        <f t="shared" si="12"/>
        <v>111</v>
      </c>
      <c r="AA32" s="1389">
        <f t="shared" si="3"/>
        <v>1</v>
      </c>
      <c r="AB32" s="1389">
        <f t="shared" si="4"/>
        <v>1</v>
      </c>
      <c r="AC32" s="1389">
        <f t="shared" si="5"/>
        <v>1</v>
      </c>
    </row>
    <row r="33" spans="1:29" ht="15">
      <c r="A33" s="2387" t="s">
        <v>2036</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64" t="s">
        <v>499</v>
      </c>
      <c r="Q33" s="1385" t="str">
        <f t="shared" si="8"/>
        <v>建筑类型</v>
      </c>
      <c r="R33" s="1386" t="s">
        <v>5</v>
      </c>
      <c r="S33" s="1387">
        <f t="shared" si="9"/>
        <v>100</v>
      </c>
      <c r="T33" s="1386" t="s">
        <v>5</v>
      </c>
      <c r="U33" s="1387">
        <f t="shared" si="10"/>
        <v>100</v>
      </c>
      <c r="V33" s="1386" t="s">
        <v>5</v>
      </c>
      <c r="W33" s="1387">
        <f t="shared" si="11"/>
        <v>100</v>
      </c>
      <c r="X33" s="1380"/>
      <c r="Y33" s="3865" t="s">
        <v>499</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65"/>
      <c r="Q34" s="1414" t="str">
        <f t="shared" si="8"/>
        <v>项目建筑规模</v>
      </c>
      <c r="R34" s="1390" t="s">
        <v>5</v>
      </c>
      <c r="S34" s="1391" t="e">
        <f t="shared" si="9"/>
        <v>#N/A</v>
      </c>
      <c r="T34" s="1390" t="s">
        <v>5</v>
      </c>
      <c r="U34" s="1391" t="e">
        <f t="shared" si="10"/>
        <v>#N/A</v>
      </c>
      <c r="V34" s="1390" t="s">
        <v>5</v>
      </c>
      <c r="W34" s="1391" t="e">
        <f t="shared" si="11"/>
        <v>#N/A</v>
      </c>
      <c r="X34" s="1392"/>
      <c r="Y34" s="3865"/>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65"/>
      <c r="Q35" s="1385" t="str">
        <f t="shared" si="8"/>
        <v>建筑结构</v>
      </c>
      <c r="R35" s="1386" t="s">
        <v>5</v>
      </c>
      <c r="S35" s="1387">
        <f t="shared" si="9"/>
        <v>100</v>
      </c>
      <c r="T35" s="1386" t="s">
        <v>5</v>
      </c>
      <c r="U35" s="1387">
        <f t="shared" si="10"/>
        <v>100</v>
      </c>
      <c r="V35" s="1386" t="s">
        <v>5</v>
      </c>
      <c r="W35" s="1387">
        <f t="shared" si="11"/>
        <v>100</v>
      </c>
      <c r="X35" s="1380"/>
      <c r="Y35" s="3865"/>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65"/>
      <c r="Q36" s="1385" t="str">
        <f t="shared" si="8"/>
        <v>公共部分装修</v>
      </c>
      <c r="R36" s="1386" t="s">
        <v>5</v>
      </c>
      <c r="S36" s="1387">
        <f t="shared" si="9"/>
        <v>100</v>
      </c>
      <c r="T36" s="1386" t="s">
        <v>5</v>
      </c>
      <c r="U36" s="1387">
        <f t="shared" si="10"/>
        <v>100</v>
      </c>
      <c r="V36" s="1386" t="s">
        <v>5</v>
      </c>
      <c r="W36" s="1387">
        <f t="shared" si="11"/>
        <v>100</v>
      </c>
      <c r="X36" s="1380"/>
      <c r="Y36" s="3865"/>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65"/>
      <c r="Q37" s="1385" t="str">
        <f t="shared" si="8"/>
        <v>成新度</v>
      </c>
      <c r="R37" s="1386" t="s">
        <v>5</v>
      </c>
      <c r="S37" s="1387" t="e">
        <f t="shared" si="9"/>
        <v>#N/A</v>
      </c>
      <c r="T37" s="1386" t="s">
        <v>5</v>
      </c>
      <c r="U37" s="1387" t="e">
        <f t="shared" si="10"/>
        <v>#N/A</v>
      </c>
      <c r="V37" s="1386" t="s">
        <v>5</v>
      </c>
      <c r="W37" s="1387" t="e">
        <f t="shared" si="11"/>
        <v>#N/A</v>
      </c>
      <c r="X37" s="1380"/>
      <c r="Y37" s="3865"/>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65"/>
      <c r="Q38" s="1050" t="str">
        <f t="shared" si="8"/>
        <v>写字楼等级</v>
      </c>
      <c r="R38" s="1381" t="s">
        <v>5</v>
      </c>
      <c r="S38" s="1382">
        <f t="shared" si="9"/>
        <v>100</v>
      </c>
      <c r="T38" s="1381" t="s">
        <v>5</v>
      </c>
      <c r="U38" s="1382">
        <f t="shared" si="10"/>
        <v>100</v>
      </c>
      <c r="V38" s="1381" t="s">
        <v>5</v>
      </c>
      <c r="W38" s="1382">
        <f t="shared" si="11"/>
        <v>100</v>
      </c>
      <c r="X38" s="1383"/>
      <c r="Y38" s="3865"/>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65" t="s">
        <v>499</v>
      </c>
      <c r="Q39" s="1385" t="str">
        <f t="shared" si="8"/>
        <v>物业管理</v>
      </c>
      <c r="R39" s="1386" t="s">
        <v>5</v>
      </c>
      <c r="S39" s="1387">
        <f t="shared" si="9"/>
        <v>100</v>
      </c>
      <c r="T39" s="1386" t="s">
        <v>5</v>
      </c>
      <c r="U39" s="1387">
        <f t="shared" si="10"/>
        <v>100</v>
      </c>
      <c r="V39" s="1386" t="s">
        <v>5</v>
      </c>
      <c r="W39" s="1387">
        <f t="shared" si="11"/>
        <v>100</v>
      </c>
      <c r="X39" s="1380"/>
      <c r="Y39" s="3865" t="s">
        <v>499</v>
      </c>
      <c r="Z39" s="1388" t="str">
        <f t="shared" si="12"/>
        <v>物业管理</v>
      </c>
      <c r="AA39" s="1389">
        <f t="shared" si="3"/>
        <v>1</v>
      </c>
      <c r="AB39" s="1389">
        <f t="shared" si="4"/>
        <v>1</v>
      </c>
      <c r="AC39" s="1389">
        <f t="shared" si="5"/>
        <v>1</v>
      </c>
    </row>
    <row r="40" spans="1:29" ht="15">
      <c r="A40" s="564"/>
      <c r="B40" s="1651"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65"/>
      <c r="Q40" s="1385" t="str">
        <f t="shared" si="8"/>
        <v>市政基础设施</v>
      </c>
      <c r="R40" s="1386" t="s">
        <v>5</v>
      </c>
      <c r="S40" s="1387">
        <f t="shared" si="9"/>
        <v>100</v>
      </c>
      <c r="T40" s="1386" t="s">
        <v>5</v>
      </c>
      <c r="U40" s="1387">
        <f t="shared" si="10"/>
        <v>100</v>
      </c>
      <c r="V40" s="1386" t="s">
        <v>5</v>
      </c>
      <c r="W40" s="1387">
        <f t="shared" si="11"/>
        <v>100</v>
      </c>
      <c r="X40" s="1380"/>
      <c r="Y40" s="3865"/>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65"/>
      <c r="Q41" s="1385" t="str">
        <f t="shared" si="8"/>
        <v>层高</v>
      </c>
      <c r="R41" s="1386" t="s">
        <v>5</v>
      </c>
      <c r="S41" s="1387">
        <f t="shared" si="9"/>
        <v>100</v>
      </c>
      <c r="T41" s="1386" t="s">
        <v>5</v>
      </c>
      <c r="U41" s="1387">
        <f t="shared" si="10"/>
        <v>100</v>
      </c>
      <c r="V41" s="1386" t="s">
        <v>5</v>
      </c>
      <c r="W41" s="1387">
        <f t="shared" si="11"/>
        <v>100</v>
      </c>
      <c r="X41" s="1380"/>
      <c r="Y41" s="3865"/>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65"/>
      <c r="Q42" s="1414" t="str">
        <f t="shared" si="8"/>
        <v>单套建筑面积</v>
      </c>
      <c r="R42" s="1390" t="s">
        <v>5</v>
      </c>
      <c r="S42" s="1391">
        <f t="shared" si="9"/>
        <v>100</v>
      </c>
      <c r="T42" s="1390" t="s">
        <v>5</v>
      </c>
      <c r="U42" s="1391">
        <f t="shared" si="10"/>
        <v>100</v>
      </c>
      <c r="V42" s="1390" t="s">
        <v>5</v>
      </c>
      <c r="W42" s="1391">
        <f t="shared" si="11"/>
        <v>100</v>
      </c>
      <c r="X42" s="1392"/>
      <c r="Y42" s="3865"/>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65"/>
      <c r="Q43" s="1385" t="str">
        <f t="shared" si="8"/>
        <v>内部装修</v>
      </c>
      <c r="R43" s="1386" t="s">
        <v>5</v>
      </c>
      <c r="S43" s="1387">
        <f t="shared" si="9"/>
        <v>100</v>
      </c>
      <c r="T43" s="1386" t="s">
        <v>5</v>
      </c>
      <c r="U43" s="1387">
        <f t="shared" si="10"/>
        <v>100</v>
      </c>
      <c r="V43" s="1386" t="s">
        <v>5</v>
      </c>
      <c r="W43" s="1387">
        <f t="shared" si="11"/>
        <v>100</v>
      </c>
      <c r="X43" s="1380"/>
      <c r="Y43" s="3865"/>
      <c r="Z43" s="1388" t="str">
        <f t="shared" si="12"/>
        <v>内部装修</v>
      </c>
      <c r="AA43" s="1389">
        <f t="shared" si="3"/>
        <v>1</v>
      </c>
      <c r="AB43" s="1389">
        <f t="shared" si="4"/>
        <v>1</v>
      </c>
      <c r="AC43" s="1389">
        <f t="shared" si="5"/>
        <v>1</v>
      </c>
    </row>
    <row r="44" spans="1:29" ht="28.8">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65"/>
      <c r="Q44" s="1385" t="str">
        <f t="shared" si="8"/>
        <v>内部装修维护情况</v>
      </c>
      <c r="R44" s="1386" t="s">
        <v>5</v>
      </c>
      <c r="S44" s="1387">
        <f t="shared" si="9"/>
        <v>100</v>
      </c>
      <c r="T44" s="1386" t="s">
        <v>5</v>
      </c>
      <c r="U44" s="1387">
        <f t="shared" si="10"/>
        <v>100</v>
      </c>
      <c r="V44" s="1386" t="s">
        <v>5</v>
      </c>
      <c r="W44" s="1387">
        <f t="shared" si="11"/>
        <v>100</v>
      </c>
      <c r="X44" s="1380"/>
      <c r="Y44" s="386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65"/>
      <c r="Q45" s="1050">
        <f t="shared" si="8"/>
        <v>111</v>
      </c>
      <c r="R45" s="1381" t="s">
        <v>5</v>
      </c>
      <c r="S45" s="1382">
        <f t="shared" si="9"/>
        <v>100</v>
      </c>
      <c r="T45" s="1381" t="s">
        <v>5</v>
      </c>
      <c r="U45" s="1382">
        <f t="shared" si="10"/>
        <v>100</v>
      </c>
      <c r="V45" s="1381" t="s">
        <v>5</v>
      </c>
      <c r="W45" s="1382">
        <f t="shared" si="11"/>
        <v>100</v>
      </c>
      <c r="X45" s="1383"/>
      <c r="Y45" s="386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65"/>
      <c r="Q46" s="1385">
        <f t="shared" si="8"/>
        <v>111</v>
      </c>
      <c r="R46" s="1386" t="s">
        <v>5</v>
      </c>
      <c r="S46" s="1387">
        <f t="shared" si="9"/>
        <v>100</v>
      </c>
      <c r="T46" s="1386" t="s">
        <v>5</v>
      </c>
      <c r="U46" s="1387">
        <f t="shared" si="10"/>
        <v>100</v>
      </c>
      <c r="V46" s="1386" t="s">
        <v>5</v>
      </c>
      <c r="W46" s="1387">
        <f t="shared" si="11"/>
        <v>100</v>
      </c>
      <c r="X46" s="1380"/>
      <c r="Y46" s="3865"/>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3"/>
      <c r="Q47" s="1385">
        <f t="shared" si="8"/>
        <v>111</v>
      </c>
      <c r="R47" s="1386" t="s">
        <v>5</v>
      </c>
      <c r="S47" s="1387">
        <f t="shared" si="9"/>
        <v>100</v>
      </c>
      <c r="T47" s="1386" t="s">
        <v>5</v>
      </c>
      <c r="U47" s="1387">
        <f t="shared" si="10"/>
        <v>100</v>
      </c>
      <c r="V47" s="1386" t="s">
        <v>5</v>
      </c>
      <c r="W47" s="1387">
        <f t="shared" si="11"/>
        <v>100</v>
      </c>
      <c r="X47" s="1380"/>
      <c r="Y47" s="3973"/>
      <c r="Z47" s="1388">
        <f t="shared" si="12"/>
        <v>111</v>
      </c>
      <c r="AA47" s="1389">
        <f t="shared" si="3"/>
        <v>1</v>
      </c>
      <c r="AB47" s="1389">
        <f t="shared" si="4"/>
        <v>1</v>
      </c>
      <c r="AC47" s="1389">
        <f t="shared" si="5"/>
        <v>1</v>
      </c>
    </row>
    <row r="48" spans="1:29" ht="14.4">
      <c r="A48" s="577" t="s">
        <v>682</v>
      </c>
      <c r="B48" s="850"/>
      <c r="C48" s="2234" t="s">
        <v>0</v>
      </c>
      <c r="D48" s="2235"/>
      <c r="E48" s="2236"/>
      <c r="F48" s="2237"/>
      <c r="G48" s="2238"/>
      <c r="H48" s="2239"/>
      <c r="I48" s="2236"/>
      <c r="J48" s="2239"/>
      <c r="K48" s="1419"/>
      <c r="L48" s="1867"/>
      <c r="M48" s="1857"/>
      <c r="N48" s="1857"/>
      <c r="O48" s="1857"/>
      <c r="P48" s="3867" t="str">
        <f>A48</f>
        <v>成交单价（元/平方米）</v>
      </c>
      <c r="Q48" s="3860"/>
      <c r="R48" s="3972">
        <f>E48</f>
        <v>0</v>
      </c>
      <c r="S48" s="3972"/>
      <c r="T48" s="3972">
        <f>G48</f>
        <v>0</v>
      </c>
      <c r="U48" s="3972"/>
      <c r="V48" s="3972">
        <f>I48</f>
        <v>0</v>
      </c>
      <c r="W48" s="3972"/>
      <c r="X48" s="1375"/>
      <c r="Y48" s="1394"/>
      <c r="Z48" s="1375"/>
      <c r="AA48" s="1375"/>
      <c r="AB48" s="1375"/>
      <c r="AC48" s="1375"/>
    </row>
    <row r="49" spans="1:29" ht="15" thickBot="1">
      <c r="A49" s="585" t="s">
        <v>2041</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3867" t="str">
        <f>A49</f>
        <v>比较价格（元/平方米）</v>
      </c>
      <c r="Q49" s="3860"/>
      <c r="R49" s="3972" t="e">
        <f>IF(F1="售价",ROUND(PRODUCT(R48,AA7:AA47),0),ROUND(PRODUCT(R48,AA7:AA47),1))</f>
        <v>#DIV/0!</v>
      </c>
      <c r="S49" s="3972"/>
      <c r="T49" s="3972" t="e">
        <f>IF(F1="售价",ROUND(PRODUCT(T48,AB7:AB47),0),ROUND(PRODUCT(T48,AB7:AB47),1))</f>
        <v>#DIV/0!</v>
      </c>
      <c r="U49" s="3972"/>
      <c r="V49" s="3972" t="e">
        <f>IF(F1="售价",ROUND(PRODUCT(V48,AC7:AC47),0),ROUND(PRODUCT(V48,AC7:AC47),1))</f>
        <v>#DIV/0!</v>
      </c>
      <c r="W49" s="3972"/>
      <c r="X49" s="1375"/>
      <c r="Y49" s="1375"/>
      <c r="Z49" s="1375"/>
      <c r="AA49" s="1375"/>
      <c r="AB49" s="1375"/>
      <c r="AC49" s="1375"/>
    </row>
    <row r="50" spans="1:29" ht="15" thickBot="1">
      <c r="A50" s="589" t="s">
        <v>2197</v>
      </c>
      <c r="B50" s="590"/>
      <c r="C50" s="2242" t="e">
        <f>R50</f>
        <v>#DIV/0!</v>
      </c>
      <c r="D50" s="2242"/>
      <c r="E50" s="2242"/>
      <c r="F50" s="2242"/>
      <c r="G50" s="2242"/>
      <c r="H50" s="2242"/>
      <c r="I50" s="2242"/>
      <c r="J50" s="2242"/>
      <c r="K50" s="1420"/>
      <c r="L50" s="1867"/>
      <c r="M50" s="1857"/>
      <c r="N50" s="1857"/>
      <c r="O50" s="1857"/>
      <c r="P50" s="3977" t="str">
        <f>A50</f>
        <v>估价对象XX用房的比较价格（楼面单价，元/平方米）</v>
      </c>
      <c r="Q50" s="3867"/>
      <c r="R50" s="3971" t="e">
        <f>IF(F1="售价",ROUND(IF(D49="简单平均",AVERAGE(R49:V49),R49*F49+T49*H49+V49*J49),0),ROUND(IF(D49="简单平均",AVERAGE(R49:V49),R49*F49+T49*H49+V49*J49),1))</f>
        <v>#DIV/0!</v>
      </c>
      <c r="S50" s="3971"/>
      <c r="T50" s="3971"/>
      <c r="U50" s="3971"/>
      <c r="V50" s="3971"/>
      <c r="W50" s="397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2024-8</v>
      </c>
      <c r="D59" s="2284">
        <f>EDATE(C59,-1)</f>
        <v>45474</v>
      </c>
      <c r="E59" s="2284">
        <f t="shared" ref="E59:O59" si="13">EDATE(D59,-1)</f>
        <v>45444</v>
      </c>
      <c r="F59" s="2284">
        <f t="shared" si="13"/>
        <v>45413</v>
      </c>
      <c r="G59" s="2284">
        <f t="shared" si="13"/>
        <v>45383</v>
      </c>
      <c r="H59" s="2284">
        <f t="shared" si="13"/>
        <v>45352</v>
      </c>
      <c r="I59" s="2284">
        <f t="shared" si="13"/>
        <v>45323</v>
      </c>
      <c r="J59" s="2284">
        <f t="shared" si="13"/>
        <v>45292</v>
      </c>
      <c r="K59" s="2284">
        <f t="shared" si="13"/>
        <v>45261</v>
      </c>
      <c r="L59" s="2284">
        <f t="shared" si="13"/>
        <v>45231</v>
      </c>
      <c r="M59" s="2284">
        <f t="shared" si="13"/>
        <v>45200</v>
      </c>
      <c r="N59" s="2284">
        <f t="shared" si="13"/>
        <v>45170</v>
      </c>
      <c r="O59" s="2284">
        <f t="shared" si="13"/>
        <v>45139</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1839</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1840</v>
      </c>
      <c r="C83" s="2206" t="s">
        <v>1841</v>
      </c>
      <c r="D83" s="2206" t="s">
        <v>1842</v>
      </c>
      <c r="E83" s="2206" t="s">
        <v>1843</v>
      </c>
      <c r="F83" s="2206" t="s">
        <v>1844</v>
      </c>
      <c r="G83" s="2206" t="s">
        <v>1845</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723</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724</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686</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688</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690</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725</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692</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1838</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726</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714</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694</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695</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473" t="s">
        <v>727</v>
      </c>
      <c r="C1" s="474" t="s">
        <v>666</v>
      </c>
      <c r="D1" s="81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668</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868" t="s">
        <v>471</v>
      </c>
      <c r="D4" s="3869"/>
      <c r="E4" s="3890" t="s">
        <v>472</v>
      </c>
      <c r="F4" s="3891"/>
      <c r="G4" s="3868" t="s">
        <v>473</v>
      </c>
      <c r="H4" s="3869"/>
      <c r="I4" s="3868" t="s">
        <v>474</v>
      </c>
      <c r="J4" s="3869"/>
      <c r="K4" s="484" t="s">
        <v>475</v>
      </c>
      <c r="L4" s="1856"/>
      <c r="M4" s="1857"/>
      <c r="N4" s="1857"/>
      <c r="O4" s="1857"/>
      <c r="P4" s="3870" t="s">
        <v>476</v>
      </c>
      <c r="Q4" s="3871"/>
      <c r="R4" s="3854" t="s">
        <v>472</v>
      </c>
      <c r="S4" s="3855"/>
      <c r="T4" s="3854" t="s">
        <v>473</v>
      </c>
      <c r="U4" s="3855"/>
      <c r="V4" s="3876" t="s">
        <v>474</v>
      </c>
      <c r="W4" s="3876"/>
      <c r="X4" s="1380"/>
      <c r="Y4" s="3854" t="s">
        <v>476</v>
      </c>
      <c r="Z4" s="3855"/>
      <c r="AA4" s="3849" t="s">
        <v>472</v>
      </c>
      <c r="AB4" s="3850" t="s">
        <v>473</v>
      </c>
      <c r="AC4" s="3849" t="s">
        <v>474</v>
      </c>
    </row>
    <row r="5" spans="1:29">
      <c r="A5" s="485"/>
      <c r="B5" s="486"/>
      <c r="C5" s="3879" t="s">
        <v>2191</v>
      </c>
      <c r="D5" s="3880"/>
      <c r="E5" s="3892" t="s">
        <v>2192</v>
      </c>
      <c r="F5" s="3893"/>
      <c r="G5" s="3879" t="s">
        <v>2193</v>
      </c>
      <c r="H5" s="3880"/>
      <c r="I5" s="3879" t="s">
        <v>2194</v>
      </c>
      <c r="J5" s="3880"/>
      <c r="K5" s="484"/>
      <c r="L5" s="1856"/>
      <c r="M5" s="1857"/>
      <c r="N5" s="1857"/>
      <c r="O5" s="1857"/>
      <c r="P5" s="3872"/>
      <c r="Q5" s="3873"/>
      <c r="R5" s="3856"/>
      <c r="S5" s="3857"/>
      <c r="T5" s="3856"/>
      <c r="U5" s="3857"/>
      <c r="V5" s="3876"/>
      <c r="W5" s="3876"/>
      <c r="X5" s="1380"/>
      <c r="Y5" s="3856"/>
      <c r="Z5" s="3857"/>
      <c r="AA5" s="3850"/>
      <c r="AB5" s="3850"/>
      <c r="AC5" s="3850"/>
    </row>
    <row r="6" spans="1:29" ht="15" thickBot="1">
      <c r="A6" s="487"/>
      <c r="B6" s="488"/>
      <c r="C6" s="3877" t="s">
        <v>2195</v>
      </c>
      <c r="D6" s="3878"/>
      <c r="E6" s="3894" t="s">
        <v>2195</v>
      </c>
      <c r="F6" s="3895"/>
      <c r="G6" s="3877" t="s">
        <v>2195</v>
      </c>
      <c r="H6" s="3878"/>
      <c r="I6" s="3877" t="s">
        <v>2195</v>
      </c>
      <c r="J6" s="3878"/>
      <c r="K6" s="484" t="s">
        <v>477</v>
      </c>
      <c r="L6" s="1856"/>
      <c r="M6" s="1857"/>
      <c r="N6" s="1857"/>
      <c r="O6" s="1857"/>
      <c r="P6" s="3874"/>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45506</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52" t="s">
        <v>479</v>
      </c>
      <c r="Q7" s="3861"/>
      <c r="R7" s="1381" t="s">
        <v>5</v>
      </c>
      <c r="S7" s="1382">
        <f t="shared" ref="S7:S15" si="0">F7</f>
        <v>0</v>
      </c>
      <c r="T7" s="1381" t="s">
        <v>5</v>
      </c>
      <c r="U7" s="1382">
        <f t="shared" ref="U7:U15" si="1">H7</f>
        <v>0</v>
      </c>
      <c r="V7" s="1381" t="s">
        <v>5</v>
      </c>
      <c r="W7" s="1382">
        <f t="shared" ref="W7:W15"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52" t="s">
        <v>482</v>
      </c>
      <c r="Q8" s="3853"/>
      <c r="R8" s="1381" t="s">
        <v>5</v>
      </c>
      <c r="S8" s="1382">
        <f t="shared" si="0"/>
        <v>0</v>
      </c>
      <c r="T8" s="1381" t="s">
        <v>5</v>
      </c>
      <c r="U8" s="1382">
        <f t="shared" si="1"/>
        <v>0</v>
      </c>
      <c r="V8" s="1381" t="s">
        <v>5</v>
      </c>
      <c r="W8" s="1382">
        <f t="shared" si="2"/>
        <v>0</v>
      </c>
      <c r="X8" s="1383"/>
      <c r="Y8" s="3852" t="s">
        <v>482</v>
      </c>
      <c r="Z8" s="3853"/>
      <c r="AA8" s="1384" t="e">
        <f t="shared" ref="AA8:AA40" si="3">D8/F8</f>
        <v>#DIV/0!</v>
      </c>
      <c r="AB8" s="1384" t="e">
        <f t="shared" ref="AB8:AB40" si="4">D8/H8</f>
        <v>#DIV/0!</v>
      </c>
      <c r="AC8" s="1384" t="e">
        <f t="shared" ref="AC8:AC40" si="5">D8/J8</f>
        <v>#DIV/0!</v>
      </c>
    </row>
    <row r="9" spans="1:29" s="1118" customFormat="1" ht="14.4">
      <c r="A9" s="2394"/>
      <c r="B9" s="2401" t="s">
        <v>2037</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0"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0"/>
      <c r="Q11" s="1050" t="str">
        <f t="shared" si="6"/>
        <v>容积率</v>
      </c>
      <c r="R11" s="1381" t="s">
        <v>5</v>
      </c>
      <c r="S11" s="1382" t="e">
        <f t="shared" si="0"/>
        <v>#N/A</v>
      </c>
      <c r="T11" s="1381" t="s">
        <v>5</v>
      </c>
      <c r="U11" s="1382" t="e">
        <f t="shared" si="1"/>
        <v>#N/A</v>
      </c>
      <c r="V11" s="1381" t="s">
        <v>5</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0"/>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 t="shared" si="3"/>
        <v>1</v>
      </c>
      <c r="AB14" s="1384">
        <f t="shared" si="4"/>
        <v>1</v>
      </c>
      <c r="AC14" s="1384">
        <f t="shared" si="5"/>
        <v>1</v>
      </c>
    </row>
    <row r="15" spans="1:29" ht="69">
      <c r="A15" s="2390" t="s">
        <v>2035</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62" t="s">
        <v>489</v>
      </c>
      <c r="Q15" s="1385" t="str">
        <f t="shared" si="6"/>
        <v>产业集聚程度</v>
      </c>
      <c r="R15" s="1386" t="s">
        <v>5</v>
      </c>
      <c r="S15" s="1387">
        <f t="shared" si="0"/>
        <v>100</v>
      </c>
      <c r="T15" s="1386" t="s">
        <v>5</v>
      </c>
      <c r="U15" s="1387">
        <f t="shared" si="1"/>
        <v>100</v>
      </c>
      <c r="V15" s="1386" t="s">
        <v>5</v>
      </c>
      <c r="W15" s="1387">
        <f t="shared" si="2"/>
        <v>100</v>
      </c>
      <c r="X15" s="1380"/>
      <c r="Y15" s="386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3"/>
      <c r="Q16" s="1385"/>
      <c r="R16" s="1386"/>
      <c r="S16" s="1387"/>
      <c r="T16" s="1386"/>
      <c r="U16" s="1387"/>
      <c r="V16" s="1386"/>
      <c r="W16" s="1387"/>
      <c r="X16" s="1380"/>
      <c r="Y16" s="3863"/>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63"/>
      <c r="Q17" s="1385" t="str">
        <f>B17</f>
        <v>交通便捷度</v>
      </c>
      <c r="R17" s="1386" t="s">
        <v>5</v>
      </c>
      <c r="S17" s="1387">
        <f>F17</f>
        <v>100</v>
      </c>
      <c r="T17" s="1386" t="s">
        <v>5</v>
      </c>
      <c r="U17" s="1387">
        <f>H17</f>
        <v>100</v>
      </c>
      <c r="V17" s="1386" t="s">
        <v>5</v>
      </c>
      <c r="W17" s="1387">
        <f>J17</f>
        <v>100</v>
      </c>
      <c r="X17" s="1380"/>
      <c r="Y17" s="386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3"/>
      <c r="Q18" s="1385"/>
      <c r="R18" s="1386"/>
      <c r="S18" s="1387"/>
      <c r="T18" s="1386"/>
      <c r="U18" s="1387"/>
      <c r="V18" s="1386"/>
      <c r="W18" s="1387"/>
      <c r="X18" s="1380"/>
      <c r="Y18" s="3863"/>
      <c r="Z18" s="1388"/>
      <c r="AA18" s="1389">
        <v>1</v>
      </c>
      <c r="AB18" s="1389">
        <v>1</v>
      </c>
      <c r="AC18" s="1389">
        <v>1</v>
      </c>
    </row>
    <row r="19" spans="1:29" ht="41.4">
      <c r="A19" s="502"/>
      <c r="B19" s="2211"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63"/>
      <c r="Q19" s="1385" t="str">
        <f>B19</f>
        <v>公共配套设施</v>
      </c>
      <c r="R19" s="1386" t="s">
        <v>5</v>
      </c>
      <c r="S19" s="1387">
        <f>F19</f>
        <v>100</v>
      </c>
      <c r="T19" s="1386" t="s">
        <v>5</v>
      </c>
      <c r="U19" s="1387">
        <f>H19</f>
        <v>100</v>
      </c>
      <c r="V19" s="1386" t="s">
        <v>5</v>
      </c>
      <c r="W19" s="1387">
        <f>J19</f>
        <v>100</v>
      </c>
      <c r="X19" s="1380"/>
      <c r="Y19" s="386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63"/>
      <c r="Q20" s="1385"/>
      <c r="R20" s="1386"/>
      <c r="S20" s="1387"/>
      <c r="T20" s="1386"/>
      <c r="U20" s="1387"/>
      <c r="V20" s="1386"/>
      <c r="W20" s="1387"/>
      <c r="X20" s="1380"/>
      <c r="Y20" s="3863"/>
      <c r="Z20" s="1388"/>
      <c r="AA20" s="1389">
        <v>1</v>
      </c>
      <c r="AB20" s="1389">
        <v>1</v>
      </c>
      <c r="AC20" s="1389">
        <v>1</v>
      </c>
    </row>
    <row r="21" spans="1:29" ht="41.4">
      <c r="A21" s="502"/>
      <c r="B21" s="2199"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63"/>
      <c r="Q21" s="2193" t="str">
        <f>B21</f>
        <v>基础设施水平</v>
      </c>
      <c r="R21" s="1386" t="s">
        <v>5</v>
      </c>
      <c r="S21" s="1387">
        <f>F21</f>
        <v>100</v>
      </c>
      <c r="T21" s="1386" t="s">
        <v>5</v>
      </c>
      <c r="U21" s="1387">
        <f>H21</f>
        <v>100</v>
      </c>
      <c r="V21" s="1386" t="s">
        <v>5</v>
      </c>
      <c r="W21" s="1387">
        <f>J21</f>
        <v>100</v>
      </c>
      <c r="X21" s="2195"/>
      <c r="Y21" s="386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63"/>
      <c r="Q22" s="2193"/>
      <c r="R22" s="1386"/>
      <c r="S22" s="1387"/>
      <c r="T22" s="1386"/>
      <c r="U22" s="1387"/>
      <c r="V22" s="1386"/>
      <c r="W22" s="1387"/>
      <c r="X22" s="2195"/>
      <c r="Y22" s="3863"/>
      <c r="Z22" s="2194"/>
      <c r="AA22" s="1389">
        <v>1</v>
      </c>
      <c r="AB22" s="1389">
        <v>1</v>
      </c>
      <c r="AC22" s="1389">
        <v>1</v>
      </c>
    </row>
    <row r="23" spans="1:29" ht="82.8">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63"/>
      <c r="Q23" s="1385" t="str">
        <f>B23</f>
        <v>环境质量</v>
      </c>
      <c r="R23" s="1386" t="s">
        <v>5</v>
      </c>
      <c r="S23" s="1387">
        <f>F23</f>
        <v>100</v>
      </c>
      <c r="T23" s="1386" t="s">
        <v>5</v>
      </c>
      <c r="U23" s="1387">
        <f>H23</f>
        <v>100</v>
      </c>
      <c r="V23" s="1386" t="s">
        <v>5</v>
      </c>
      <c r="W23" s="1387">
        <f>J23</f>
        <v>100</v>
      </c>
      <c r="X23" s="1380"/>
      <c r="Y23" s="386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63"/>
      <c r="Q24" s="1385"/>
      <c r="R24" s="1386"/>
      <c r="S24" s="1387"/>
      <c r="T24" s="1386"/>
      <c r="U24" s="1387"/>
      <c r="V24" s="1386"/>
      <c r="W24" s="1387"/>
      <c r="X24" s="1380"/>
      <c r="Y24" s="386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63"/>
      <c r="Q25" s="1385">
        <f>B25</f>
        <v>111</v>
      </c>
      <c r="R25" s="1386" t="s">
        <v>5</v>
      </c>
      <c r="S25" s="1387">
        <f>F25</f>
        <v>100</v>
      </c>
      <c r="T25" s="1386" t="s">
        <v>5</v>
      </c>
      <c r="U25" s="1387">
        <f>H25</f>
        <v>100</v>
      </c>
      <c r="V25" s="1386" t="s">
        <v>5</v>
      </c>
      <c r="W25" s="1387">
        <f>J25</f>
        <v>100</v>
      </c>
      <c r="X25" s="1380"/>
      <c r="Y25" s="386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63"/>
      <c r="Q26" s="1385">
        <f t="shared" ref="Q26:Q40" si="8">B26</f>
        <v>111</v>
      </c>
      <c r="R26" s="1386" t="s">
        <v>5</v>
      </c>
      <c r="S26" s="1387">
        <f>F26</f>
        <v>100</v>
      </c>
      <c r="T26" s="1386" t="s">
        <v>5</v>
      </c>
      <c r="U26" s="1387">
        <f>H26</f>
        <v>100</v>
      </c>
      <c r="V26" s="1386" t="s">
        <v>5</v>
      </c>
      <c r="W26" s="1387">
        <f>J26</f>
        <v>100</v>
      </c>
      <c r="X26" s="1380"/>
      <c r="Y26" s="386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63"/>
      <c r="Q27" s="1050">
        <f t="shared" si="8"/>
        <v>111</v>
      </c>
      <c r="R27" s="1381" t="s">
        <v>5</v>
      </c>
      <c r="S27" s="1382">
        <f>F27</f>
        <v>100</v>
      </c>
      <c r="T27" s="1381" t="s">
        <v>5</v>
      </c>
      <c r="U27" s="1382">
        <f>H27</f>
        <v>100</v>
      </c>
      <c r="V27" s="1381" t="s">
        <v>5</v>
      </c>
      <c r="W27" s="1382">
        <f>J27</f>
        <v>100</v>
      </c>
      <c r="X27" s="1383"/>
      <c r="Y27" s="3863"/>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63"/>
      <c r="Q28" s="1385">
        <f t="shared" si="8"/>
        <v>111</v>
      </c>
      <c r="R28" s="1386" t="s">
        <v>5</v>
      </c>
      <c r="S28" s="1387">
        <f t="shared" ref="S28:S40" si="9">F28</f>
        <v>100</v>
      </c>
      <c r="T28" s="1386" t="s">
        <v>5</v>
      </c>
      <c r="U28" s="1387">
        <f t="shared" ref="U28:U40" si="10">H28</f>
        <v>100</v>
      </c>
      <c r="V28" s="1386" t="s">
        <v>5</v>
      </c>
      <c r="W28" s="1387">
        <f t="shared" ref="W28:W40" si="11">J28</f>
        <v>100</v>
      </c>
      <c r="X28" s="1380"/>
      <c r="Y28" s="3863"/>
      <c r="Z28" s="1388">
        <f t="shared" ref="Z28:Z40" si="12">Q28</f>
        <v>111</v>
      </c>
      <c r="AA28" s="1389">
        <f t="shared" si="3"/>
        <v>1</v>
      </c>
      <c r="AB28" s="1389">
        <f t="shared" si="4"/>
        <v>1</v>
      </c>
      <c r="AC28" s="1389">
        <f t="shared" si="5"/>
        <v>1</v>
      </c>
    </row>
    <row r="29" spans="1:29" ht="15">
      <c r="A29" s="2387" t="s">
        <v>2036</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64" t="s">
        <v>499</v>
      </c>
      <c r="Q29" s="1385" t="str">
        <f t="shared" si="8"/>
        <v>建筑类型</v>
      </c>
      <c r="R29" s="1386" t="s">
        <v>5</v>
      </c>
      <c r="S29" s="1387">
        <f t="shared" si="9"/>
        <v>100</v>
      </c>
      <c r="T29" s="1386" t="s">
        <v>5</v>
      </c>
      <c r="U29" s="1387">
        <f t="shared" si="10"/>
        <v>100</v>
      </c>
      <c r="V29" s="1386" t="s">
        <v>5</v>
      </c>
      <c r="W29" s="1387">
        <f t="shared" si="11"/>
        <v>100</v>
      </c>
      <c r="X29" s="1380"/>
      <c r="Y29" s="3865" t="s">
        <v>499</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65"/>
      <c r="Q30" s="1414" t="str">
        <f t="shared" si="8"/>
        <v>项目建筑规模</v>
      </c>
      <c r="R30" s="1390" t="s">
        <v>5</v>
      </c>
      <c r="S30" s="1391" t="e">
        <f t="shared" si="9"/>
        <v>#N/A</v>
      </c>
      <c r="T30" s="1390" t="s">
        <v>5</v>
      </c>
      <c r="U30" s="1391" t="e">
        <f t="shared" si="10"/>
        <v>#N/A</v>
      </c>
      <c r="V30" s="1390" t="s">
        <v>5</v>
      </c>
      <c r="W30" s="1391" t="e">
        <f t="shared" si="11"/>
        <v>#N/A</v>
      </c>
      <c r="X30" s="1392"/>
      <c r="Y30" s="3865"/>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65"/>
      <c r="Q31" s="1385" t="str">
        <f t="shared" si="8"/>
        <v>建筑结构</v>
      </c>
      <c r="R31" s="1386" t="s">
        <v>5</v>
      </c>
      <c r="S31" s="1387">
        <f t="shared" si="9"/>
        <v>100</v>
      </c>
      <c r="T31" s="1386" t="s">
        <v>5</v>
      </c>
      <c r="U31" s="1387">
        <f t="shared" si="10"/>
        <v>100</v>
      </c>
      <c r="V31" s="1386" t="s">
        <v>5</v>
      </c>
      <c r="W31" s="1387">
        <f t="shared" si="11"/>
        <v>100</v>
      </c>
      <c r="X31" s="1380"/>
      <c r="Y31" s="3865"/>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65"/>
      <c r="Q32" s="1385" t="str">
        <f t="shared" si="8"/>
        <v>公共部分装修</v>
      </c>
      <c r="R32" s="1386" t="s">
        <v>5</v>
      </c>
      <c r="S32" s="1387">
        <f t="shared" si="9"/>
        <v>100</v>
      </c>
      <c r="T32" s="1386" t="s">
        <v>5</v>
      </c>
      <c r="U32" s="1387">
        <f t="shared" si="10"/>
        <v>100</v>
      </c>
      <c r="V32" s="1386" t="s">
        <v>5</v>
      </c>
      <c r="W32" s="1387">
        <f t="shared" si="11"/>
        <v>100</v>
      </c>
      <c r="X32" s="1380"/>
      <c r="Y32" s="3865"/>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65"/>
      <c r="Q33" s="1385" t="str">
        <f t="shared" si="8"/>
        <v>成新度</v>
      </c>
      <c r="R33" s="1386" t="s">
        <v>5</v>
      </c>
      <c r="S33" s="1387" t="e">
        <f t="shared" si="9"/>
        <v>#N/A</v>
      </c>
      <c r="T33" s="1386" t="s">
        <v>5</v>
      </c>
      <c r="U33" s="1387" t="e">
        <f t="shared" si="10"/>
        <v>#N/A</v>
      </c>
      <c r="V33" s="1386" t="s">
        <v>5</v>
      </c>
      <c r="W33" s="1387" t="e">
        <f t="shared" si="11"/>
        <v>#N/A</v>
      </c>
      <c r="X33" s="1380"/>
      <c r="Y33" s="3865"/>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65"/>
      <c r="Q34" s="1050" t="str">
        <f t="shared" si="8"/>
        <v>物业管理</v>
      </c>
      <c r="R34" s="1381" t="s">
        <v>5</v>
      </c>
      <c r="S34" s="1382">
        <f t="shared" si="9"/>
        <v>100</v>
      </c>
      <c r="T34" s="1381" t="s">
        <v>5</v>
      </c>
      <c r="U34" s="1382">
        <f t="shared" si="10"/>
        <v>100</v>
      </c>
      <c r="V34" s="1381" t="s">
        <v>5</v>
      </c>
      <c r="W34" s="1382">
        <f t="shared" si="11"/>
        <v>100</v>
      </c>
      <c r="X34" s="1383"/>
      <c r="Y34" s="3865"/>
      <c r="Z34" s="1049" t="str">
        <f t="shared" si="12"/>
        <v>物业管理</v>
      </c>
      <c r="AA34" s="1384">
        <f t="shared" si="3"/>
        <v>1</v>
      </c>
      <c r="AB34" s="1384">
        <f t="shared" si="4"/>
        <v>1</v>
      </c>
      <c r="AC34" s="1384">
        <f t="shared" si="5"/>
        <v>1</v>
      </c>
    </row>
    <row r="35" spans="1:29" ht="15">
      <c r="A35" s="564"/>
      <c r="B35" s="1651"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65" t="s">
        <v>499</v>
      </c>
      <c r="Q35" s="1385" t="str">
        <f t="shared" si="8"/>
        <v>市政基础设施</v>
      </c>
      <c r="R35" s="1386" t="s">
        <v>5</v>
      </c>
      <c r="S35" s="1387">
        <f t="shared" si="9"/>
        <v>100</v>
      </c>
      <c r="T35" s="1386" t="s">
        <v>5</v>
      </c>
      <c r="U35" s="1387">
        <f t="shared" si="10"/>
        <v>100</v>
      </c>
      <c r="V35" s="1386" t="s">
        <v>5</v>
      </c>
      <c r="W35" s="1387">
        <f t="shared" si="11"/>
        <v>100</v>
      </c>
      <c r="X35" s="1380"/>
      <c r="Y35" s="3865" t="s">
        <v>499</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65"/>
      <c r="Q36" s="1385" t="str">
        <f t="shared" si="8"/>
        <v>内部装修</v>
      </c>
      <c r="R36" s="1386" t="s">
        <v>5</v>
      </c>
      <c r="S36" s="1387">
        <f t="shared" si="9"/>
        <v>100</v>
      </c>
      <c r="T36" s="1386" t="s">
        <v>5</v>
      </c>
      <c r="U36" s="1387">
        <f t="shared" si="10"/>
        <v>100</v>
      </c>
      <c r="V36" s="1386" t="s">
        <v>5</v>
      </c>
      <c r="W36" s="1387">
        <f t="shared" si="11"/>
        <v>100</v>
      </c>
      <c r="X36" s="1380"/>
      <c r="Y36" s="3865"/>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65"/>
      <c r="Q37" s="1385" t="str">
        <f t="shared" si="8"/>
        <v>内部装修状况</v>
      </c>
      <c r="R37" s="1386" t="s">
        <v>5</v>
      </c>
      <c r="S37" s="1387">
        <f t="shared" si="9"/>
        <v>100</v>
      </c>
      <c r="T37" s="1386" t="s">
        <v>5</v>
      </c>
      <c r="U37" s="1387">
        <f t="shared" si="10"/>
        <v>100</v>
      </c>
      <c r="V37" s="1386" t="s">
        <v>5</v>
      </c>
      <c r="W37" s="1387">
        <f t="shared" si="11"/>
        <v>100</v>
      </c>
      <c r="X37" s="1380"/>
      <c r="Y37" s="386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65"/>
      <c r="Q38" s="1414">
        <f t="shared" si="8"/>
        <v>111</v>
      </c>
      <c r="R38" s="1390" t="s">
        <v>5</v>
      </c>
      <c r="S38" s="1391">
        <f t="shared" si="9"/>
        <v>100</v>
      </c>
      <c r="T38" s="1390" t="s">
        <v>5</v>
      </c>
      <c r="U38" s="1391">
        <f t="shared" si="10"/>
        <v>100</v>
      </c>
      <c r="V38" s="1390" t="s">
        <v>5</v>
      </c>
      <c r="W38" s="1391">
        <f t="shared" si="11"/>
        <v>100</v>
      </c>
      <c r="X38" s="1392"/>
      <c r="Y38" s="386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65"/>
      <c r="Q39" s="1385">
        <f t="shared" si="8"/>
        <v>111</v>
      </c>
      <c r="R39" s="1386" t="s">
        <v>5</v>
      </c>
      <c r="S39" s="1387">
        <f t="shared" si="9"/>
        <v>100</v>
      </c>
      <c r="T39" s="1386" t="s">
        <v>5</v>
      </c>
      <c r="U39" s="1387">
        <f t="shared" si="10"/>
        <v>100</v>
      </c>
      <c r="V39" s="1386" t="s">
        <v>5</v>
      </c>
      <c r="W39" s="1387">
        <f t="shared" si="11"/>
        <v>100</v>
      </c>
      <c r="X39" s="1380"/>
      <c r="Y39" s="3865"/>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3"/>
      <c r="Q40" s="1385">
        <f t="shared" si="8"/>
        <v>111</v>
      </c>
      <c r="R40" s="1386" t="s">
        <v>5</v>
      </c>
      <c r="S40" s="1387">
        <f t="shared" si="9"/>
        <v>100</v>
      </c>
      <c r="T40" s="1386" t="s">
        <v>5</v>
      </c>
      <c r="U40" s="1387">
        <f t="shared" si="10"/>
        <v>100</v>
      </c>
      <c r="V40" s="1386" t="s">
        <v>5</v>
      </c>
      <c r="W40" s="1387">
        <f t="shared" si="11"/>
        <v>100</v>
      </c>
      <c r="X40" s="1380"/>
      <c r="Y40" s="3973"/>
      <c r="Z40" s="1388">
        <f t="shared" si="12"/>
        <v>111</v>
      </c>
      <c r="AA40" s="1389">
        <f t="shared" si="3"/>
        <v>1</v>
      </c>
      <c r="AB40" s="1389">
        <f t="shared" si="4"/>
        <v>1</v>
      </c>
      <c r="AC40" s="1389">
        <f t="shared" si="5"/>
        <v>1</v>
      </c>
    </row>
    <row r="41" spans="1:29" ht="14.4">
      <c r="A41" s="577" t="s">
        <v>682</v>
      </c>
      <c r="B41" s="850"/>
      <c r="C41" s="2234" t="s">
        <v>0</v>
      </c>
      <c r="D41" s="2235"/>
      <c r="E41" s="2236"/>
      <c r="F41" s="2237"/>
      <c r="G41" s="2238"/>
      <c r="H41" s="2239"/>
      <c r="I41" s="2236"/>
      <c r="J41" s="2239"/>
      <c r="K41" s="1419"/>
      <c r="L41" s="1867"/>
      <c r="M41" s="1868"/>
      <c r="N41" s="1857"/>
      <c r="O41" s="1868"/>
      <c r="P41" s="3860" t="str">
        <f>A41</f>
        <v>成交单价（元/平方米）</v>
      </c>
      <c r="Q41" s="3860"/>
      <c r="R41" s="3972">
        <f>E41</f>
        <v>0</v>
      </c>
      <c r="S41" s="3972"/>
      <c r="T41" s="3972">
        <f>G41</f>
        <v>0</v>
      </c>
      <c r="U41" s="3972"/>
      <c r="V41" s="3972">
        <f>I41</f>
        <v>0</v>
      </c>
      <c r="W41" s="3972"/>
      <c r="X41" s="1375"/>
      <c r="Y41" s="1394"/>
      <c r="Z41" s="1375"/>
      <c r="AA41" s="1375"/>
      <c r="AB41" s="1375"/>
      <c r="AC41" s="1375"/>
    </row>
    <row r="42" spans="1:29" ht="15" thickBot="1">
      <c r="A42" s="585" t="s">
        <v>2041</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3860" t="str">
        <f>A42</f>
        <v>比较价格（元/平方米）</v>
      </c>
      <c r="Q42" s="3860"/>
      <c r="R42" s="3972" t="e">
        <f>IF(F1="售价",ROUND(PRODUCT(R41,AA7:AA40),0),ROUND(PRODUCT(R41,AA7:AA40),1))</f>
        <v>#DIV/0!</v>
      </c>
      <c r="S42" s="3972"/>
      <c r="T42" s="3972" t="e">
        <f>IF(F1="售价",ROUND(PRODUCT(T41,AB7:AB40),0),ROUND(PRODUCT(T41,AB7:AB40),1))</f>
        <v>#DIV/0!</v>
      </c>
      <c r="U42" s="3972"/>
      <c r="V42" s="3972" t="e">
        <f>IF(F1="售价",ROUND(PRODUCT(V41,AC7:AC40),0),ROUND(PRODUCT(V41,AC7:AC40),1))</f>
        <v>#DIV/0!</v>
      </c>
      <c r="W42" s="3972"/>
      <c r="X42" s="1375"/>
      <c r="Y42" s="1375"/>
      <c r="Z42" s="1375"/>
      <c r="AA42" s="1375"/>
      <c r="AB42" s="1375"/>
      <c r="AC42" s="1375"/>
    </row>
    <row r="43" spans="1:29" ht="15" thickBot="1">
      <c r="A43" s="589" t="s">
        <v>2197</v>
      </c>
      <c r="B43" s="590"/>
      <c r="C43" s="2242" t="e">
        <f>R43</f>
        <v>#DIV/0!</v>
      </c>
      <c r="D43" s="2242"/>
      <c r="E43" s="2242"/>
      <c r="F43" s="2242"/>
      <c r="G43" s="2242"/>
      <c r="H43" s="2242"/>
      <c r="I43" s="2242"/>
      <c r="J43" s="2242"/>
      <c r="K43" s="1420"/>
      <c r="L43" s="1867"/>
      <c r="M43" s="1868"/>
      <c r="N43" s="1868"/>
      <c r="O43" s="1868"/>
      <c r="P43" s="3866" t="str">
        <f>A43</f>
        <v>估价对象XX用房的比较价格（楼面单价，元/平方米）</v>
      </c>
      <c r="Q43" s="3867"/>
      <c r="R43" s="3971" t="e">
        <f>IF(F1="售价",ROUND(IF(D42="简单平均",AVERAGE(R42:V42),R42*F42+T42*H42+V42*J42),0),ROUND(IF(D42="简单平均",AVERAGE(R42:V42),R42*F42+T42*H42+V42*J42),1))</f>
        <v>#DIV/0!</v>
      </c>
      <c r="S43" s="3971"/>
      <c r="T43" s="3971"/>
      <c r="U43" s="3971"/>
      <c r="V43" s="3971"/>
      <c r="W43" s="397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2024-8</v>
      </c>
      <c r="D52" s="2284">
        <f>EDATE(C52,-1)</f>
        <v>45474</v>
      </c>
      <c r="E52" s="2284">
        <f t="shared" ref="E52:O52" si="13">EDATE(D52,-1)</f>
        <v>45444</v>
      </c>
      <c r="F52" s="2284">
        <f t="shared" si="13"/>
        <v>45413</v>
      </c>
      <c r="G52" s="2284">
        <f t="shared" si="13"/>
        <v>45383</v>
      </c>
      <c r="H52" s="2284">
        <f t="shared" si="13"/>
        <v>45352</v>
      </c>
      <c r="I52" s="2284">
        <f t="shared" si="13"/>
        <v>45323</v>
      </c>
      <c r="J52" s="2284">
        <f t="shared" si="13"/>
        <v>45292</v>
      </c>
      <c r="K52" s="2284">
        <f t="shared" si="13"/>
        <v>45261</v>
      </c>
      <c r="L52" s="2284">
        <f t="shared" si="13"/>
        <v>45231</v>
      </c>
      <c r="M52" s="2284">
        <f t="shared" si="13"/>
        <v>45200</v>
      </c>
      <c r="N52" s="2284">
        <f t="shared" si="13"/>
        <v>45170</v>
      </c>
      <c r="O52" s="2284">
        <f t="shared" si="13"/>
        <v>45139</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1839</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1840</v>
      </c>
      <c r="C76" s="2206" t="s">
        <v>1841</v>
      </c>
      <c r="D76" s="2206" t="s">
        <v>1842</v>
      </c>
      <c r="E76" s="2206" t="s">
        <v>1843</v>
      </c>
      <c r="F76" s="2206" t="s">
        <v>1844</v>
      </c>
      <c r="G76" s="2206" t="s">
        <v>1845</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723</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690</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692</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1838</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694</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730</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t="e">
        <f>IF(B37="元/平方米",C39,ROUND(B2*10000/D3,0))</f>
        <v>#DIV/0!</v>
      </c>
      <c r="C3" s="817" t="s">
        <v>735</v>
      </c>
      <c r="D3" s="816">
        <f>SUMIF('数据-汇总表'!$C19:$C33,D1,'数据-汇总表'!$E19:$E33)</f>
        <v>0</v>
      </c>
      <c r="E3" s="1634" t="s">
        <v>1593</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736</v>
      </c>
      <c r="B4" s="483"/>
      <c r="C4" s="3868" t="s">
        <v>737</v>
      </c>
      <c r="D4" s="3869"/>
      <c r="E4" s="3868" t="s">
        <v>738</v>
      </c>
      <c r="F4" s="3869"/>
      <c r="G4" s="3868" t="s">
        <v>739</v>
      </c>
      <c r="H4" s="3869"/>
      <c r="I4" s="3868" t="s">
        <v>740</v>
      </c>
      <c r="J4" s="3869"/>
      <c r="K4" s="484" t="s">
        <v>741</v>
      </c>
      <c r="L4" s="1856"/>
      <c r="M4" s="1857"/>
      <c r="N4" s="1857"/>
      <c r="O4" s="1857"/>
      <c r="P4" s="3870" t="s">
        <v>742</v>
      </c>
      <c r="Q4" s="3871"/>
      <c r="R4" s="3854" t="s">
        <v>738</v>
      </c>
      <c r="S4" s="3855"/>
      <c r="T4" s="3854" t="s">
        <v>739</v>
      </c>
      <c r="U4" s="3855"/>
      <c r="V4" s="3876" t="s">
        <v>740</v>
      </c>
      <c r="W4" s="3876"/>
      <c r="X4" s="1380"/>
      <c r="Y4" s="3854" t="s">
        <v>742</v>
      </c>
      <c r="Z4" s="3855"/>
      <c r="AA4" s="3849" t="s">
        <v>738</v>
      </c>
      <c r="AB4" s="3850" t="s">
        <v>739</v>
      </c>
      <c r="AC4" s="3849" t="s">
        <v>740</v>
      </c>
    </row>
    <row r="5" spans="1:29">
      <c r="A5" s="485"/>
      <c r="B5" s="486"/>
      <c r="C5" s="3879" t="s">
        <v>2191</v>
      </c>
      <c r="D5" s="3880"/>
      <c r="E5" s="3879" t="s">
        <v>2192</v>
      </c>
      <c r="F5" s="3880"/>
      <c r="G5" s="3879" t="s">
        <v>2193</v>
      </c>
      <c r="H5" s="3880"/>
      <c r="I5" s="3879" t="s">
        <v>2194</v>
      </c>
      <c r="J5" s="3880"/>
      <c r="K5" s="484"/>
      <c r="L5" s="1856"/>
      <c r="M5" s="1857"/>
      <c r="N5" s="1857"/>
      <c r="O5" s="1857"/>
      <c r="P5" s="3872"/>
      <c r="Q5" s="3873"/>
      <c r="R5" s="3856"/>
      <c r="S5" s="3857"/>
      <c r="T5" s="3856"/>
      <c r="U5" s="3857"/>
      <c r="V5" s="3876"/>
      <c r="W5" s="3876"/>
      <c r="X5" s="1380"/>
      <c r="Y5" s="3856"/>
      <c r="Z5" s="3857"/>
      <c r="AA5" s="3850"/>
      <c r="AB5" s="3850"/>
      <c r="AC5" s="3850"/>
    </row>
    <row r="6" spans="1:29" ht="15" thickBot="1">
      <c r="A6" s="487"/>
      <c r="B6" s="488"/>
      <c r="C6" s="3877" t="s">
        <v>2195</v>
      </c>
      <c r="D6" s="3878"/>
      <c r="E6" s="3881" t="s">
        <v>2195</v>
      </c>
      <c r="F6" s="3882"/>
      <c r="G6" s="3877" t="s">
        <v>2195</v>
      </c>
      <c r="H6" s="3878"/>
      <c r="I6" s="3877" t="s">
        <v>2195</v>
      </c>
      <c r="J6" s="3878"/>
      <c r="K6" s="484" t="s">
        <v>477</v>
      </c>
      <c r="L6" s="1856"/>
      <c r="M6" s="1857"/>
      <c r="N6" s="1857"/>
      <c r="O6" s="1857"/>
      <c r="P6" s="3874"/>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45506</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52" t="s">
        <v>479</v>
      </c>
      <c r="Q7" s="3861"/>
      <c r="R7" s="1381" t="s">
        <v>5</v>
      </c>
      <c r="S7" s="1382">
        <f t="shared" ref="S7:S14" si="0">F7</f>
        <v>0</v>
      </c>
      <c r="T7" s="1381" t="s">
        <v>5</v>
      </c>
      <c r="U7" s="1382">
        <f t="shared" ref="U7:U14" si="1">H7</f>
        <v>0</v>
      </c>
      <c r="V7" s="1381" t="s">
        <v>5</v>
      </c>
      <c r="W7" s="1382">
        <f t="shared" ref="W7:W14"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52" t="s">
        <v>482</v>
      </c>
      <c r="Q8" s="3853"/>
      <c r="R8" s="1381" t="s">
        <v>5</v>
      </c>
      <c r="S8" s="1382">
        <f t="shared" si="0"/>
        <v>0</v>
      </c>
      <c r="T8" s="1381" t="s">
        <v>5</v>
      </c>
      <c r="U8" s="1382">
        <f t="shared" si="1"/>
        <v>0</v>
      </c>
      <c r="V8" s="1381" t="s">
        <v>5</v>
      </c>
      <c r="W8" s="1382">
        <f t="shared" si="2"/>
        <v>0</v>
      </c>
      <c r="X8" s="1383"/>
      <c r="Y8" s="3852" t="s">
        <v>482</v>
      </c>
      <c r="Z8" s="3853"/>
      <c r="AA8" s="1384" t="e">
        <f t="shared" ref="AA8:AA36" si="3">D8/F8</f>
        <v>#DIV/0!</v>
      </c>
      <c r="AB8" s="1384" t="e">
        <f t="shared" ref="AB8:AB36" si="4">D8/H8</f>
        <v>#DIV/0!</v>
      </c>
      <c r="AC8" s="1384" t="e">
        <f t="shared" ref="AC8:AC36" si="5">D8/J8</f>
        <v>#DIV/0!</v>
      </c>
    </row>
    <row r="9" spans="1:29" s="1118" customFormat="1" ht="14.4">
      <c r="A9" s="2394"/>
      <c r="B9" s="2401" t="s">
        <v>2037</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0" t="s">
        <v>484</v>
      </c>
      <c r="Q9" s="1050" t="str">
        <f t="shared" ref="Q9:Q14" si="6">B9</f>
        <v>用途</v>
      </c>
      <c r="R9" s="1381" t="s">
        <v>5</v>
      </c>
      <c r="S9" s="1382">
        <f t="shared" si="0"/>
        <v>100</v>
      </c>
      <c r="T9" s="1381" t="s">
        <v>5</v>
      </c>
      <c r="U9" s="1382">
        <f t="shared" si="1"/>
        <v>100</v>
      </c>
      <c r="V9" s="1381" t="s">
        <v>5</v>
      </c>
      <c r="W9" s="1382">
        <f t="shared" si="2"/>
        <v>100</v>
      </c>
      <c r="X9" s="1383"/>
      <c r="Y9" s="3808" t="s">
        <v>485</v>
      </c>
      <c r="Z9" s="1049" t="str">
        <f t="shared" ref="Z9:Z14" si="7">Q9</f>
        <v>用途</v>
      </c>
      <c r="AA9" s="1384">
        <f t="shared" si="3"/>
        <v>1</v>
      </c>
      <c r="AB9" s="1384">
        <f t="shared" si="4"/>
        <v>1</v>
      </c>
      <c r="AC9" s="1384">
        <f t="shared" si="5"/>
        <v>1</v>
      </c>
    </row>
    <row r="10" spans="1:29" s="1199" customFormat="1" ht="28.8">
      <c r="A10" s="2395"/>
      <c r="B10" s="2400" t="s">
        <v>2038</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0"/>
      <c r="Q11" s="1050">
        <f t="shared" si="6"/>
        <v>111</v>
      </c>
      <c r="R11" s="1381" t="s">
        <v>5</v>
      </c>
      <c r="S11" s="1382">
        <f t="shared" si="0"/>
        <v>100</v>
      </c>
      <c r="T11" s="1381" t="s">
        <v>5</v>
      </c>
      <c r="U11" s="1382">
        <f t="shared" si="1"/>
        <v>100</v>
      </c>
      <c r="V11" s="1381" t="s">
        <v>5</v>
      </c>
      <c r="W11" s="1382">
        <f t="shared" si="2"/>
        <v>100</v>
      </c>
      <c r="X11" s="1383"/>
      <c r="Y11" s="3808"/>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96.6">
      <c r="A14" s="2390" t="s">
        <v>2035</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62" t="s">
        <v>489</v>
      </c>
      <c r="Q14" s="1385" t="str">
        <f t="shared" si="6"/>
        <v>交通便捷度</v>
      </c>
      <c r="R14" s="1386" t="s">
        <v>5</v>
      </c>
      <c r="S14" s="1387">
        <f t="shared" si="0"/>
        <v>100</v>
      </c>
      <c r="T14" s="1386" t="s">
        <v>5</v>
      </c>
      <c r="U14" s="1387">
        <f t="shared" si="1"/>
        <v>100</v>
      </c>
      <c r="V14" s="1386" t="s">
        <v>5</v>
      </c>
      <c r="W14" s="1387">
        <f t="shared" si="2"/>
        <v>100</v>
      </c>
      <c r="X14" s="1380"/>
      <c r="Y14" s="386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63"/>
      <c r="Q15" s="1385"/>
      <c r="R15" s="1386"/>
      <c r="S15" s="1387"/>
      <c r="T15" s="1386"/>
      <c r="U15" s="1387"/>
      <c r="V15" s="1386"/>
      <c r="W15" s="1387"/>
      <c r="X15" s="1380"/>
      <c r="Y15" s="3863"/>
      <c r="Z15" s="1388"/>
      <c r="AA15" s="1389">
        <v>1</v>
      </c>
      <c r="AB15" s="1389">
        <v>1</v>
      </c>
      <c r="AC15" s="1389">
        <v>1</v>
      </c>
    </row>
    <row r="16" spans="1:29" ht="41.4">
      <c r="A16" s="485"/>
      <c r="B16" s="2211"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63"/>
      <c r="Q16" s="1385" t="str">
        <f>B16</f>
        <v>公共配套设施</v>
      </c>
      <c r="R16" s="1386" t="s">
        <v>5</v>
      </c>
      <c r="S16" s="1387">
        <f>F16</f>
        <v>100</v>
      </c>
      <c r="T16" s="1386" t="s">
        <v>5</v>
      </c>
      <c r="U16" s="1387">
        <f>H16</f>
        <v>100</v>
      </c>
      <c r="V16" s="1386" t="s">
        <v>5</v>
      </c>
      <c r="W16" s="1387">
        <f>J16</f>
        <v>100</v>
      </c>
      <c r="X16" s="1380"/>
      <c r="Y16" s="386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63"/>
      <c r="Q17" s="1385"/>
      <c r="R17" s="1386"/>
      <c r="S17" s="1387"/>
      <c r="T17" s="1386"/>
      <c r="U17" s="1387"/>
      <c r="V17" s="1386"/>
      <c r="W17" s="1387"/>
      <c r="X17" s="1380"/>
      <c r="Y17" s="3863"/>
      <c r="Z17" s="1388"/>
      <c r="AA17" s="1389">
        <v>1</v>
      </c>
      <c r="AB17" s="1389">
        <v>1</v>
      </c>
      <c r="AC17" s="1389">
        <v>1</v>
      </c>
    </row>
    <row r="18" spans="1:29" ht="41.4">
      <c r="A18" s="485"/>
      <c r="B18" s="2199"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63"/>
      <c r="Q18" s="2193" t="str">
        <f>B18</f>
        <v>基础设施水平</v>
      </c>
      <c r="R18" s="1386" t="s">
        <v>5</v>
      </c>
      <c r="S18" s="1387">
        <f>F18</f>
        <v>100</v>
      </c>
      <c r="T18" s="1386" t="s">
        <v>5</v>
      </c>
      <c r="U18" s="1387">
        <f>H18</f>
        <v>100</v>
      </c>
      <c r="V18" s="1386" t="s">
        <v>5</v>
      </c>
      <c r="W18" s="1387">
        <f>J18</f>
        <v>100</v>
      </c>
      <c r="X18" s="2195"/>
      <c r="Y18" s="386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63"/>
      <c r="Q19" s="2193"/>
      <c r="R19" s="1386"/>
      <c r="S19" s="1387"/>
      <c r="T19" s="1386"/>
      <c r="U19" s="1387"/>
      <c r="V19" s="1386"/>
      <c r="W19" s="1387"/>
      <c r="X19" s="2195"/>
      <c r="Y19" s="3863"/>
      <c r="Z19" s="2194"/>
      <c r="AA19" s="1389">
        <v>1</v>
      </c>
      <c r="AB19" s="1389">
        <v>1</v>
      </c>
      <c r="AC19" s="1389">
        <v>1</v>
      </c>
    </row>
    <row r="20" spans="1:29" ht="55.2">
      <c r="A20" s="485"/>
      <c r="B20" s="530" t="s">
        <v>743</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63"/>
      <c r="Q20" s="1385" t="str">
        <f>B20</f>
        <v>自然及人文环境</v>
      </c>
      <c r="R20" s="1386" t="s">
        <v>5</v>
      </c>
      <c r="S20" s="1387">
        <f>F20</f>
        <v>100</v>
      </c>
      <c r="T20" s="1386" t="s">
        <v>5</v>
      </c>
      <c r="U20" s="1387">
        <f>H20</f>
        <v>100</v>
      </c>
      <c r="V20" s="1386" t="s">
        <v>5</v>
      </c>
      <c r="W20" s="1387">
        <f>J20</f>
        <v>100</v>
      </c>
      <c r="X20" s="1380"/>
      <c r="Y20" s="386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63"/>
      <c r="Q21" s="1385"/>
      <c r="R21" s="1386"/>
      <c r="S21" s="1387"/>
      <c r="T21" s="1386"/>
      <c r="U21" s="1387"/>
      <c r="V21" s="1386"/>
      <c r="W21" s="1387"/>
      <c r="X21" s="1380"/>
      <c r="Y21" s="3863"/>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63"/>
      <c r="Q22" s="1385" t="str">
        <f>B22</f>
        <v>楼层</v>
      </c>
      <c r="R22" s="1386" t="s">
        <v>5</v>
      </c>
      <c r="S22" s="1387">
        <f>F22</f>
        <v>100</v>
      </c>
      <c r="T22" s="1386" t="s">
        <v>5</v>
      </c>
      <c r="U22" s="1387">
        <f>H22</f>
        <v>100</v>
      </c>
      <c r="V22" s="1386" t="s">
        <v>5</v>
      </c>
      <c r="W22" s="1387">
        <f>J22</f>
        <v>100</v>
      </c>
      <c r="X22" s="1380"/>
      <c r="Y22" s="386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63"/>
      <c r="Q23" s="1385">
        <f>B23</f>
        <v>111</v>
      </c>
      <c r="R23" s="1386" t="s">
        <v>5</v>
      </c>
      <c r="S23" s="1387">
        <f>F23</f>
        <v>100</v>
      </c>
      <c r="T23" s="1386" t="s">
        <v>5</v>
      </c>
      <c r="U23" s="1387">
        <f>H23</f>
        <v>100</v>
      </c>
      <c r="V23" s="1386" t="s">
        <v>5</v>
      </c>
      <c r="W23" s="1387">
        <f>J23</f>
        <v>100</v>
      </c>
      <c r="X23" s="1380"/>
      <c r="Y23" s="386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63"/>
      <c r="Q24" s="1385">
        <f t="shared" ref="Q24:Q36" si="8">B24</f>
        <v>111</v>
      </c>
      <c r="R24" s="1386" t="s">
        <v>5</v>
      </c>
      <c r="S24" s="1387">
        <f>F24</f>
        <v>100</v>
      </c>
      <c r="T24" s="1386" t="s">
        <v>5</v>
      </c>
      <c r="U24" s="1387">
        <f>H24</f>
        <v>100</v>
      </c>
      <c r="V24" s="1386" t="s">
        <v>5</v>
      </c>
      <c r="W24" s="1387">
        <f>J24</f>
        <v>100</v>
      </c>
      <c r="X24" s="1380"/>
      <c r="Y24" s="3863"/>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63"/>
      <c r="Q25" s="1050">
        <f t="shared" si="8"/>
        <v>111</v>
      </c>
      <c r="R25" s="1381" t="s">
        <v>5</v>
      </c>
      <c r="S25" s="1382">
        <f>F25</f>
        <v>100</v>
      </c>
      <c r="T25" s="1381" t="s">
        <v>5</v>
      </c>
      <c r="U25" s="1382">
        <f>H25</f>
        <v>100</v>
      </c>
      <c r="V25" s="1381" t="s">
        <v>5</v>
      </c>
      <c r="W25" s="1382">
        <f>J25</f>
        <v>100</v>
      </c>
      <c r="X25" s="1383"/>
      <c r="Y25" s="3863"/>
      <c r="Z25" s="1049">
        <f>Q25</f>
        <v>111</v>
      </c>
      <c r="AA25" s="1389">
        <f>D25/F25</f>
        <v>1</v>
      </c>
      <c r="AB25" s="1389">
        <f>D25/H25</f>
        <v>1</v>
      </c>
      <c r="AC25" s="1389">
        <f>D25/J25</f>
        <v>1</v>
      </c>
    </row>
    <row r="26" spans="1:29" ht="15">
      <c r="A26" s="2387" t="s">
        <v>2036</v>
      </c>
      <c r="B26" s="163" t="s">
        <v>745</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6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65" t="s">
        <v>499</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65"/>
      <c r="Q27" s="1414" t="str">
        <f t="shared" si="8"/>
        <v>项目停车位配比</v>
      </c>
      <c r="R27" s="1390" t="s">
        <v>5</v>
      </c>
      <c r="S27" s="1391">
        <f t="shared" si="9"/>
        <v>100</v>
      </c>
      <c r="T27" s="1390" t="s">
        <v>5</v>
      </c>
      <c r="U27" s="1391">
        <f t="shared" si="10"/>
        <v>100</v>
      </c>
      <c r="V27" s="1390" t="s">
        <v>5</v>
      </c>
      <c r="W27" s="1391">
        <f t="shared" si="11"/>
        <v>100</v>
      </c>
      <c r="X27" s="1392"/>
      <c r="Y27" s="3865"/>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65"/>
      <c r="Q28" s="1385" t="str">
        <f t="shared" si="8"/>
        <v>公共部分装修</v>
      </c>
      <c r="R28" s="1386" t="s">
        <v>5</v>
      </c>
      <c r="S28" s="1387">
        <f t="shared" si="9"/>
        <v>100</v>
      </c>
      <c r="T28" s="1386" t="s">
        <v>5</v>
      </c>
      <c r="U28" s="1387">
        <f t="shared" si="10"/>
        <v>100</v>
      </c>
      <c r="V28" s="1386" t="s">
        <v>5</v>
      </c>
      <c r="W28" s="1387">
        <f t="shared" si="11"/>
        <v>100</v>
      </c>
      <c r="X28" s="1380"/>
      <c r="Y28" s="3865"/>
      <c r="Z28" s="1388" t="str">
        <f t="shared" si="12"/>
        <v>公共部分装修</v>
      </c>
      <c r="AA28" s="1389">
        <f t="shared" si="3"/>
        <v>1</v>
      </c>
      <c r="AB28" s="1389">
        <f t="shared" si="4"/>
        <v>1</v>
      </c>
      <c r="AC28" s="1389">
        <f t="shared" si="5"/>
        <v>1</v>
      </c>
    </row>
    <row r="29" spans="1:29" ht="15">
      <c r="A29" s="894"/>
      <c r="B29" s="552" t="s">
        <v>748</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65"/>
      <c r="Q29" s="1385" t="str">
        <f t="shared" si="8"/>
        <v>成新率</v>
      </c>
      <c r="R29" s="1386" t="s">
        <v>5</v>
      </c>
      <c r="S29" s="1387" t="e">
        <f t="shared" si="9"/>
        <v>#N/A</v>
      </c>
      <c r="T29" s="1386" t="s">
        <v>5</v>
      </c>
      <c r="U29" s="1387" t="e">
        <f t="shared" si="10"/>
        <v>#N/A</v>
      </c>
      <c r="V29" s="1386" t="s">
        <v>5</v>
      </c>
      <c r="W29" s="1387" t="e">
        <f t="shared" si="11"/>
        <v>#N/A</v>
      </c>
      <c r="X29" s="1380"/>
      <c r="Y29" s="3865"/>
      <c r="Z29" s="1388" t="str">
        <f t="shared" si="12"/>
        <v>成新率</v>
      </c>
      <c r="AA29" s="1389" t="e">
        <f t="shared" si="3"/>
        <v>#N/A</v>
      </c>
      <c r="AB29" s="1389" t="e">
        <f t="shared" si="4"/>
        <v>#N/A</v>
      </c>
      <c r="AC29" s="1389" t="e">
        <f t="shared" si="5"/>
        <v>#N/A</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65"/>
      <c r="Q30" s="1385" t="str">
        <f t="shared" si="8"/>
        <v>物业等级</v>
      </c>
      <c r="R30" s="1386" t="s">
        <v>5</v>
      </c>
      <c r="S30" s="1387">
        <f t="shared" si="9"/>
        <v>100</v>
      </c>
      <c r="T30" s="1386" t="s">
        <v>5</v>
      </c>
      <c r="U30" s="1387">
        <f t="shared" si="10"/>
        <v>100</v>
      </c>
      <c r="V30" s="1386" t="s">
        <v>5</v>
      </c>
      <c r="W30" s="1387">
        <f t="shared" si="11"/>
        <v>100</v>
      </c>
      <c r="X30" s="1380"/>
      <c r="Y30" s="3865"/>
      <c r="Z30" s="1388" t="str">
        <f t="shared" si="12"/>
        <v>物业等级</v>
      </c>
      <c r="AA30" s="1389">
        <f t="shared" si="3"/>
        <v>1</v>
      </c>
      <c r="AB30" s="1389">
        <f t="shared" si="4"/>
        <v>1</v>
      </c>
      <c r="AC30" s="1389">
        <f t="shared" si="5"/>
        <v>1</v>
      </c>
    </row>
    <row r="31" spans="1:29" s="1118" customFormat="1" ht="15">
      <c r="A31" s="896"/>
      <c r="B31" s="552" t="s">
        <v>750</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65"/>
      <c r="Q31" s="1050" t="str">
        <f t="shared" si="8"/>
        <v>停车位面积</v>
      </c>
      <c r="R31" s="1381" t="s">
        <v>5</v>
      </c>
      <c r="S31" s="1382" t="e">
        <f t="shared" si="9"/>
        <v>#N/A</v>
      </c>
      <c r="T31" s="1381" t="s">
        <v>5</v>
      </c>
      <c r="U31" s="1382" t="e">
        <f t="shared" si="10"/>
        <v>#N/A</v>
      </c>
      <c r="V31" s="1381" t="s">
        <v>5</v>
      </c>
      <c r="W31" s="1382" t="e">
        <f t="shared" si="11"/>
        <v>#N/A</v>
      </c>
      <c r="X31" s="1383"/>
      <c r="Y31" s="3865"/>
      <c r="Z31" s="1049" t="str">
        <f t="shared" si="12"/>
        <v>停车位面积</v>
      </c>
      <c r="AA31" s="1384" t="e">
        <f t="shared" si="3"/>
        <v>#N/A</v>
      </c>
      <c r="AB31" s="1384" t="e">
        <f t="shared" si="4"/>
        <v>#N/A</v>
      </c>
      <c r="AC31" s="1384" t="e">
        <f t="shared" si="5"/>
        <v>#N/A</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65" t="s">
        <v>499</v>
      </c>
      <c r="Q32" s="1385" t="str">
        <f t="shared" si="8"/>
        <v>车位类型</v>
      </c>
      <c r="R32" s="1386" t="s">
        <v>5</v>
      </c>
      <c r="S32" s="1387">
        <f t="shared" si="9"/>
        <v>100</v>
      </c>
      <c r="T32" s="1386" t="s">
        <v>5</v>
      </c>
      <c r="U32" s="1387">
        <f t="shared" si="10"/>
        <v>100</v>
      </c>
      <c r="V32" s="1386" t="s">
        <v>5</v>
      </c>
      <c r="W32" s="1387">
        <f t="shared" si="11"/>
        <v>100</v>
      </c>
      <c r="X32" s="1380"/>
      <c r="Y32" s="3865" t="s">
        <v>499</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65"/>
      <c r="Q33" s="1385" t="str">
        <f t="shared" si="8"/>
        <v>是否直接入户</v>
      </c>
      <c r="R33" s="1386" t="s">
        <v>5</v>
      </c>
      <c r="S33" s="1387">
        <f t="shared" si="9"/>
        <v>100</v>
      </c>
      <c r="T33" s="1386" t="s">
        <v>5</v>
      </c>
      <c r="U33" s="1387">
        <f t="shared" si="10"/>
        <v>100</v>
      </c>
      <c r="V33" s="1386" t="s">
        <v>5</v>
      </c>
      <c r="W33" s="1387">
        <f t="shared" si="11"/>
        <v>100</v>
      </c>
      <c r="X33" s="1380"/>
      <c r="Y33" s="386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65"/>
      <c r="Q34" s="1385">
        <f t="shared" si="8"/>
        <v>111</v>
      </c>
      <c r="R34" s="1386" t="s">
        <v>5</v>
      </c>
      <c r="S34" s="1387">
        <f t="shared" si="9"/>
        <v>100</v>
      </c>
      <c r="T34" s="1386" t="s">
        <v>5</v>
      </c>
      <c r="U34" s="1387">
        <f t="shared" si="10"/>
        <v>100</v>
      </c>
      <c r="V34" s="1386" t="s">
        <v>5</v>
      </c>
      <c r="W34" s="1387">
        <f t="shared" si="11"/>
        <v>100</v>
      </c>
      <c r="X34" s="1380"/>
      <c r="Y34" s="386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65"/>
      <c r="Q35" s="1414">
        <f t="shared" si="8"/>
        <v>111</v>
      </c>
      <c r="R35" s="1390" t="s">
        <v>5</v>
      </c>
      <c r="S35" s="1391">
        <f t="shared" si="9"/>
        <v>100</v>
      </c>
      <c r="T35" s="1390" t="s">
        <v>5</v>
      </c>
      <c r="U35" s="1391">
        <f t="shared" si="10"/>
        <v>100</v>
      </c>
      <c r="V35" s="1390" t="s">
        <v>5</v>
      </c>
      <c r="W35" s="1391">
        <f t="shared" si="11"/>
        <v>100</v>
      </c>
      <c r="X35" s="1392"/>
      <c r="Y35" s="3865"/>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65"/>
      <c r="Q36" s="1385">
        <f t="shared" si="8"/>
        <v>111</v>
      </c>
      <c r="R36" s="1386" t="s">
        <v>5</v>
      </c>
      <c r="S36" s="1387">
        <f t="shared" si="9"/>
        <v>100</v>
      </c>
      <c r="T36" s="1386" t="s">
        <v>5</v>
      </c>
      <c r="U36" s="1387">
        <f t="shared" si="10"/>
        <v>100</v>
      </c>
      <c r="V36" s="1386" t="s">
        <v>5</v>
      </c>
      <c r="W36" s="1387">
        <f t="shared" si="11"/>
        <v>100</v>
      </c>
      <c r="X36" s="1380"/>
      <c r="Y36" s="3865"/>
      <c r="Z36" s="1388">
        <f t="shared" si="12"/>
        <v>111</v>
      </c>
      <c r="AA36" s="1389">
        <f t="shared" si="3"/>
        <v>1</v>
      </c>
      <c r="AB36" s="1389">
        <f t="shared" si="4"/>
        <v>1</v>
      </c>
      <c r="AC36" s="1389">
        <f t="shared" si="5"/>
        <v>1</v>
      </c>
    </row>
    <row r="37" spans="1:29" ht="14.4">
      <c r="A37" s="1632" t="s">
        <v>1594</v>
      </c>
      <c r="B37" s="1633" t="s">
        <v>1595</v>
      </c>
      <c r="C37" s="2234" t="s">
        <v>0</v>
      </c>
      <c r="D37" s="2235"/>
      <c r="E37" s="2236"/>
      <c r="F37" s="2237"/>
      <c r="G37" s="2238"/>
      <c r="H37" s="2239"/>
      <c r="I37" s="2236"/>
      <c r="J37" s="2239"/>
      <c r="K37" s="1419"/>
      <c r="L37" s="1867"/>
      <c r="M37" s="1868"/>
      <c r="N37" s="1857"/>
      <c r="O37" s="1868"/>
      <c r="P37" s="3860" t="str">
        <f>A37</f>
        <v>成交单价</v>
      </c>
      <c r="Q37" s="3860"/>
      <c r="R37" s="3972">
        <f>E37</f>
        <v>0</v>
      </c>
      <c r="S37" s="3972"/>
      <c r="T37" s="3972">
        <f>G37</f>
        <v>0</v>
      </c>
      <c r="U37" s="3972"/>
      <c r="V37" s="3972">
        <f>I37</f>
        <v>0</v>
      </c>
      <c r="W37" s="3972"/>
      <c r="X37" s="1375"/>
      <c r="Y37" s="1394"/>
      <c r="Z37" s="1375"/>
      <c r="AA37" s="1375"/>
      <c r="AB37" s="1375"/>
      <c r="AC37" s="1375"/>
    </row>
    <row r="38" spans="1:29" ht="15" thickBot="1">
      <c r="A38" s="585" t="s">
        <v>2041</v>
      </c>
      <c r="B38" s="851"/>
      <c r="C38" s="2240" t="e">
        <f>R39</f>
        <v>#DIV/0!</v>
      </c>
      <c r="D38" s="2757" t="s">
        <v>2260</v>
      </c>
      <c r="E38" s="2241" t="e">
        <f>R38</f>
        <v>#DIV/0!</v>
      </c>
      <c r="F38" s="2758"/>
      <c r="G38" s="2240" t="e">
        <f>T38</f>
        <v>#DIV/0!</v>
      </c>
      <c r="H38" s="2758"/>
      <c r="I38" s="2241" t="e">
        <f>V38</f>
        <v>#DIV/0!</v>
      </c>
      <c r="J38" s="2758"/>
      <c r="K38" s="2766">
        <f>F38+H38+J38</f>
        <v>0</v>
      </c>
      <c r="L38" s="1867"/>
      <c r="M38" s="1868"/>
      <c r="N38" s="1868"/>
      <c r="O38" s="1868"/>
      <c r="P38" s="3860" t="str">
        <f>A38</f>
        <v>比较价格（元/平方米）</v>
      </c>
      <c r="Q38" s="3860"/>
      <c r="R38" s="3972" t="e">
        <f>IF(F1="售价",ROUND(PRODUCT(R37,AA7:AA36),0),ROUND(PRODUCT(R37,AA7:AA36),1))</f>
        <v>#DIV/0!</v>
      </c>
      <c r="S38" s="3972"/>
      <c r="T38" s="3972" t="e">
        <f>IF(F1="售价",ROUND(PRODUCT(T37,AB7:AB36),0),ROUND(PRODUCT(T37,AB7:AB36),1))</f>
        <v>#DIV/0!</v>
      </c>
      <c r="U38" s="3972"/>
      <c r="V38" s="3972" t="e">
        <f>IF(F1="售价",ROUND(PRODUCT(V37,AC7:AC36),0),ROUND(PRODUCT(V37,AC7:AC36),1))</f>
        <v>#DIV/0!</v>
      </c>
      <c r="W38" s="3972"/>
      <c r="X38" s="1375"/>
      <c r="Y38" s="1375"/>
      <c r="Z38" s="1375"/>
      <c r="AA38" s="1375"/>
      <c r="AB38" s="1375"/>
      <c r="AC38" s="1375"/>
    </row>
    <row r="39" spans="1:29" ht="15" thickBot="1">
      <c r="A39" s="589" t="s">
        <v>2197</v>
      </c>
      <c r="B39" s="590"/>
      <c r="C39" s="2242" t="e">
        <f>R39</f>
        <v>#DIV/0!</v>
      </c>
      <c r="D39" s="2242"/>
      <c r="E39" s="2242"/>
      <c r="F39" s="2242"/>
      <c r="G39" s="2242"/>
      <c r="H39" s="2242"/>
      <c r="I39" s="2242"/>
      <c r="J39" s="2242"/>
      <c r="K39" s="1420"/>
      <c r="L39" s="1867"/>
      <c r="M39" s="1868"/>
      <c r="N39" s="1868"/>
      <c r="O39" s="1868"/>
      <c r="P39" s="3866" t="str">
        <f>A39</f>
        <v>估价对象XX用房的比较价格（楼面单价，元/平方米）</v>
      </c>
      <c r="Q39" s="3867"/>
      <c r="R39" s="3971" t="e">
        <f>IF(F1="售价",ROUND(IF(D38="简单平均",AVERAGE(R38:W38),R38*F38+T38*H38+V38*J38),0),ROUND(IF(D38="简单平均",AVERAGE(R38:V38),R38*F38+T38*H38+V38*J38),1))</f>
        <v>#DIV/0!</v>
      </c>
      <c r="S39" s="3971"/>
      <c r="T39" s="3971"/>
      <c r="U39" s="3971"/>
      <c r="V39" s="3971"/>
      <c r="W39" s="397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2024-8</v>
      </c>
      <c r="D48" s="2284">
        <f>EDATE(C48,-1)</f>
        <v>45474</v>
      </c>
      <c r="E48" s="2284">
        <f t="shared" ref="E48:O48" si="13">EDATE(D48,-1)</f>
        <v>45444</v>
      </c>
      <c r="F48" s="2284">
        <f t="shared" si="13"/>
        <v>45413</v>
      </c>
      <c r="G48" s="2284">
        <f t="shared" si="13"/>
        <v>45383</v>
      </c>
      <c r="H48" s="2284">
        <f t="shared" si="13"/>
        <v>45352</v>
      </c>
      <c r="I48" s="2284">
        <f t="shared" si="13"/>
        <v>45323</v>
      </c>
      <c r="J48" s="2284">
        <f t="shared" si="13"/>
        <v>45292</v>
      </c>
      <c r="K48" s="2284">
        <f t="shared" si="13"/>
        <v>45261</v>
      </c>
      <c r="L48" s="2284">
        <f t="shared" si="13"/>
        <v>45231</v>
      </c>
      <c r="M48" s="2284">
        <f t="shared" si="13"/>
        <v>45200</v>
      </c>
      <c r="N48" s="2284">
        <f t="shared" si="13"/>
        <v>45170</v>
      </c>
      <c r="O48" s="2284">
        <f t="shared" si="13"/>
        <v>45139</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1839</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1840</v>
      </c>
      <c r="C67" s="2206" t="s">
        <v>1841</v>
      </c>
      <c r="D67" s="2206" t="s">
        <v>1842</v>
      </c>
      <c r="E67" s="2206" t="s">
        <v>1843</v>
      </c>
      <c r="F67" s="2206" t="s">
        <v>1844</v>
      </c>
      <c r="G67" s="2206" t="s">
        <v>1845</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683</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684</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753</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754</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690</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757</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759</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t="e">
        <f>C37</f>
        <v>#DIV/0!</v>
      </c>
      <c r="C3" s="817" t="s">
        <v>735</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736</v>
      </c>
      <c r="B4" s="483"/>
      <c r="C4" s="3868" t="s">
        <v>737</v>
      </c>
      <c r="D4" s="3869"/>
      <c r="E4" s="3890" t="s">
        <v>738</v>
      </c>
      <c r="F4" s="3891"/>
      <c r="G4" s="3868" t="s">
        <v>739</v>
      </c>
      <c r="H4" s="3869"/>
      <c r="I4" s="3868" t="s">
        <v>740</v>
      </c>
      <c r="J4" s="3869"/>
      <c r="K4" s="484" t="s">
        <v>741</v>
      </c>
      <c r="L4" s="1856"/>
      <c r="M4" s="1857"/>
      <c r="N4" s="1857"/>
      <c r="O4" s="1857"/>
      <c r="P4" s="3870" t="s">
        <v>742</v>
      </c>
      <c r="Q4" s="3871"/>
      <c r="R4" s="3854" t="s">
        <v>738</v>
      </c>
      <c r="S4" s="3855"/>
      <c r="T4" s="3854" t="s">
        <v>739</v>
      </c>
      <c r="U4" s="3855"/>
      <c r="V4" s="3876" t="s">
        <v>740</v>
      </c>
      <c r="W4" s="3876"/>
      <c r="X4" s="1380"/>
      <c r="Y4" s="3854" t="s">
        <v>742</v>
      </c>
      <c r="Z4" s="3855"/>
      <c r="AA4" s="3849" t="s">
        <v>738</v>
      </c>
      <c r="AB4" s="3850" t="s">
        <v>739</v>
      </c>
      <c r="AC4" s="3849" t="s">
        <v>740</v>
      </c>
    </row>
    <row r="5" spans="1:29">
      <c r="A5" s="485"/>
      <c r="B5" s="486"/>
      <c r="C5" s="3879" t="s">
        <v>2191</v>
      </c>
      <c r="D5" s="3880"/>
      <c r="E5" s="3892" t="s">
        <v>2192</v>
      </c>
      <c r="F5" s="3893"/>
      <c r="G5" s="3879" t="s">
        <v>2193</v>
      </c>
      <c r="H5" s="3880"/>
      <c r="I5" s="3879" t="s">
        <v>2194</v>
      </c>
      <c r="J5" s="3880"/>
      <c r="K5" s="484"/>
      <c r="L5" s="1856"/>
      <c r="M5" s="1857"/>
      <c r="N5" s="1857"/>
      <c r="O5" s="1857"/>
      <c r="P5" s="3872"/>
      <c r="Q5" s="3873"/>
      <c r="R5" s="3856"/>
      <c r="S5" s="3857"/>
      <c r="T5" s="3856"/>
      <c r="U5" s="3857"/>
      <c r="V5" s="3876"/>
      <c r="W5" s="3876"/>
      <c r="X5" s="1380"/>
      <c r="Y5" s="3856"/>
      <c r="Z5" s="3857"/>
      <c r="AA5" s="3850"/>
      <c r="AB5" s="3850"/>
      <c r="AC5" s="3850"/>
    </row>
    <row r="6" spans="1:29" ht="15" thickBot="1">
      <c r="A6" s="487"/>
      <c r="B6" s="488"/>
      <c r="C6" s="3877" t="s">
        <v>2195</v>
      </c>
      <c r="D6" s="3878"/>
      <c r="E6" s="3894" t="s">
        <v>2195</v>
      </c>
      <c r="F6" s="3895"/>
      <c r="G6" s="3877" t="s">
        <v>2195</v>
      </c>
      <c r="H6" s="3878"/>
      <c r="I6" s="3877" t="s">
        <v>2195</v>
      </c>
      <c r="J6" s="3878"/>
      <c r="K6" s="484" t="s">
        <v>477</v>
      </c>
      <c r="L6" s="1856"/>
      <c r="M6" s="1857"/>
      <c r="N6" s="1857"/>
      <c r="O6" s="1857"/>
      <c r="P6" s="3874"/>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45506</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52" t="s">
        <v>479</v>
      </c>
      <c r="Q7" s="3861"/>
      <c r="R7" s="1381" t="s">
        <v>5</v>
      </c>
      <c r="S7" s="1382">
        <f t="shared" ref="S7:S14" si="0">F7</f>
        <v>0</v>
      </c>
      <c r="T7" s="1381" t="s">
        <v>5</v>
      </c>
      <c r="U7" s="1382">
        <f t="shared" ref="U7:U14" si="1">H7</f>
        <v>0</v>
      </c>
      <c r="V7" s="1381" t="s">
        <v>5</v>
      </c>
      <c r="W7" s="1382">
        <f t="shared" ref="W7:W14"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52" t="s">
        <v>482</v>
      </c>
      <c r="Q8" s="3853"/>
      <c r="R8" s="1381" t="s">
        <v>5</v>
      </c>
      <c r="S8" s="1382">
        <f t="shared" si="0"/>
        <v>0</v>
      </c>
      <c r="T8" s="1381" t="s">
        <v>5</v>
      </c>
      <c r="U8" s="1382">
        <f t="shared" si="1"/>
        <v>0</v>
      </c>
      <c r="V8" s="1381" t="s">
        <v>5</v>
      </c>
      <c r="W8" s="1382">
        <f t="shared" si="2"/>
        <v>0</v>
      </c>
      <c r="X8" s="1383"/>
      <c r="Y8" s="3852" t="s">
        <v>482</v>
      </c>
      <c r="Z8" s="3853"/>
      <c r="AA8" s="1384" t="e">
        <f t="shared" ref="AA8:AA34" si="3">D8/F8</f>
        <v>#DIV/0!</v>
      </c>
      <c r="AB8" s="1384" t="e">
        <f t="shared" ref="AB8:AB34" si="4">D8/H8</f>
        <v>#DIV/0!</v>
      </c>
      <c r="AC8" s="1384" t="e">
        <f t="shared" ref="AC8:AC34" si="5">D8/J8</f>
        <v>#DIV/0!</v>
      </c>
    </row>
    <row r="9" spans="1:29" s="1118" customFormat="1" ht="14.4">
      <c r="A9" s="2394"/>
      <c r="B9" s="2401" t="s">
        <v>2037</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0" t="s">
        <v>484</v>
      </c>
      <c r="Q9" s="1050" t="str">
        <f t="shared" ref="Q9:Q14" si="6">B9</f>
        <v>用途</v>
      </c>
      <c r="R9" s="1381" t="s">
        <v>5</v>
      </c>
      <c r="S9" s="1382">
        <f t="shared" si="0"/>
        <v>100</v>
      </c>
      <c r="T9" s="1381" t="s">
        <v>5</v>
      </c>
      <c r="U9" s="1382">
        <f t="shared" si="1"/>
        <v>100</v>
      </c>
      <c r="V9" s="1381" t="s">
        <v>5</v>
      </c>
      <c r="W9" s="1382">
        <f t="shared" si="2"/>
        <v>100</v>
      </c>
      <c r="X9" s="1383"/>
      <c r="Y9" s="3808" t="s">
        <v>485</v>
      </c>
      <c r="Z9" s="1049" t="str">
        <f t="shared" ref="Z9:Z14" si="7">Q9</f>
        <v>用途</v>
      </c>
      <c r="AA9" s="1384">
        <f t="shared" si="3"/>
        <v>1</v>
      </c>
      <c r="AB9" s="1384">
        <f t="shared" si="4"/>
        <v>1</v>
      </c>
      <c r="AC9" s="1384">
        <f t="shared" si="5"/>
        <v>1</v>
      </c>
    </row>
    <row r="10" spans="1:29" s="1199" customFormat="1" ht="28.8">
      <c r="A10" s="2395"/>
      <c r="B10" s="2400" t="s">
        <v>2038</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0"/>
      <c r="Q11" s="1050">
        <f t="shared" si="6"/>
        <v>111</v>
      </c>
      <c r="R11" s="1381" t="s">
        <v>5</v>
      </c>
      <c r="S11" s="1382">
        <f t="shared" si="0"/>
        <v>100</v>
      </c>
      <c r="T11" s="1381" t="s">
        <v>5</v>
      </c>
      <c r="U11" s="1382">
        <f t="shared" si="1"/>
        <v>100</v>
      </c>
      <c r="V11" s="1381" t="s">
        <v>5</v>
      </c>
      <c r="W11" s="1382">
        <f t="shared" si="2"/>
        <v>100</v>
      </c>
      <c r="X11" s="1383"/>
      <c r="Y11" s="3808"/>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96.6">
      <c r="A14" s="2390" t="s">
        <v>2035</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62" t="s">
        <v>489</v>
      </c>
      <c r="Q14" s="1385" t="str">
        <f t="shared" si="6"/>
        <v>交通便捷度</v>
      </c>
      <c r="R14" s="1386" t="s">
        <v>5</v>
      </c>
      <c r="S14" s="1387">
        <f t="shared" si="0"/>
        <v>100</v>
      </c>
      <c r="T14" s="1386" t="s">
        <v>5</v>
      </c>
      <c r="U14" s="1387">
        <f t="shared" si="1"/>
        <v>100</v>
      </c>
      <c r="V14" s="1386" t="s">
        <v>5</v>
      </c>
      <c r="W14" s="1387">
        <f t="shared" si="2"/>
        <v>100</v>
      </c>
      <c r="X14" s="1380"/>
      <c r="Y14" s="386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63"/>
      <c r="Q15" s="1385"/>
      <c r="R15" s="1386"/>
      <c r="S15" s="1387"/>
      <c r="T15" s="1386"/>
      <c r="U15" s="1387"/>
      <c r="V15" s="1386"/>
      <c r="W15" s="1387"/>
      <c r="X15" s="1380"/>
      <c r="Y15" s="3863"/>
      <c r="Z15" s="1388"/>
      <c r="AA15" s="1389">
        <v>1</v>
      </c>
      <c r="AB15" s="1389">
        <v>1</v>
      </c>
      <c r="AC15" s="1389">
        <v>1</v>
      </c>
    </row>
    <row r="16" spans="1:29" ht="41.4">
      <c r="A16" s="502"/>
      <c r="B16" s="2211"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63"/>
      <c r="Q16" s="1385" t="str">
        <f>B16</f>
        <v>公共配套设施</v>
      </c>
      <c r="R16" s="1386" t="s">
        <v>5</v>
      </c>
      <c r="S16" s="1387">
        <f>F16</f>
        <v>100</v>
      </c>
      <c r="T16" s="1386" t="s">
        <v>5</v>
      </c>
      <c r="U16" s="1387">
        <f>H16</f>
        <v>100</v>
      </c>
      <c r="V16" s="1386" t="s">
        <v>5</v>
      </c>
      <c r="W16" s="1387">
        <f>J16</f>
        <v>100</v>
      </c>
      <c r="X16" s="1380"/>
      <c r="Y16" s="386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63"/>
      <c r="Q17" s="1385"/>
      <c r="R17" s="1386"/>
      <c r="S17" s="1387"/>
      <c r="T17" s="1386"/>
      <c r="U17" s="1387"/>
      <c r="V17" s="1386"/>
      <c r="W17" s="1387"/>
      <c r="X17" s="1380"/>
      <c r="Y17" s="3863"/>
      <c r="Z17" s="1388"/>
      <c r="AA17" s="1389">
        <v>1</v>
      </c>
      <c r="AB17" s="1389">
        <v>1</v>
      </c>
      <c r="AC17" s="1389">
        <v>1</v>
      </c>
    </row>
    <row r="18" spans="1:29" ht="41.4">
      <c r="A18" s="502"/>
      <c r="B18" s="2199"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63"/>
      <c r="Q18" s="2193" t="str">
        <f>B18</f>
        <v>基础设施水平</v>
      </c>
      <c r="R18" s="1386" t="s">
        <v>5</v>
      </c>
      <c r="S18" s="1387">
        <f>F18</f>
        <v>100</v>
      </c>
      <c r="T18" s="1386" t="s">
        <v>5</v>
      </c>
      <c r="U18" s="1387">
        <f>H18</f>
        <v>100</v>
      </c>
      <c r="V18" s="1386" t="s">
        <v>5</v>
      </c>
      <c r="W18" s="1387">
        <f>J18</f>
        <v>100</v>
      </c>
      <c r="X18" s="2195"/>
      <c r="Y18" s="386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63"/>
      <c r="Q19" s="2193"/>
      <c r="R19" s="1386"/>
      <c r="S19" s="1387"/>
      <c r="T19" s="1386"/>
      <c r="U19" s="1387"/>
      <c r="V19" s="1386"/>
      <c r="W19" s="1387"/>
      <c r="X19" s="2195"/>
      <c r="Y19" s="3863"/>
      <c r="Z19" s="2194"/>
      <c r="AA19" s="1389">
        <v>1</v>
      </c>
      <c r="AB19" s="1389">
        <v>1</v>
      </c>
      <c r="AC19" s="1389">
        <v>1</v>
      </c>
    </row>
    <row r="20" spans="1:29" ht="55.2">
      <c r="A20" s="502"/>
      <c r="B20" s="834" t="s">
        <v>743</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63"/>
      <c r="Q20" s="1385" t="str">
        <f>B20</f>
        <v>自然及人文环境</v>
      </c>
      <c r="R20" s="1386" t="s">
        <v>5</v>
      </c>
      <c r="S20" s="1387">
        <f>F20</f>
        <v>100</v>
      </c>
      <c r="T20" s="1386" t="s">
        <v>5</v>
      </c>
      <c r="U20" s="1387">
        <f>H20</f>
        <v>100</v>
      </c>
      <c r="V20" s="1386" t="s">
        <v>5</v>
      </c>
      <c r="W20" s="1387">
        <f>J20</f>
        <v>100</v>
      </c>
      <c r="X20" s="1380"/>
      <c r="Y20" s="386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63"/>
      <c r="Q21" s="1385"/>
      <c r="R21" s="1386"/>
      <c r="S21" s="1387"/>
      <c r="T21" s="1386"/>
      <c r="U21" s="1387"/>
      <c r="V21" s="1386"/>
      <c r="W21" s="1387"/>
      <c r="X21" s="1380"/>
      <c r="Y21" s="3863"/>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63"/>
      <c r="Q22" s="1385" t="str">
        <f>B22</f>
        <v>楼层</v>
      </c>
      <c r="R22" s="1386" t="s">
        <v>5</v>
      </c>
      <c r="S22" s="1387">
        <f>F22</f>
        <v>100</v>
      </c>
      <c r="T22" s="1386" t="s">
        <v>5</v>
      </c>
      <c r="U22" s="1387">
        <f>H22</f>
        <v>100</v>
      </c>
      <c r="V22" s="1386" t="s">
        <v>5</v>
      </c>
      <c r="W22" s="1387">
        <f>J22</f>
        <v>100</v>
      </c>
      <c r="X22" s="1380"/>
      <c r="Y22" s="386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63"/>
      <c r="Q23" s="1385">
        <f>B23</f>
        <v>111</v>
      </c>
      <c r="R23" s="1386" t="s">
        <v>5</v>
      </c>
      <c r="S23" s="1387">
        <f>F23</f>
        <v>100</v>
      </c>
      <c r="T23" s="1386" t="s">
        <v>5</v>
      </c>
      <c r="U23" s="1387">
        <f>H23</f>
        <v>100</v>
      </c>
      <c r="V23" s="1386" t="s">
        <v>5</v>
      </c>
      <c r="W23" s="1387">
        <f>J23</f>
        <v>100</v>
      </c>
      <c r="X23" s="1380"/>
      <c r="Y23" s="386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63"/>
      <c r="Q24" s="1385">
        <f t="shared" ref="Q24:Q34" si="8">B24</f>
        <v>111</v>
      </c>
      <c r="R24" s="1386" t="s">
        <v>5</v>
      </c>
      <c r="S24" s="1387">
        <f>F24</f>
        <v>100</v>
      </c>
      <c r="T24" s="1386" t="s">
        <v>5</v>
      </c>
      <c r="U24" s="1387">
        <f>H24</f>
        <v>100</v>
      </c>
      <c r="V24" s="1386" t="s">
        <v>5</v>
      </c>
      <c r="W24" s="1387">
        <f>J24</f>
        <v>100</v>
      </c>
      <c r="X24" s="1380"/>
      <c r="Y24" s="3863"/>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63"/>
      <c r="Q25" s="1050">
        <f t="shared" si="8"/>
        <v>111</v>
      </c>
      <c r="R25" s="1381" t="s">
        <v>5</v>
      </c>
      <c r="S25" s="1382">
        <f>F25</f>
        <v>100</v>
      </c>
      <c r="T25" s="1381" t="s">
        <v>5</v>
      </c>
      <c r="U25" s="1382">
        <f>H25</f>
        <v>100</v>
      </c>
      <c r="V25" s="1381" t="s">
        <v>5</v>
      </c>
      <c r="W25" s="1382">
        <f>J25</f>
        <v>100</v>
      </c>
      <c r="X25" s="1383"/>
      <c r="Y25" s="3863"/>
      <c r="Z25" s="1049">
        <f>Q25</f>
        <v>111</v>
      </c>
      <c r="AA25" s="1389">
        <f>D25/F25</f>
        <v>1</v>
      </c>
      <c r="AB25" s="1389">
        <f>D25/H25</f>
        <v>1</v>
      </c>
      <c r="AC25" s="1389">
        <f>D25/J25</f>
        <v>1</v>
      </c>
    </row>
    <row r="26" spans="1:29" ht="15">
      <c r="A26" s="2387" t="s">
        <v>2036</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64"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65"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65"/>
      <c r="Q27" s="1414" t="str">
        <f t="shared" si="8"/>
        <v>成新率</v>
      </c>
      <c r="R27" s="1390" t="s">
        <v>5</v>
      </c>
      <c r="S27" s="1391" t="e">
        <f t="shared" si="9"/>
        <v>#N/A</v>
      </c>
      <c r="T27" s="1390" t="s">
        <v>5</v>
      </c>
      <c r="U27" s="1391" t="e">
        <f t="shared" si="10"/>
        <v>#N/A</v>
      </c>
      <c r="V27" s="1390" t="s">
        <v>5</v>
      </c>
      <c r="W27" s="1391" t="e">
        <f t="shared" si="11"/>
        <v>#N/A</v>
      </c>
      <c r="X27" s="1392"/>
      <c r="Y27" s="3865"/>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65"/>
      <c r="Q28" s="1385" t="str">
        <f t="shared" si="8"/>
        <v>物业等级</v>
      </c>
      <c r="R28" s="1386" t="s">
        <v>5</v>
      </c>
      <c r="S28" s="1387">
        <f t="shared" si="9"/>
        <v>100</v>
      </c>
      <c r="T28" s="1386" t="s">
        <v>5</v>
      </c>
      <c r="U28" s="1387">
        <f t="shared" si="10"/>
        <v>100</v>
      </c>
      <c r="V28" s="1386" t="s">
        <v>5</v>
      </c>
      <c r="W28" s="1387">
        <f t="shared" si="11"/>
        <v>100</v>
      </c>
      <c r="X28" s="1380"/>
      <c r="Y28" s="3865"/>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65"/>
      <c r="Q29" s="1385" t="str">
        <f t="shared" si="8"/>
        <v>有无电梯</v>
      </c>
      <c r="R29" s="1386" t="s">
        <v>5</v>
      </c>
      <c r="S29" s="1387">
        <f t="shared" si="9"/>
        <v>100</v>
      </c>
      <c r="T29" s="1386" t="s">
        <v>5</v>
      </c>
      <c r="U29" s="1387">
        <f t="shared" si="10"/>
        <v>100</v>
      </c>
      <c r="V29" s="1386" t="s">
        <v>5</v>
      </c>
      <c r="W29" s="1387">
        <f t="shared" si="11"/>
        <v>100</v>
      </c>
      <c r="X29" s="1380"/>
      <c r="Y29" s="3865"/>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65"/>
      <c r="Q30" s="1385" t="str">
        <f t="shared" si="8"/>
        <v>建筑面积</v>
      </c>
      <c r="R30" s="1386" t="s">
        <v>5</v>
      </c>
      <c r="S30" s="1387" t="e">
        <f t="shared" si="9"/>
        <v>#N/A</v>
      </c>
      <c r="T30" s="1386" t="s">
        <v>5</v>
      </c>
      <c r="U30" s="1387" t="e">
        <f t="shared" si="10"/>
        <v>#N/A</v>
      </c>
      <c r="V30" s="1386" t="s">
        <v>5</v>
      </c>
      <c r="W30" s="1387" t="e">
        <f t="shared" si="11"/>
        <v>#N/A</v>
      </c>
      <c r="X30" s="1380"/>
      <c r="Y30" s="3865"/>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65"/>
      <c r="Q31" s="1050" t="str">
        <f t="shared" si="8"/>
        <v>是否封闭</v>
      </c>
      <c r="R31" s="1381" t="s">
        <v>5</v>
      </c>
      <c r="S31" s="1382">
        <f t="shared" si="9"/>
        <v>100</v>
      </c>
      <c r="T31" s="1381" t="s">
        <v>5</v>
      </c>
      <c r="U31" s="1382">
        <f t="shared" si="10"/>
        <v>100</v>
      </c>
      <c r="V31" s="1381" t="s">
        <v>5</v>
      </c>
      <c r="W31" s="1382">
        <f t="shared" si="11"/>
        <v>100</v>
      </c>
      <c r="X31" s="1383"/>
      <c r="Y31" s="386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65" t="s">
        <v>499</v>
      </c>
      <c r="Q32" s="1385">
        <f t="shared" si="8"/>
        <v>111</v>
      </c>
      <c r="R32" s="1386" t="s">
        <v>5</v>
      </c>
      <c r="S32" s="1387">
        <f t="shared" si="9"/>
        <v>100</v>
      </c>
      <c r="T32" s="1386" t="s">
        <v>5</v>
      </c>
      <c r="U32" s="1387">
        <f t="shared" si="10"/>
        <v>100</v>
      </c>
      <c r="V32" s="1386" t="s">
        <v>5</v>
      </c>
      <c r="W32" s="1387">
        <f t="shared" si="11"/>
        <v>100</v>
      </c>
      <c r="X32" s="1380"/>
      <c r="Y32" s="386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65"/>
      <c r="Q33" s="1385">
        <f t="shared" si="8"/>
        <v>111</v>
      </c>
      <c r="R33" s="1386" t="s">
        <v>5</v>
      </c>
      <c r="S33" s="1387">
        <f t="shared" si="9"/>
        <v>100</v>
      </c>
      <c r="T33" s="1386" t="s">
        <v>5</v>
      </c>
      <c r="U33" s="1387">
        <f t="shared" si="10"/>
        <v>100</v>
      </c>
      <c r="V33" s="1386" t="s">
        <v>5</v>
      </c>
      <c r="W33" s="1387">
        <f t="shared" si="11"/>
        <v>100</v>
      </c>
      <c r="X33" s="1380"/>
      <c r="Y33" s="3865"/>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65"/>
      <c r="Q34" s="1385">
        <f t="shared" si="8"/>
        <v>111</v>
      </c>
      <c r="R34" s="1386" t="s">
        <v>5</v>
      </c>
      <c r="S34" s="1387">
        <f t="shared" si="9"/>
        <v>100</v>
      </c>
      <c r="T34" s="1386" t="s">
        <v>5</v>
      </c>
      <c r="U34" s="1387">
        <f t="shared" si="10"/>
        <v>100</v>
      </c>
      <c r="V34" s="1386" t="s">
        <v>5</v>
      </c>
      <c r="W34" s="1387">
        <f t="shared" si="11"/>
        <v>100</v>
      </c>
      <c r="X34" s="1380"/>
      <c r="Y34" s="3865"/>
      <c r="Z34" s="1388">
        <f t="shared" si="12"/>
        <v>111</v>
      </c>
      <c r="AA34" s="1389">
        <f t="shared" si="3"/>
        <v>1</v>
      </c>
      <c r="AB34" s="1389">
        <f t="shared" si="4"/>
        <v>1</v>
      </c>
      <c r="AC34" s="1389">
        <f t="shared" si="5"/>
        <v>1</v>
      </c>
    </row>
    <row r="35" spans="1:29" ht="14.4">
      <c r="A35" s="577" t="s">
        <v>682</v>
      </c>
      <c r="B35" s="850"/>
      <c r="C35" s="2234" t="s">
        <v>0</v>
      </c>
      <c r="D35" s="2235"/>
      <c r="E35" s="2236"/>
      <c r="F35" s="2237"/>
      <c r="G35" s="2238"/>
      <c r="H35" s="2239"/>
      <c r="I35" s="2236"/>
      <c r="J35" s="2239"/>
      <c r="K35" s="1419"/>
      <c r="L35" s="1867"/>
      <c r="M35" s="1868"/>
      <c r="N35" s="1857"/>
      <c r="O35" s="1868"/>
      <c r="P35" s="3860" t="str">
        <f>A35</f>
        <v>成交单价（元/平方米）</v>
      </c>
      <c r="Q35" s="3860"/>
      <c r="R35" s="3972">
        <f>E35</f>
        <v>0</v>
      </c>
      <c r="S35" s="3972"/>
      <c r="T35" s="3972">
        <f>G35</f>
        <v>0</v>
      </c>
      <c r="U35" s="3972"/>
      <c r="V35" s="3972">
        <f>I35</f>
        <v>0</v>
      </c>
      <c r="W35" s="3972"/>
      <c r="X35" s="1375"/>
      <c r="Y35" s="1394"/>
      <c r="Z35" s="1375"/>
      <c r="AA35" s="1375"/>
      <c r="AB35" s="1375"/>
      <c r="AC35" s="1375"/>
    </row>
    <row r="36" spans="1:29" ht="15" thickBot="1">
      <c r="A36" s="585" t="s">
        <v>2041</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3860" t="str">
        <f>A36</f>
        <v>比较价格（元/平方米）</v>
      </c>
      <c r="Q36" s="3860"/>
      <c r="R36" s="3972" t="e">
        <f>IF(F1="售价",ROUND(PRODUCT(R35,AA7:AA34),0),ROUND(PRODUCT(R35,AA7:AA34),1))</f>
        <v>#DIV/0!</v>
      </c>
      <c r="S36" s="3972"/>
      <c r="T36" s="3972" t="e">
        <f>IF(F1="售价",ROUND(PRODUCT(T35,AB7:AB34),0),ROUND(PRODUCT(T35,AB7:AB34),1))</f>
        <v>#DIV/0!</v>
      </c>
      <c r="U36" s="3972"/>
      <c r="V36" s="3972" t="e">
        <f>IF(F1="售价",ROUND(PRODUCT(V35,AC7:AC34),0),ROUND(PRODUCT(V35,AC7:AC34),1))</f>
        <v>#DIV/0!</v>
      </c>
      <c r="W36" s="3972"/>
      <c r="X36" s="1375"/>
      <c r="Y36" s="1375"/>
      <c r="Z36" s="1375"/>
      <c r="AA36" s="1375"/>
      <c r="AB36" s="1375"/>
      <c r="AC36" s="1375"/>
    </row>
    <row r="37" spans="1:29" ht="15" thickBot="1">
      <c r="A37" s="589" t="s">
        <v>2197</v>
      </c>
      <c r="B37" s="590"/>
      <c r="C37" s="2242" t="e">
        <f>R37</f>
        <v>#DIV/0!</v>
      </c>
      <c r="D37" s="2242"/>
      <c r="E37" s="2242"/>
      <c r="F37" s="2242"/>
      <c r="G37" s="2242"/>
      <c r="H37" s="2242"/>
      <c r="I37" s="2242"/>
      <c r="J37" s="2242"/>
      <c r="K37" s="1420"/>
      <c r="L37" s="1867"/>
      <c r="M37" s="1868"/>
      <c r="N37" s="1868"/>
      <c r="O37" s="1868"/>
      <c r="P37" s="3866" t="str">
        <f>A37</f>
        <v>估价对象XX用房的比较价格（楼面单价，元/平方米）</v>
      </c>
      <c r="Q37" s="3867"/>
      <c r="R37" s="3971" t="e">
        <f>IF(F1="售价",ROUND(IF(D36="简单平均",AVERAGE(R36:W36),R36*F36+T36*H36+V36*J36),0),ROUND(IF(D36="简单平均",AVERAGE(R36:V36),R36*F36+T36*H36+V36*J36),1))</f>
        <v>#DIV/0!</v>
      </c>
      <c r="S37" s="3971"/>
      <c r="T37" s="3971"/>
      <c r="U37" s="3971"/>
      <c r="V37" s="3971"/>
      <c r="W37" s="397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2024-8</v>
      </c>
      <c r="D46" s="2284">
        <f>EDATE(C46,-1)</f>
        <v>45474</v>
      </c>
      <c r="E46" s="2284">
        <f t="shared" ref="E46:O46" si="13">EDATE(D46,-1)</f>
        <v>45444</v>
      </c>
      <c r="F46" s="2284">
        <f t="shared" si="13"/>
        <v>45413</v>
      </c>
      <c r="G46" s="2284">
        <f t="shared" si="13"/>
        <v>45383</v>
      </c>
      <c r="H46" s="2284">
        <f t="shared" si="13"/>
        <v>45352</v>
      </c>
      <c r="I46" s="2284">
        <f t="shared" si="13"/>
        <v>45323</v>
      </c>
      <c r="J46" s="2284">
        <f t="shared" si="13"/>
        <v>45292</v>
      </c>
      <c r="K46" s="2284">
        <f t="shared" si="13"/>
        <v>45261</v>
      </c>
      <c r="L46" s="2284">
        <f t="shared" si="13"/>
        <v>45231</v>
      </c>
      <c r="M46" s="2284">
        <f t="shared" si="13"/>
        <v>45200</v>
      </c>
      <c r="N46" s="2284">
        <f t="shared" si="13"/>
        <v>45170</v>
      </c>
      <c r="O46" s="2284">
        <f t="shared" si="13"/>
        <v>45139</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1839</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1840</v>
      </c>
      <c r="C65" s="2206" t="s">
        <v>1841</v>
      </c>
      <c r="D65" s="2206" t="s">
        <v>1842</v>
      </c>
      <c r="E65" s="2206" t="s">
        <v>1843</v>
      </c>
      <c r="F65" s="2206" t="s">
        <v>1844</v>
      </c>
      <c r="G65" s="2206" t="s">
        <v>1845</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683</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690</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756</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764</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766</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3981" t="s">
        <v>1660</v>
      </c>
      <c r="D1" s="3982"/>
      <c r="E1" s="3982"/>
      <c r="F1" s="3982"/>
      <c r="G1" s="3982"/>
      <c r="H1" s="3982"/>
      <c r="I1" s="3982"/>
      <c r="J1" s="3982"/>
      <c r="K1" s="3982"/>
      <c r="L1" s="3982"/>
      <c r="M1" s="3982"/>
      <c r="N1" s="3982"/>
      <c r="O1" s="3982"/>
      <c r="P1" s="3982"/>
      <c r="Q1" s="3982"/>
      <c r="R1" s="3982"/>
      <c r="S1" s="3983"/>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767</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768</v>
      </c>
      <c r="B22" s="51">
        <f>SUM(B24:B10000)</f>
        <v>0</v>
      </c>
      <c r="C22" s="3978" t="s">
        <v>14</v>
      </c>
      <c r="D22" s="3979"/>
      <c r="E22" s="3979"/>
      <c r="F22" s="3979"/>
      <c r="G22" s="3979"/>
      <c r="H22" s="3979"/>
      <c r="I22" s="3979"/>
      <c r="J22" s="3979"/>
      <c r="K22" s="3979"/>
      <c r="L22" s="3979"/>
      <c r="M22" s="3979"/>
      <c r="N22" s="3979"/>
      <c r="O22" s="3979"/>
      <c r="P22" s="3979"/>
      <c r="Q22" s="3980"/>
      <c r="R22" s="467" t="e">
        <f>ROUND(S22*10000/B22,0)</f>
        <v>#DIV/0!</v>
      </c>
      <c r="S22" s="51">
        <f>SUM(S24:S10000)</f>
        <v>0</v>
      </c>
    </row>
    <row r="23" spans="1:45" s="1421" customFormat="1" ht="24">
      <c r="A23" s="15" t="s">
        <v>769</v>
      </c>
      <c r="B23" s="2614" t="s">
        <v>2209</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6"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2064</v>
      </c>
      <c r="C1" s="2482">
        <f>项目基本情况!D3</f>
        <v>45506</v>
      </c>
      <c r="H1" s="2417">
        <f>IF(C1&gt;C13,0,MATCH(C1,C$13:C$113,-1))+IF(SUMIF(C13:C113,C1,D13:D113)=0,13,12)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2095</v>
      </c>
      <c r="C2" s="2483">
        <f>'数据-取费表'!B22</f>
        <v>2</v>
      </c>
      <c r="D2" s="2478" t="s">
        <v>2065</v>
      </c>
      <c r="E2" s="2481">
        <f ca="1">INDIRECT("I"&amp;$I$1)/100</f>
        <v>3.3500000000000002E-2</v>
      </c>
      <c r="G2" s="2419"/>
      <c r="H2" s="2419"/>
      <c r="I2" s="2419" t="s">
        <v>2066</v>
      </c>
      <c r="K2" s="2419"/>
      <c r="L2" s="2419"/>
      <c r="M2" s="2419"/>
      <c r="N2" s="2419" t="s">
        <v>2067</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2097</v>
      </c>
      <c r="C3" s="2480">
        <f>'数据-取费表'!B19</f>
        <v>1</v>
      </c>
      <c r="D3" s="2478" t="s">
        <v>2065</v>
      </c>
      <c r="E3" s="2481">
        <f ca="1">INDIRECT("J"&amp;$J$1)/100</f>
        <v>3.3500000000000002E-2</v>
      </c>
      <c r="G3" s="2421" t="s">
        <v>2068</v>
      </c>
      <c r="H3" s="2422">
        <v>0</v>
      </c>
      <c r="I3" s="2423">
        <f ca="1">INDIRECT("d"&amp;$H$1)</f>
        <v>3.35</v>
      </c>
      <c r="J3" s="2423">
        <f ca="1">INDIRECT("d"&amp;$H$1)</f>
        <v>3.35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2096</v>
      </c>
      <c r="C4" s="2481">
        <f ca="1">N4/100</f>
        <v>1.4999999999999999E-2</v>
      </c>
      <c r="G4" s="2427" t="s">
        <v>2069</v>
      </c>
      <c r="H4" s="2428">
        <v>0.5</v>
      </c>
      <c r="I4" s="2429">
        <f ca="1">INDIRECT("e"&amp;$H$1)</f>
        <v>3.35</v>
      </c>
      <c r="J4" s="2429">
        <f ca="1">INDIRECT("e"&amp;$H$1)</f>
        <v>3.35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2070</v>
      </c>
      <c r="H5" s="2428">
        <v>1</v>
      </c>
      <c r="I5" s="2429">
        <f ca="1">INDIRECT("f"&amp;$H$1)</f>
        <v>3.35</v>
      </c>
      <c r="J5" s="2429">
        <f ca="1">INDIRECT("f"&amp;$H$1)</f>
        <v>3.35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2071</v>
      </c>
      <c r="H6" s="2428">
        <v>3</v>
      </c>
      <c r="I6" s="2429">
        <f ca="1">INDIRECT("g"&amp;$H$1)</f>
        <v>3.35</v>
      </c>
      <c r="J6" s="2429">
        <f ca="1">INDIRECT("g"&amp;$H$1)</f>
        <v>3.35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2072</v>
      </c>
      <c r="H7" s="2433">
        <v>5</v>
      </c>
      <c r="I7" s="2434">
        <f ca="1">INDIRECT("h"&amp;$H$1)</f>
        <v>3.85</v>
      </c>
      <c r="J7" s="2434">
        <f ca="1">INDIRECT("h"&amp;$H$1)</f>
        <v>3.85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2073</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2074</v>
      </c>
      <c r="C10" s="2446"/>
      <c r="D10" s="2446"/>
      <c r="E10" s="2446"/>
      <c r="F10" s="2446"/>
      <c r="G10" s="2446"/>
      <c r="H10" s="2446"/>
      <c r="I10" s="2420"/>
      <c r="J10" s="2420"/>
      <c r="K10" s="2446"/>
      <c r="L10" s="2447" t="s">
        <v>2075</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2076</v>
      </c>
      <c r="C11" s="2451" t="s">
        <v>2077</v>
      </c>
      <c r="D11" s="2452" t="s">
        <v>2078</v>
      </c>
      <c r="E11" s="2453"/>
      <c r="F11" s="2452" t="s">
        <v>2079</v>
      </c>
      <c r="G11" s="2454"/>
      <c r="H11" s="2453"/>
      <c r="I11" s="2452" t="s">
        <v>2080</v>
      </c>
      <c r="J11" s="2453"/>
      <c r="K11" s="2449"/>
      <c r="L11" s="2450" t="s">
        <v>2076</v>
      </c>
      <c r="M11" s="2451" t="s">
        <v>2077</v>
      </c>
      <c r="N11" s="2450" t="s">
        <v>2081</v>
      </c>
      <c r="O11" s="2452" t="s">
        <v>2082</v>
      </c>
      <c r="P11" s="2454"/>
      <c r="Q11" s="2454"/>
      <c r="R11" s="2454"/>
      <c r="S11" s="2454"/>
      <c r="T11" s="2453"/>
      <c r="U11" s="2452" t="s">
        <v>2083</v>
      </c>
      <c r="V11" s="2454"/>
      <c r="W11" s="2453"/>
      <c r="X11" s="2450" t="s">
        <v>2084</v>
      </c>
      <c r="Y11" s="2450" t="s">
        <v>2085</v>
      </c>
      <c r="Z11" s="2450" t="s">
        <v>2086</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2087</v>
      </c>
      <c r="E12" s="2459" t="s">
        <v>2088</v>
      </c>
      <c r="F12" s="2459" t="s">
        <v>2089</v>
      </c>
      <c r="G12" s="2459" t="s">
        <v>2090</v>
      </c>
      <c r="H12" s="2459" t="s">
        <v>2072</v>
      </c>
      <c r="I12" s="2460" t="s">
        <v>2091</v>
      </c>
      <c r="J12" s="2460" t="s">
        <v>2091</v>
      </c>
      <c r="K12" s="2456"/>
      <c r="L12" s="2457"/>
      <c r="M12" s="2458"/>
      <c r="N12" s="2457"/>
      <c r="O12" s="2460" t="s">
        <v>2092</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2093</v>
      </c>
      <c r="C13" s="2464">
        <v>45495</v>
      </c>
      <c r="D13" s="2465">
        <v>3.35</v>
      </c>
      <c r="E13" s="2465">
        <f>D13</f>
        <v>3.35</v>
      </c>
      <c r="F13" s="2465">
        <f>D13</f>
        <v>3.35</v>
      </c>
      <c r="G13" s="2465">
        <f>D13</f>
        <v>3.35</v>
      </c>
      <c r="H13" s="2465">
        <v>3.85</v>
      </c>
      <c r="I13" s="2465"/>
      <c r="J13" s="2465"/>
      <c r="K13" s="2462"/>
      <c r="L13" s="2463" t="s">
        <v>2093</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45342</v>
      </c>
      <c r="D14" s="2469">
        <v>3.45</v>
      </c>
      <c r="E14" s="2469">
        <f>D14</f>
        <v>3.45</v>
      </c>
      <c r="F14" s="2469">
        <f>D14</f>
        <v>3.45</v>
      </c>
      <c r="G14" s="2469">
        <f>D14</f>
        <v>3.45</v>
      </c>
      <c r="H14" s="2469">
        <v>3.95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45159</v>
      </c>
      <c r="D15" s="2469">
        <v>3.45</v>
      </c>
      <c r="E15" s="2469">
        <f>D15</f>
        <v>3.45</v>
      </c>
      <c r="F15" s="2469">
        <f>D15</f>
        <v>3.45</v>
      </c>
      <c r="G15" s="2469">
        <f>D15</f>
        <v>3.45</v>
      </c>
      <c r="H15" s="2469">
        <v>4.2</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45097</v>
      </c>
      <c r="D16" s="2469">
        <v>3.55</v>
      </c>
      <c r="E16" s="2469">
        <f>D16</f>
        <v>3.55</v>
      </c>
      <c r="F16" s="2469">
        <f>D16</f>
        <v>3.55</v>
      </c>
      <c r="G16" s="2469">
        <f>D16</f>
        <v>3.55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44795</v>
      </c>
      <c r="D17" s="2469">
        <v>3.65</v>
      </c>
      <c r="E17" s="2469">
        <v>3.65</v>
      </c>
      <c r="F17" s="2469">
        <v>3.65</v>
      </c>
      <c r="G17" s="2469">
        <v>3.65</v>
      </c>
      <c r="H17" s="2469">
        <v>4.3</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44701</v>
      </c>
      <c r="D18" s="2469">
        <v>3.7</v>
      </c>
      <c r="E18" s="2469">
        <f>D18</f>
        <v>3.7</v>
      </c>
      <c r="F18" s="2469">
        <f>D18</f>
        <v>3.7</v>
      </c>
      <c r="G18" s="2469">
        <f>D18</f>
        <v>3.7</v>
      </c>
      <c r="H18" s="2469">
        <v>4.45</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44581</v>
      </c>
      <c r="D19" s="2469">
        <v>3.7</v>
      </c>
      <c r="E19" s="2469">
        <f>D19</f>
        <v>3.7</v>
      </c>
      <c r="F19" s="2469">
        <f>D19</f>
        <v>3.7</v>
      </c>
      <c r="G19" s="2469">
        <f>D19</f>
        <v>3.7</v>
      </c>
      <c r="H19" s="2469">
        <v>4.5999999999999996</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44550</v>
      </c>
      <c r="D20" s="2469">
        <v>3.8</v>
      </c>
      <c r="E20" s="2469">
        <f>D20</f>
        <v>3.8</v>
      </c>
      <c r="F20" s="2469">
        <f>D20</f>
        <v>3.8</v>
      </c>
      <c r="G20" s="2469">
        <f>D20</f>
        <v>3.8</v>
      </c>
      <c r="H20" s="2469">
        <v>4.6500000000000004</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9"/>
      <c r="C21" s="2470">
        <v>43941</v>
      </c>
      <c r="D21" s="2469">
        <v>3.85</v>
      </c>
      <c r="E21" s="2469">
        <v>3.85</v>
      </c>
      <c r="F21" s="2469">
        <v>3.85</v>
      </c>
      <c r="G21" s="2469">
        <v>3.85</v>
      </c>
      <c r="H21" s="2469">
        <v>4.6500000000000004</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43881</v>
      </c>
      <c r="D22" s="2469">
        <v>4.05</v>
      </c>
      <c r="E22" s="2469">
        <v>4.05</v>
      </c>
      <c r="F22" s="2469">
        <v>4.05</v>
      </c>
      <c r="G22" s="2469">
        <v>4.05</v>
      </c>
      <c r="H22" s="2469">
        <v>4.75</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43789</v>
      </c>
      <c r="D23" s="2469">
        <v>4.1500000000000004</v>
      </c>
      <c r="E23" s="2469">
        <v>4.1500000000000004</v>
      </c>
      <c r="F23" s="2469">
        <v>4.1500000000000004</v>
      </c>
      <c r="G23" s="2469">
        <v>4.1500000000000004</v>
      </c>
      <c r="H23" s="2469">
        <v>4.8</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43728</v>
      </c>
      <c r="D24" s="2469">
        <v>4.2</v>
      </c>
      <c r="E24" s="2469">
        <v>4.2</v>
      </c>
      <c r="F24" s="2469">
        <v>4.2</v>
      </c>
      <c r="G24" s="2469">
        <v>4.2</v>
      </c>
      <c r="H24" s="2469">
        <v>4.8499999999999996</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ht="15.6">
      <c r="B25" s="2463" t="s">
        <v>2287</v>
      </c>
      <c r="C25" s="2471">
        <v>43697</v>
      </c>
      <c r="D25" s="3020">
        <v>4.25</v>
      </c>
      <c r="E25" s="3020">
        <v>4.25</v>
      </c>
      <c r="F25" s="3020">
        <v>4.25</v>
      </c>
      <c r="G25" s="3020">
        <v>4.25</v>
      </c>
      <c r="H25" s="3020">
        <v>4.8499999999999996</v>
      </c>
      <c r="I25" s="3020"/>
      <c r="J25" s="3020"/>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5.6">
      <c r="B26" s="3024"/>
      <c r="C26" s="3025">
        <v>42301</v>
      </c>
      <c r="D26" s="3026">
        <v>4.3499999999999996</v>
      </c>
      <c r="E26" s="3026">
        <v>4.3499999999999996</v>
      </c>
      <c r="F26" s="3026">
        <v>4.75</v>
      </c>
      <c r="G26" s="3026">
        <v>4.75</v>
      </c>
      <c r="H26" s="3026">
        <v>4.9000000000000004</v>
      </c>
      <c r="I26" s="3026"/>
      <c r="J26" s="3026"/>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42242</v>
      </c>
      <c r="D27" s="2469">
        <v>4.5999999999999996</v>
      </c>
      <c r="E27" s="2469">
        <v>4.5999999999999996</v>
      </c>
      <c r="F27" s="2469">
        <v>5</v>
      </c>
      <c r="G27" s="2469">
        <v>5</v>
      </c>
      <c r="H27" s="2469">
        <v>5.15</v>
      </c>
      <c r="I27" s="2469">
        <v>2.75</v>
      </c>
      <c r="J27" s="2469">
        <v>3.25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42183</v>
      </c>
      <c r="D28" s="2469">
        <v>4.8499999999999996</v>
      </c>
      <c r="E28" s="2469">
        <v>4.8499999999999996</v>
      </c>
      <c r="F28" s="2469">
        <v>5.25</v>
      </c>
      <c r="G28" s="2469">
        <v>5.25</v>
      </c>
      <c r="H28" s="2469">
        <v>5.4</v>
      </c>
      <c r="I28" s="2469">
        <v>3</v>
      </c>
      <c r="J28" s="2469">
        <v>3.5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42135</v>
      </c>
      <c r="D29" s="2469">
        <v>5.0999999999999996</v>
      </c>
      <c r="E29" s="2469">
        <v>5.0999999999999996</v>
      </c>
      <c r="F29" s="2469">
        <v>5.5</v>
      </c>
      <c r="G29" s="2469">
        <v>5.5</v>
      </c>
      <c r="H29" s="2469">
        <v>5.65</v>
      </c>
      <c r="I29" s="2469">
        <v>3.25</v>
      </c>
      <c r="J29" s="2469">
        <v>3.75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42064</v>
      </c>
      <c r="D30" s="2469">
        <v>5.35</v>
      </c>
      <c r="E30" s="2469">
        <v>5.35</v>
      </c>
      <c r="F30" s="2469">
        <v>5.75</v>
      </c>
      <c r="G30" s="2469">
        <v>5.75</v>
      </c>
      <c r="H30" s="2469">
        <v>5.9</v>
      </c>
      <c r="I30" s="2469"/>
      <c r="J30" s="2469"/>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41965</v>
      </c>
      <c r="D31" s="2469">
        <v>5.6</v>
      </c>
      <c r="E31" s="2469">
        <v>5.6</v>
      </c>
      <c r="F31" s="2469">
        <v>6</v>
      </c>
      <c r="G31" s="2469">
        <v>6</v>
      </c>
      <c r="H31" s="2469">
        <v>6.15</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41096</v>
      </c>
      <c r="D32" s="2469">
        <v>5.6</v>
      </c>
      <c r="E32" s="2469">
        <v>6</v>
      </c>
      <c r="F32" s="2469">
        <v>6.15</v>
      </c>
      <c r="G32" s="2469">
        <v>6.4</v>
      </c>
      <c r="H32" s="2469">
        <v>6.55</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41068</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40731</v>
      </c>
      <c r="D34" s="2469">
        <v>6.1</v>
      </c>
      <c r="E34" s="2469">
        <v>6.56</v>
      </c>
      <c r="F34" s="2469">
        <v>6.65</v>
      </c>
      <c r="G34" s="2469">
        <v>6.9</v>
      </c>
      <c r="H34" s="2469">
        <v>7.05</v>
      </c>
      <c r="I34" s="2469">
        <v>4.45</v>
      </c>
      <c r="J34" s="2469">
        <v>4.9000000000000004</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40639</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40583</v>
      </c>
      <c r="D36" s="2469">
        <v>5.6</v>
      </c>
      <c r="E36" s="2469">
        <v>6.06</v>
      </c>
      <c r="F36" s="2469">
        <v>6.1</v>
      </c>
      <c r="G36" s="2469">
        <v>6.45</v>
      </c>
      <c r="H36" s="2469">
        <v>6.6</v>
      </c>
      <c r="I36" s="2469">
        <v>4</v>
      </c>
      <c r="J36" s="2469">
        <v>4.5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40538</v>
      </c>
      <c r="D37" s="2469">
        <v>5.35</v>
      </c>
      <c r="E37" s="2469">
        <v>5.81</v>
      </c>
      <c r="F37" s="2469">
        <v>5.85</v>
      </c>
      <c r="G37" s="2469">
        <v>6.22</v>
      </c>
      <c r="H37" s="2469">
        <v>6.4</v>
      </c>
      <c r="I37" s="2469">
        <v>3.75</v>
      </c>
      <c r="J37" s="2469">
        <v>4.3</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40471</v>
      </c>
      <c r="D38" s="2469">
        <v>5.0999999999999996</v>
      </c>
      <c r="E38" s="2469">
        <v>5.56</v>
      </c>
      <c r="F38" s="2469">
        <v>5.6</v>
      </c>
      <c r="G38" s="2469">
        <v>5.96</v>
      </c>
      <c r="H38" s="2469">
        <v>6.14</v>
      </c>
      <c r="I38" s="2469">
        <v>3.5</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39805</v>
      </c>
      <c r="D39" s="2469">
        <v>4.8600000000000003</v>
      </c>
      <c r="E39" s="2469">
        <v>5.31</v>
      </c>
      <c r="F39" s="2469">
        <v>5.4</v>
      </c>
      <c r="G39" s="2469">
        <v>5.76</v>
      </c>
      <c r="H39" s="2469">
        <v>5.94</v>
      </c>
      <c r="I39" s="2469">
        <v>3.33</v>
      </c>
      <c r="J39" s="2469">
        <v>3.87</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39779</v>
      </c>
      <c r="D40" s="2469">
        <v>5.04</v>
      </c>
      <c r="E40" s="2469">
        <v>5.58</v>
      </c>
      <c r="F40" s="2469">
        <v>5.67</v>
      </c>
      <c r="G40" s="2469">
        <v>5.94</v>
      </c>
      <c r="H40" s="2469">
        <v>6.12</v>
      </c>
      <c r="I40" s="2469">
        <v>3.51</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39751</v>
      </c>
      <c r="D41" s="2469">
        <v>6.03</v>
      </c>
      <c r="E41" s="2469">
        <v>6.66</v>
      </c>
      <c r="F41" s="2469">
        <v>6.75</v>
      </c>
      <c r="G41" s="2469">
        <v>7.02</v>
      </c>
      <c r="H41" s="2469">
        <v>7.2</v>
      </c>
      <c r="I41" s="2469">
        <v>4.05</v>
      </c>
      <c r="J41" s="2469">
        <v>4.59</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1">
        <v>39748</v>
      </c>
      <c r="D42" s="2469">
        <v>6.12</v>
      </c>
      <c r="E42" s="2469">
        <v>6.93</v>
      </c>
      <c r="F42" s="2469">
        <v>7.02</v>
      </c>
      <c r="G42" s="2469">
        <v>7.29</v>
      </c>
      <c r="H42" s="2469">
        <v>7.47</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2094</v>
      </c>
      <c r="Y42" s="2469" t="s">
        <v>2094</v>
      </c>
      <c r="Z42" s="2469" t="s">
        <v>2094</v>
      </c>
    </row>
    <row r="43" spans="2:26">
      <c r="B43" s="2469"/>
      <c r="C43" s="2470">
        <v>39730</v>
      </c>
      <c r="D43" s="2469">
        <v>6.12</v>
      </c>
      <c r="E43" s="2469">
        <v>6.93</v>
      </c>
      <c r="F43" s="2469">
        <v>7.02</v>
      </c>
      <c r="G43" s="2469">
        <v>7.29</v>
      </c>
      <c r="H43" s="2469">
        <v>7.47</v>
      </c>
      <c r="I43" s="2469">
        <v>4.32</v>
      </c>
      <c r="J43" s="2469">
        <v>4.8600000000000003</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2094</v>
      </c>
      <c r="Y43" s="2469" t="s">
        <v>2094</v>
      </c>
      <c r="Z43" s="2469" t="s">
        <v>2094</v>
      </c>
    </row>
    <row r="44" spans="2:26">
      <c r="B44" s="2469"/>
      <c r="C44" s="2470">
        <v>39707</v>
      </c>
      <c r="D44" s="2469">
        <v>6.21</v>
      </c>
      <c r="E44" s="2469">
        <v>7.2</v>
      </c>
      <c r="F44" s="2469">
        <v>7.29</v>
      </c>
      <c r="G44" s="2469">
        <v>7.56</v>
      </c>
      <c r="H44" s="2469">
        <v>7.74</v>
      </c>
      <c r="I44" s="2469">
        <v>4.59</v>
      </c>
      <c r="J44" s="2469">
        <v>5.13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2094</v>
      </c>
      <c r="Y44" s="2469" t="s">
        <v>2094</v>
      </c>
      <c r="Z44" s="2469" t="s">
        <v>2094</v>
      </c>
    </row>
    <row r="45" spans="2:26">
      <c r="B45" s="2469"/>
      <c r="C45" s="2470">
        <v>39437</v>
      </c>
      <c r="D45" s="2469">
        <v>6.57</v>
      </c>
      <c r="E45" s="2469">
        <v>7.47</v>
      </c>
      <c r="F45" s="2469">
        <v>7.56</v>
      </c>
      <c r="G45" s="2469">
        <v>7.74</v>
      </c>
      <c r="H45" s="2469">
        <v>7.83</v>
      </c>
      <c r="I45" s="2469">
        <v>4.7699999999999996</v>
      </c>
      <c r="J45" s="2469">
        <v>5.22</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2094</v>
      </c>
      <c r="Y45" s="2469" t="s">
        <v>2094</v>
      </c>
      <c r="Z45" s="2469" t="s">
        <v>2094</v>
      </c>
    </row>
    <row r="46" spans="2:26">
      <c r="B46" s="2469"/>
      <c r="C46" s="2470">
        <v>39340</v>
      </c>
      <c r="D46" s="2469">
        <v>6.48</v>
      </c>
      <c r="E46" s="2469">
        <v>7.29</v>
      </c>
      <c r="F46" s="2469">
        <v>7.47</v>
      </c>
      <c r="G46" s="2469">
        <v>7.65</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2094</v>
      </c>
      <c r="Y46" s="2469" t="s">
        <v>2094</v>
      </c>
      <c r="Z46" s="2469" t="s">
        <v>2094</v>
      </c>
    </row>
    <row r="47" spans="2:26">
      <c r="B47" s="2469"/>
      <c r="C47" s="2470">
        <v>39316</v>
      </c>
      <c r="D47" s="2469">
        <v>6.21</v>
      </c>
      <c r="E47" s="2469">
        <v>7.02</v>
      </c>
      <c r="F47" s="2469">
        <v>7.2</v>
      </c>
      <c r="G47" s="2469">
        <v>7.38</v>
      </c>
      <c r="H47" s="2469">
        <v>7.56</v>
      </c>
      <c r="I47" s="2469">
        <v>4.59</v>
      </c>
      <c r="J47" s="2469">
        <v>5.04</v>
      </c>
      <c r="L47" s="2469"/>
      <c r="M47" s="2470">
        <v>34161</v>
      </c>
      <c r="N47" s="2469">
        <v>3.15</v>
      </c>
      <c r="O47" s="2469">
        <v>6.66</v>
      </c>
      <c r="P47" s="2469">
        <v>9</v>
      </c>
      <c r="Q47" s="2469">
        <v>10.98</v>
      </c>
      <c r="R47" s="2469">
        <v>11.7</v>
      </c>
      <c r="S47" s="2469">
        <v>12.24</v>
      </c>
      <c r="T47" s="2469">
        <v>13.86</v>
      </c>
      <c r="U47" s="2469">
        <v>9</v>
      </c>
      <c r="V47" s="2469">
        <v>10.98</v>
      </c>
      <c r="W47" s="2469">
        <v>12.24</v>
      </c>
      <c r="X47" s="2469" t="s">
        <v>2094</v>
      </c>
      <c r="Y47" s="2469" t="s">
        <v>2094</v>
      </c>
      <c r="Z47" s="2469" t="s">
        <v>2094</v>
      </c>
    </row>
    <row r="48" spans="2:26">
      <c r="B48" s="2469"/>
      <c r="C48" s="2470">
        <v>39284</v>
      </c>
      <c r="D48" s="2469">
        <v>6.03</v>
      </c>
      <c r="E48" s="2469">
        <v>6.84</v>
      </c>
      <c r="F48" s="2469">
        <v>7.02</v>
      </c>
      <c r="G48" s="2469">
        <v>7.2</v>
      </c>
      <c r="H48" s="2469">
        <v>7.38</v>
      </c>
      <c r="I48" s="2469">
        <v>4.5</v>
      </c>
      <c r="J48" s="2469">
        <v>4.95</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2094</v>
      </c>
      <c r="Y48" s="2469" t="s">
        <v>2094</v>
      </c>
      <c r="Z48" s="2469" t="s">
        <v>2094</v>
      </c>
    </row>
    <row r="49" spans="2:26">
      <c r="B49" s="2469"/>
      <c r="C49" s="2470">
        <v>39221</v>
      </c>
      <c r="D49" s="2469">
        <v>5.85</v>
      </c>
      <c r="E49" s="2469">
        <v>6.57</v>
      </c>
      <c r="F49" s="2469">
        <v>6.75</v>
      </c>
      <c r="G49" s="2469">
        <v>6.93</v>
      </c>
      <c r="H49" s="2469">
        <v>7.2</v>
      </c>
      <c r="I49" s="2469">
        <v>4.41</v>
      </c>
      <c r="J49" s="2469">
        <v>4.8600000000000003</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2094</v>
      </c>
      <c r="Y49" s="2469" t="s">
        <v>2094</v>
      </c>
      <c r="Z49" s="2469" t="s">
        <v>2094</v>
      </c>
    </row>
    <row r="50" spans="2:26">
      <c r="B50" s="2469"/>
      <c r="C50" s="2470">
        <v>39159</v>
      </c>
      <c r="D50" s="2469">
        <v>5.67</v>
      </c>
      <c r="E50" s="2469">
        <v>6.39</v>
      </c>
      <c r="F50" s="2469">
        <v>6.57</v>
      </c>
      <c r="G50" s="2469">
        <v>6.75</v>
      </c>
      <c r="H50" s="2469">
        <v>7.11</v>
      </c>
      <c r="I50" s="2469">
        <v>4.32</v>
      </c>
      <c r="J50" s="2469">
        <v>4.7699999999999996</v>
      </c>
      <c r="L50" s="2469"/>
      <c r="M50" s="2470">
        <v>33106</v>
      </c>
      <c r="N50" s="2469">
        <v>2.16</v>
      </c>
      <c r="O50" s="2469">
        <v>4.32</v>
      </c>
      <c r="P50" s="2469">
        <v>6.48</v>
      </c>
      <c r="Q50" s="2469">
        <v>8.64</v>
      </c>
      <c r="R50" s="2469">
        <v>9.36</v>
      </c>
      <c r="S50" s="2469">
        <v>10.08</v>
      </c>
      <c r="T50" s="2469">
        <v>11.52</v>
      </c>
      <c r="U50" s="2469">
        <v>7.2</v>
      </c>
      <c r="V50" s="2469">
        <v>8.64</v>
      </c>
      <c r="W50" s="2469">
        <v>10.08</v>
      </c>
      <c r="X50" s="2469" t="s">
        <v>2094</v>
      </c>
      <c r="Y50" s="2469" t="s">
        <v>2094</v>
      </c>
      <c r="Z50" s="2469" t="s">
        <v>2094</v>
      </c>
    </row>
    <row r="51" spans="2:26">
      <c r="B51" s="2469"/>
      <c r="C51" s="2470">
        <v>38948</v>
      </c>
      <c r="D51" s="2469">
        <v>5.58</v>
      </c>
      <c r="E51" s="2469">
        <v>6.12</v>
      </c>
      <c r="F51" s="2469">
        <v>6.3</v>
      </c>
      <c r="G51" s="2469">
        <v>6.48</v>
      </c>
      <c r="H51" s="2469">
        <v>6.84</v>
      </c>
      <c r="I51" s="2469">
        <v>4.1399999999999997</v>
      </c>
      <c r="J51" s="2469">
        <v>4.59</v>
      </c>
      <c r="L51" s="2469"/>
      <c r="M51" s="2470">
        <v>32978</v>
      </c>
      <c r="N51" s="2469">
        <v>2.88</v>
      </c>
      <c r="O51" s="2469">
        <v>6.3</v>
      </c>
      <c r="P51" s="2469">
        <v>7.74</v>
      </c>
      <c r="Q51" s="2469">
        <v>10.08</v>
      </c>
      <c r="R51" s="2469">
        <v>10.98</v>
      </c>
      <c r="S51" s="2469">
        <v>11.88</v>
      </c>
      <c r="T51" s="2469">
        <v>13.68</v>
      </c>
      <c r="U51" s="2469" t="s">
        <v>2094</v>
      </c>
      <c r="V51" s="2469" t="s">
        <v>2094</v>
      </c>
      <c r="W51" s="2469" t="s">
        <v>2094</v>
      </c>
      <c r="X51" s="2469" t="s">
        <v>2094</v>
      </c>
      <c r="Y51" s="2469" t="s">
        <v>2094</v>
      </c>
      <c r="Z51" s="2469" t="s">
        <v>2094</v>
      </c>
    </row>
    <row r="52" spans="2:26">
      <c r="B52" s="2469"/>
      <c r="C52" s="2470">
        <v>38835</v>
      </c>
      <c r="D52" s="2469">
        <v>5.4</v>
      </c>
      <c r="E52" s="2469">
        <v>5.85</v>
      </c>
      <c r="F52" s="2469">
        <v>6.03</v>
      </c>
      <c r="G52" s="2469">
        <v>6.12</v>
      </c>
      <c r="H52" s="2469">
        <v>6.39</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38428</v>
      </c>
      <c r="D53" s="2469">
        <v>5.22</v>
      </c>
      <c r="E53" s="2469">
        <v>5.58</v>
      </c>
      <c r="F53" s="2469">
        <v>5.76</v>
      </c>
      <c r="G53" s="2469">
        <v>5.85</v>
      </c>
      <c r="H53" s="2469">
        <v>6.12</v>
      </c>
      <c r="I53" s="2469">
        <v>3.96</v>
      </c>
      <c r="J53" s="2469">
        <v>4.41</v>
      </c>
      <c r="L53" s="2469"/>
      <c r="M53" s="2470"/>
      <c r="N53" s="2469"/>
      <c r="O53" s="2469"/>
      <c r="P53" s="2469"/>
      <c r="Q53" s="2469"/>
      <c r="R53" s="2469"/>
      <c r="S53" s="2469"/>
      <c r="T53" s="2469"/>
      <c r="U53" s="2469"/>
      <c r="V53" s="2469"/>
      <c r="W53" s="2469"/>
      <c r="X53" s="2469"/>
      <c r="Y53" s="2469"/>
      <c r="Z53" s="2469"/>
    </row>
    <row r="54" spans="2:26">
      <c r="B54" s="2469"/>
      <c r="C54" s="2470">
        <v>38289</v>
      </c>
      <c r="D54" s="2469">
        <v>5.22</v>
      </c>
      <c r="E54" s="2469">
        <v>5.58</v>
      </c>
      <c r="F54" s="2469">
        <v>5.76</v>
      </c>
      <c r="G54" s="2469">
        <v>5.85</v>
      </c>
      <c r="H54" s="2469">
        <v>6.12</v>
      </c>
      <c r="I54" s="2469">
        <v>3.78</v>
      </c>
      <c r="J54" s="2469">
        <v>4.2300000000000004</v>
      </c>
      <c r="L54" s="2469"/>
      <c r="M54" s="2470"/>
      <c r="N54" s="2469"/>
      <c r="O54" s="2469"/>
      <c r="P54" s="2469"/>
      <c r="Q54" s="2469"/>
      <c r="R54" s="2469"/>
      <c r="S54" s="2469"/>
      <c r="T54" s="2469"/>
      <c r="U54" s="2469"/>
      <c r="V54" s="2469"/>
      <c r="W54" s="2469"/>
      <c r="X54" s="2469"/>
      <c r="Y54" s="2469"/>
      <c r="Z54" s="2469"/>
    </row>
    <row r="55" spans="2:26">
      <c r="B55" s="2469"/>
      <c r="C55" s="2470">
        <v>37308</v>
      </c>
      <c r="D55" s="2469">
        <v>5.04</v>
      </c>
      <c r="E55" s="2469">
        <v>5.31</v>
      </c>
      <c r="F55" s="2469">
        <v>5.49</v>
      </c>
      <c r="G55" s="2469">
        <v>5.58</v>
      </c>
      <c r="H55" s="2469">
        <v>5.76</v>
      </c>
      <c r="I55" s="2469">
        <v>3.6</v>
      </c>
      <c r="J55" s="2469">
        <v>4.05</v>
      </c>
      <c r="L55" s="2469"/>
      <c r="M55" s="2470"/>
      <c r="N55" s="2469"/>
      <c r="O55" s="2469"/>
      <c r="P55" s="2469"/>
      <c r="Q55" s="2469"/>
      <c r="R55" s="2469"/>
      <c r="S55" s="2469"/>
      <c r="T55" s="2469"/>
      <c r="U55" s="2469"/>
      <c r="V55" s="2469"/>
      <c r="W55" s="2469"/>
      <c r="X55" s="2469"/>
      <c r="Y55" s="2469"/>
      <c r="Z55" s="2469"/>
    </row>
    <row r="56" spans="2:26">
      <c r="B56" s="2469"/>
      <c r="C56" s="2470">
        <v>36321</v>
      </c>
      <c r="D56" s="2469">
        <v>5.58</v>
      </c>
      <c r="E56" s="2469">
        <v>5.85</v>
      </c>
      <c r="F56" s="2469">
        <v>5.94</v>
      </c>
      <c r="G56" s="2469">
        <v>6.03</v>
      </c>
      <c r="H56" s="2469">
        <v>6.21</v>
      </c>
      <c r="I56" s="2469">
        <v>4.1399999999999997</v>
      </c>
      <c r="J56" s="2469">
        <v>4.59</v>
      </c>
      <c r="L56" s="2469"/>
      <c r="M56" s="2470"/>
      <c r="N56" s="2469"/>
      <c r="O56" s="2469"/>
      <c r="P56" s="2469"/>
      <c r="Q56" s="2469"/>
      <c r="R56" s="2469"/>
      <c r="S56" s="2469"/>
      <c r="T56" s="2469"/>
      <c r="U56" s="2469"/>
      <c r="V56" s="2469"/>
      <c r="W56" s="2469"/>
      <c r="X56" s="2469"/>
      <c r="Y56" s="2469"/>
      <c r="Z56" s="2469"/>
    </row>
    <row r="57" spans="2:26">
      <c r="B57" s="2469"/>
      <c r="C57" s="2470">
        <v>36136</v>
      </c>
      <c r="D57" s="2469">
        <v>6.12</v>
      </c>
      <c r="E57" s="2469">
        <v>6.39</v>
      </c>
      <c r="F57" s="2469">
        <v>6.66</v>
      </c>
      <c r="G57" s="2469">
        <v>7.2</v>
      </c>
      <c r="H57" s="2469">
        <v>7.56</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35977</v>
      </c>
      <c r="D58" s="2469">
        <v>6.57</v>
      </c>
      <c r="E58" s="2469">
        <v>6.93</v>
      </c>
      <c r="F58" s="2469">
        <v>7.11</v>
      </c>
      <c r="G58" s="2469">
        <v>7.65</v>
      </c>
      <c r="H58" s="2469">
        <v>8.01</v>
      </c>
      <c r="I58" s="2469">
        <v>0</v>
      </c>
      <c r="J58" s="2469">
        <v>0</v>
      </c>
    </row>
    <row r="59" spans="2:26">
      <c r="B59" s="2469"/>
      <c r="C59" s="2470">
        <v>35879</v>
      </c>
      <c r="D59" s="2469">
        <v>7.02</v>
      </c>
      <c r="E59" s="2469">
        <v>7.92</v>
      </c>
      <c r="F59" s="2469">
        <v>9</v>
      </c>
      <c r="G59" s="2469">
        <v>9.7200000000000006</v>
      </c>
      <c r="H59" s="2469">
        <v>10.35</v>
      </c>
      <c r="I59" s="2469">
        <v>0</v>
      </c>
      <c r="J59" s="2469">
        <v>0</v>
      </c>
    </row>
    <row r="60" spans="2:26">
      <c r="B60" s="2469"/>
      <c r="C60" s="2470">
        <v>35726</v>
      </c>
      <c r="D60" s="2469">
        <v>7.65</v>
      </c>
      <c r="E60" s="2469">
        <v>8.64</v>
      </c>
      <c r="F60" s="2469">
        <v>9.36</v>
      </c>
      <c r="G60" s="2469">
        <v>9.9</v>
      </c>
      <c r="H60" s="2469">
        <v>10.53</v>
      </c>
      <c r="I60" s="2469">
        <v>0</v>
      </c>
      <c r="J60" s="2469">
        <v>0</v>
      </c>
    </row>
    <row r="61" spans="2:26">
      <c r="B61" s="2469"/>
      <c r="C61" s="2470">
        <v>35300</v>
      </c>
      <c r="D61" s="2469">
        <v>9.18</v>
      </c>
      <c r="E61" s="2469">
        <v>10.08</v>
      </c>
      <c r="F61" s="2469">
        <v>10.98</v>
      </c>
      <c r="G61" s="2469">
        <v>11.7</v>
      </c>
      <c r="H61" s="2469">
        <v>12.42</v>
      </c>
      <c r="I61" s="2469">
        <v>0</v>
      </c>
      <c r="J61" s="2469">
        <v>0</v>
      </c>
    </row>
    <row r="62" spans="2:26">
      <c r="B62" s="2469"/>
      <c r="C62" s="2470">
        <v>35186</v>
      </c>
      <c r="D62" s="2469">
        <v>9.7200000000000006</v>
      </c>
      <c r="E62" s="2469">
        <v>10.98</v>
      </c>
      <c r="F62" s="2469">
        <v>13.14</v>
      </c>
      <c r="G62" s="2469">
        <v>14.94</v>
      </c>
      <c r="H62" s="2469">
        <v>15.12</v>
      </c>
      <c r="I62" s="2469">
        <v>0</v>
      </c>
      <c r="J62" s="2469">
        <v>0</v>
      </c>
    </row>
    <row r="63" spans="2:26">
      <c r="B63" s="2469"/>
      <c r="C63" s="2470">
        <v>34881</v>
      </c>
      <c r="D63" s="2469">
        <v>10.08</v>
      </c>
      <c r="E63" s="2469">
        <v>12.06</v>
      </c>
      <c r="F63" s="2469">
        <v>13.5</v>
      </c>
      <c r="G63" s="2469">
        <v>15.12</v>
      </c>
      <c r="H63" s="2469">
        <v>15.3</v>
      </c>
      <c r="I63" s="2469">
        <v>0</v>
      </c>
      <c r="J63" s="2469">
        <v>0</v>
      </c>
    </row>
    <row r="64" spans="2:26">
      <c r="B64" s="2469"/>
      <c r="C64" s="2470">
        <v>34700</v>
      </c>
      <c r="D64" s="2469">
        <v>9</v>
      </c>
      <c r="E64" s="2469">
        <v>10.98</v>
      </c>
      <c r="F64" s="2469">
        <v>12.96</v>
      </c>
      <c r="G64" s="2469">
        <v>14.58</v>
      </c>
      <c r="H64" s="2469">
        <v>14.76</v>
      </c>
      <c r="I64" s="2469">
        <v>0</v>
      </c>
      <c r="J64" s="2469">
        <v>0</v>
      </c>
    </row>
    <row r="65" spans="2:10">
      <c r="B65" s="2469"/>
      <c r="C65" s="2470">
        <v>34161</v>
      </c>
      <c r="D65" s="2469">
        <v>9</v>
      </c>
      <c r="E65" s="2469">
        <v>10.98</v>
      </c>
      <c r="F65" s="2469">
        <v>12.24</v>
      </c>
      <c r="G65" s="2469">
        <v>13.86</v>
      </c>
      <c r="H65" s="2469">
        <v>14.04</v>
      </c>
      <c r="I65" s="2469">
        <v>0</v>
      </c>
      <c r="J65" s="2469">
        <v>0</v>
      </c>
    </row>
    <row r="66" spans="2:10">
      <c r="B66" s="2469"/>
      <c r="C66" s="2470">
        <v>34104</v>
      </c>
      <c r="D66" s="2469">
        <v>8.82</v>
      </c>
      <c r="E66" s="2469">
        <v>9.36</v>
      </c>
      <c r="F66" s="2469">
        <v>10.8</v>
      </c>
      <c r="G66" s="2469">
        <v>12.06</v>
      </c>
      <c r="H66" s="2469">
        <v>12.24</v>
      </c>
      <c r="I66" s="2469">
        <v>0</v>
      </c>
      <c r="J66" s="2469">
        <v>0</v>
      </c>
    </row>
    <row r="67" spans="2:10">
      <c r="B67" s="2469"/>
      <c r="C67" s="2470">
        <v>33349</v>
      </c>
      <c r="D67" s="2469">
        <v>8.1</v>
      </c>
      <c r="E67" s="2469">
        <v>8.64</v>
      </c>
      <c r="F67" s="2469">
        <v>9</v>
      </c>
      <c r="G67" s="2469">
        <v>9.5399999999999991</v>
      </c>
      <c r="H67" s="2469">
        <v>9.7200000000000006</v>
      </c>
      <c r="I67" s="2469">
        <v>0</v>
      </c>
      <c r="J67" s="2469">
        <v>0</v>
      </c>
    </row>
    <row r="68" spans="2:10">
      <c r="B68" s="2469"/>
      <c r="C68" s="2470">
        <v>33318</v>
      </c>
      <c r="D68" s="2469">
        <v>9</v>
      </c>
      <c r="E68" s="2469">
        <v>10.08</v>
      </c>
      <c r="F68" s="2469">
        <v>10.8</v>
      </c>
      <c r="G68" s="2469">
        <v>11.52</v>
      </c>
      <c r="H68" s="2469">
        <v>11.88</v>
      </c>
      <c r="I68" s="2469" t="s">
        <v>2094</v>
      </c>
      <c r="J68" s="2469" t="s">
        <v>2094</v>
      </c>
    </row>
    <row r="69" spans="2:10">
      <c r="B69" s="2469"/>
      <c r="C69" s="2470">
        <v>33106</v>
      </c>
      <c r="D69" s="2469">
        <v>8.64</v>
      </c>
      <c r="E69" s="2469">
        <v>9.36</v>
      </c>
      <c r="F69" s="2469">
        <v>10.08</v>
      </c>
      <c r="G69" s="2469">
        <v>10.8</v>
      </c>
      <c r="H69" s="2469">
        <v>11.16</v>
      </c>
      <c r="I69" s="2469">
        <v>0</v>
      </c>
      <c r="J69" s="2469">
        <v>0</v>
      </c>
    </row>
    <row r="70" spans="2:10">
      <c r="B70" s="2469"/>
      <c r="C70" s="2470">
        <v>32540</v>
      </c>
      <c r="D70" s="2469">
        <v>11.34</v>
      </c>
      <c r="E70" s="2469">
        <v>11.34</v>
      </c>
      <c r="F70" s="2469">
        <v>12.78</v>
      </c>
      <c r="G70" s="2469">
        <v>14.4</v>
      </c>
      <c r="H70" s="2469">
        <v>19.260000000000002</v>
      </c>
      <c r="I70" s="2469">
        <v>0</v>
      </c>
      <c r="J70" s="2469">
        <v>0</v>
      </c>
    </row>
    <row r="71" spans="2:10">
      <c r="B71" s="2469"/>
      <c r="C71" s="2470"/>
      <c r="D71" s="2469"/>
      <c r="E71" s="2469"/>
      <c r="F71" s="2469"/>
      <c r="G71" s="2469"/>
      <c r="H71" s="2469"/>
      <c r="I71" s="2469"/>
      <c r="J71" s="2469"/>
    </row>
    <row r="72" spans="2:10">
      <c r="B72" s="2472"/>
      <c r="C72" s="2473"/>
      <c r="D72" s="2472"/>
      <c r="E72" s="2472"/>
      <c r="F72" s="2472"/>
      <c r="G72" s="2472"/>
      <c r="H72" s="2472"/>
      <c r="I72" s="2472"/>
      <c r="J72" s="2472"/>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20"/>
      <c r="C75" s="2420"/>
      <c r="D75" s="2420"/>
      <c r="E75" s="2420"/>
      <c r="F75" s="2420"/>
      <c r="G75" s="2420"/>
      <c r="H75" s="2420"/>
      <c r="I75" s="2420"/>
      <c r="J75" s="2420"/>
    </row>
    <row r="76" spans="2:10">
      <c r="B76" s="2420"/>
      <c r="C76" s="2420"/>
      <c r="D76" s="2420"/>
      <c r="E76" s="2420"/>
      <c r="F76" s="2420"/>
      <c r="G76" s="2420"/>
      <c r="H76" s="2420"/>
      <c r="I76" s="2420"/>
      <c r="J76"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74" t="s">
        <v>1555</v>
      </c>
      <c r="B1" s="3674"/>
      <c r="C1" s="3674"/>
      <c r="D1" s="3674"/>
      <c r="E1" s="3674"/>
      <c r="F1" s="3674"/>
      <c r="G1" s="3674"/>
      <c r="H1" s="3674"/>
      <c r="I1" s="3674"/>
      <c r="J1" s="3674"/>
      <c r="K1" s="3674"/>
      <c r="L1" s="3674"/>
      <c r="M1" s="3674"/>
      <c r="N1" s="3674"/>
      <c r="O1" s="3674"/>
      <c r="P1" s="3674"/>
      <c r="Q1" s="3674"/>
      <c r="R1" s="3674"/>
    </row>
    <row r="2" spans="1:18">
      <c r="A2" s="1595" t="s">
        <v>1557</v>
      </c>
      <c r="B2" s="1595"/>
      <c r="C2" s="1595"/>
      <c r="D2" s="1595"/>
      <c r="E2" s="1595"/>
      <c r="F2" s="1595"/>
      <c r="G2" s="1595"/>
      <c r="H2" s="1595"/>
      <c r="I2" s="1596"/>
      <c r="J2" s="1596"/>
      <c r="K2" s="1597" t="str">
        <f>"估价期日："&amp;TEXT(项目基本情况!D3,"yyyy年m月d日;;")</f>
        <v>估价期日：2024年8月2日</v>
      </c>
      <c r="L2" s="1595"/>
      <c r="M2" s="1595"/>
      <c r="N2" s="1595"/>
      <c r="O2" s="1595"/>
      <c r="P2" s="1595"/>
      <c r="Q2" s="1595"/>
      <c r="R2" s="1597" t="str">
        <f>"估价期日的国有建设用地使用权性质："&amp;项目基本情况!A17</f>
        <v>估价期日的国有建设用地使用权性质：划拨</v>
      </c>
    </row>
    <row r="3" spans="1:18" ht="23.25" customHeight="1">
      <c r="A3" s="3675" t="s">
        <v>1546</v>
      </c>
      <c r="B3" s="3675" t="s">
        <v>2012</v>
      </c>
      <c r="C3" s="3676" t="s">
        <v>1547</v>
      </c>
      <c r="D3" s="3675" t="s">
        <v>2016</v>
      </c>
      <c r="E3" s="3678" t="s">
        <v>1548</v>
      </c>
      <c r="F3" s="3678"/>
      <c r="G3" s="3678"/>
      <c r="H3" s="3678" t="s">
        <v>1549</v>
      </c>
      <c r="I3" s="3678"/>
      <c r="J3" s="3678"/>
      <c r="K3" s="3676" t="s">
        <v>1550</v>
      </c>
      <c r="L3" s="3676" t="s">
        <v>1551</v>
      </c>
      <c r="M3" s="3675" t="s">
        <v>2013</v>
      </c>
      <c r="N3" s="3677" t="str">
        <f>"（分摊）"&amp;项目基本情况!A17&amp;"国有建设用地使用权面积/㎡"</f>
        <v>（分摊）划拨国有建设用地使用权面积/㎡</v>
      </c>
      <c r="O3" s="3675" t="s">
        <v>1580</v>
      </c>
      <c r="P3" s="3676" t="s">
        <v>1560</v>
      </c>
      <c r="Q3" s="3676" t="s">
        <v>1581</v>
      </c>
      <c r="R3" s="3676" t="s">
        <v>1552</v>
      </c>
    </row>
    <row r="4" spans="1:18" ht="36.75" customHeight="1">
      <c r="A4" s="3675"/>
      <c r="B4" s="3675"/>
      <c r="C4" s="3676"/>
      <c r="D4" s="3675"/>
      <c r="E4" s="2254" t="s">
        <v>1559</v>
      </c>
      <c r="F4" s="2254" t="s">
        <v>2025</v>
      </c>
      <c r="G4" s="2254" t="s">
        <v>1553</v>
      </c>
      <c r="H4" s="2254" t="s">
        <v>1554</v>
      </c>
      <c r="I4" s="2254" t="s">
        <v>2026</v>
      </c>
      <c r="J4" s="2254" t="s">
        <v>1553</v>
      </c>
      <c r="K4" s="3676"/>
      <c r="L4" s="3676"/>
      <c r="M4" s="3675"/>
      <c r="N4" s="3677"/>
      <c r="O4" s="3675"/>
      <c r="P4" s="3676"/>
      <c r="Q4" s="3676"/>
      <c r="R4" s="3676"/>
    </row>
    <row r="5" spans="1:18" ht="135" customHeight="1">
      <c r="A5" s="1699" t="s">
        <v>1936</v>
      </c>
      <c r="B5" s="2347" t="s">
        <v>1934</v>
      </c>
      <c r="C5" s="2253">
        <v>22</v>
      </c>
      <c r="D5" s="2252" t="s">
        <v>1935</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106677.19</v>
      </c>
      <c r="O5" s="1598">
        <f>项目基本情况!C21</f>
        <v>35000</v>
      </c>
      <c r="P5" s="1598">
        <f ca="1">结果表!E42</f>
        <v>7859</v>
      </c>
      <c r="Q5" s="1598">
        <f ca="1">结果表!D42</f>
        <v>23953</v>
      </c>
      <c r="R5" s="1599">
        <f ca="1">结果表!C42</f>
        <v>83836</v>
      </c>
    </row>
    <row r="6" spans="1:18">
      <c r="A6" s="3671" t="str">
        <f>IF(项目基本情况!B9="市场价格","——","抵押价格")</f>
        <v>——</v>
      </c>
      <c r="B6" s="3672"/>
      <c r="C6" s="3672"/>
      <c r="D6" s="3672"/>
      <c r="E6" s="3672"/>
      <c r="F6" s="3672"/>
      <c r="G6" s="3672"/>
      <c r="H6" s="3672"/>
      <c r="I6" s="3672"/>
      <c r="J6" s="3672"/>
      <c r="K6" s="3672"/>
      <c r="L6" s="3672"/>
      <c r="M6" s="3672"/>
      <c r="N6" s="3672"/>
      <c r="O6" s="3672"/>
      <c r="P6" s="3672"/>
      <c r="Q6" s="3673"/>
      <c r="R6" s="1600" t="str">
        <f>结果表!O39</f>
        <v>——</v>
      </c>
    </row>
    <row r="7" spans="1:18">
      <c r="A7" s="3671" t="str">
        <f>IF(项目基本情况!B9="市场价格","——",IF(项目基本情况!E8="已注销及未注销","抵押担保权已注销时的抵押价格","——"))</f>
        <v>——</v>
      </c>
      <c r="B7" s="3672"/>
      <c r="C7" s="3672"/>
      <c r="D7" s="3672"/>
      <c r="E7" s="3672"/>
      <c r="F7" s="3672"/>
      <c r="G7" s="3672"/>
      <c r="H7" s="3672"/>
      <c r="I7" s="3672"/>
      <c r="J7" s="3672"/>
      <c r="K7" s="3672"/>
      <c r="L7" s="3672"/>
      <c r="M7" s="3672"/>
      <c r="N7" s="3672"/>
      <c r="O7" s="3672"/>
      <c r="P7" s="3672"/>
      <c r="Q7" s="3673"/>
      <c r="R7" s="1600" t="str">
        <f>结果表!O40</f>
        <v>——</v>
      </c>
    </row>
    <row r="8" spans="1:18">
      <c r="A8" s="3671" t="str">
        <f>IF(项目基本情况!B9="市场价格","——",项目基本情况!E9)</f>
        <v>——</v>
      </c>
      <c r="B8" s="3672"/>
      <c r="C8" s="3672"/>
      <c r="D8" s="3672"/>
      <c r="E8" s="3672"/>
      <c r="F8" s="3672"/>
      <c r="G8" s="3672"/>
      <c r="H8" s="3672"/>
      <c r="I8" s="3672"/>
      <c r="J8" s="3672"/>
      <c r="K8" s="3672"/>
      <c r="L8" s="3672"/>
      <c r="M8" s="3672"/>
      <c r="N8" s="3672"/>
      <c r="O8" s="3672"/>
      <c r="P8" s="3672"/>
      <c r="Q8" s="3673"/>
      <c r="R8" s="1600" t="str">
        <f>结果表!O41</f>
        <v>——</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79" t="s">
        <v>1582</v>
      </c>
      <c r="B1" s="3679"/>
      <c r="C1" s="3679"/>
      <c r="D1" s="3679"/>
    </row>
    <row r="2" spans="1:4" ht="47.25" customHeight="1">
      <c r="A2" s="3683" t="str">
        <f>"1.权利限制："&amp;项目基本情况!L24&amp;"未设定租赁等其他他项权利。"</f>
        <v>1.权利限制：根据估价对象《不动产权证书》原件、《国有土地使用权》复印件，截至估价期日，估价对象抵押权未见登记。未设定租赁等其他他项权利。</v>
      </c>
      <c r="B2" s="3683"/>
      <c r="C2" s="3683"/>
      <c r="D2" s="3683"/>
    </row>
    <row r="3" spans="1:4" ht="48" customHeight="1">
      <c r="A3" s="36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9"/>
      <c r="C3" s="3679"/>
      <c r="D3" s="3679"/>
    </row>
    <row r="4" spans="1:4" ht="36.75" customHeight="1">
      <c r="A4" s="3679" t="str">
        <f>"3.估价规划限制条件：详见"&amp;项目基本情况!E21&amp;"。"</f>
        <v>3.估价规划限制条件：详见《建设工程规划许可证》[]、《出让合同》[]。</v>
      </c>
      <c r="B4" s="3679"/>
      <c r="C4" s="3679"/>
      <c r="D4" s="3679"/>
    </row>
    <row r="5" spans="1:4">
      <c r="A5" s="3682" t="s">
        <v>1583</v>
      </c>
      <c r="B5" s="3682"/>
      <c r="C5" s="3682"/>
      <c r="D5" s="3682"/>
    </row>
    <row r="6" spans="1:4">
      <c r="A6" s="3679" t="s">
        <v>1561</v>
      </c>
      <c r="B6" s="3679"/>
      <c r="C6" s="3679"/>
      <c r="D6" s="3679"/>
    </row>
    <row r="7" spans="1:4" ht="33" customHeight="1">
      <c r="A7" s="3679" t="s">
        <v>1856</v>
      </c>
      <c r="B7" s="3679"/>
      <c r="C7" s="3679"/>
      <c r="D7" s="3679"/>
    </row>
    <row r="8" spans="1:4" ht="32.25" customHeight="1">
      <c r="A8" s="36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9"/>
      <c r="C8" s="3679"/>
      <c r="D8" s="3679"/>
    </row>
    <row r="9" spans="1:4" ht="33.75" customHeight="1">
      <c r="A9" s="3679" t="str">
        <f>IF(项目基本情况!B8="抵押","3.抵押双方在办理抵押登记手续时，应使用本公司出具的正式《土地估价报告》，特提请报告使用者注意。","——")</f>
        <v>——</v>
      </c>
      <c r="B9" s="3679"/>
      <c r="C9" s="3679"/>
      <c r="D9" s="3679"/>
    </row>
    <row r="10" spans="1:4">
      <c r="A10" s="3679" t="str">
        <f>IF(项目基本情况!B8="抵押","4.估价师所知悉的法定优先受偿款情况为：","——")</f>
        <v>——</v>
      </c>
      <c r="B10" s="3679"/>
      <c r="C10" s="3679"/>
      <c r="D10" s="3679"/>
    </row>
    <row r="11" spans="1:4" ht="37.5" customHeight="1">
      <c r="A11" s="3681" t="str">
        <f>IF(项目基本情况!B8="抵押","（1）"&amp;CONCATENATE(项目基本情况!L24,项目基本情况!L25,项目基本情况!L26),"——")</f>
        <v>——</v>
      </c>
      <c r="B11" s="3681"/>
      <c r="C11" s="3681"/>
      <c r="D11" s="3681"/>
    </row>
    <row r="12" spans="1:4" ht="168" customHeight="1">
      <c r="A12" s="3682" t="s">
        <v>1585</v>
      </c>
      <c r="B12" s="3682"/>
      <c r="C12" s="3682"/>
      <c r="D12" s="3682"/>
    </row>
    <row r="13" spans="1:4">
      <c r="A13" s="3680" t="s">
        <v>2027</v>
      </c>
      <c r="B13" s="3680"/>
      <c r="C13" s="3680"/>
      <c r="D13" s="3680"/>
    </row>
    <row r="14" spans="1:4">
      <c r="A14" s="3681" t="str">
        <f>IF(项目基本情况!B8="抵押","综上，"&amp;结果表!K47,"——")</f>
        <v>——</v>
      </c>
      <c r="B14" s="3681"/>
      <c r="C14" s="3681"/>
      <c r="D14" s="3681"/>
    </row>
    <row r="15" spans="1:4" ht="58.5" customHeight="1">
      <c r="A15" s="36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9"/>
      <c r="C15" s="3679"/>
      <c r="D15" s="3679"/>
    </row>
    <row r="16" spans="1:4" ht="70.5" customHeight="1">
      <c r="A16" s="36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9"/>
      <c r="C16" s="3679"/>
      <c r="D16" s="3679"/>
    </row>
    <row r="17" spans="1:4">
      <c r="A17" s="3679" t="s">
        <v>1983</v>
      </c>
      <c r="B17" s="3679"/>
      <c r="C17" s="3679"/>
      <c r="D17" s="3679"/>
    </row>
    <row r="18" spans="1:4">
      <c r="A18" s="3679" t="s">
        <v>1975</v>
      </c>
      <c r="B18" s="3679"/>
      <c r="C18" s="3679"/>
      <c r="D18" s="3679"/>
    </row>
    <row r="19" spans="1:4">
      <c r="A19" s="2348" t="s">
        <v>1976</v>
      </c>
      <c r="B19" s="2348" t="s">
        <v>1977</v>
      </c>
      <c r="C19" s="2348" t="s">
        <v>1978</v>
      </c>
      <c r="D19" s="2348" t="s">
        <v>1979</v>
      </c>
    </row>
    <row r="20" spans="1:4">
      <c r="A20" s="2348" t="str">
        <f>项目基本情况!B4</f>
        <v>土地估价师</v>
      </c>
      <c r="B20" s="2348">
        <f>项目基本情况!C4</f>
        <v>0</v>
      </c>
      <c r="C20" s="2350"/>
      <c r="D20" s="1588" t="s">
        <v>1984</v>
      </c>
    </row>
    <row r="21" spans="1:4">
      <c r="A21" s="2348" t="str">
        <f>项目基本情况!D4</f>
        <v>土地估价师</v>
      </c>
      <c r="B21" s="2348">
        <f>项目基本情况!E4</f>
        <v>0</v>
      </c>
      <c r="C21" s="2350"/>
      <c r="D21" s="1588" t="s">
        <v>1985</v>
      </c>
    </row>
    <row r="23" spans="1:4">
      <c r="A23" s="3679" t="s">
        <v>1980</v>
      </c>
      <c r="B23" s="3679"/>
      <c r="C23" s="3679"/>
      <c r="D23" s="3679"/>
    </row>
    <row r="24" spans="1:4">
      <c r="A24" s="2348" t="s">
        <v>1976</v>
      </c>
      <c r="B24" s="2348" t="s">
        <v>1981</v>
      </c>
      <c r="C24" s="2348" t="s">
        <v>1978</v>
      </c>
      <c r="D24" s="2348" t="s">
        <v>1979</v>
      </c>
    </row>
    <row r="25" spans="1:4">
      <c r="A25" s="2351" t="s">
        <v>1982</v>
      </c>
      <c r="B25" s="2348" t="s">
        <v>876</v>
      </c>
      <c r="C25" s="2350"/>
      <c r="D25" s="1588" t="s">
        <v>1985</v>
      </c>
    </row>
    <row r="29" spans="1:4">
      <c r="D29" s="2349" t="s">
        <v>1556</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4">
      <c r="A15" s="3691" t="s">
        <v>27</v>
      </c>
      <c r="B15" s="3692" t="s">
        <v>783</v>
      </c>
      <c r="C15" s="3688"/>
    </row>
    <row r="16" spans="1:7" ht="14.4">
      <c r="A16" s="3691"/>
      <c r="B16" s="3689" t="s">
        <v>28</v>
      </c>
      <c r="C16" s="1070" t="s">
        <v>27</v>
      </c>
    </row>
    <row r="17" spans="1:3" ht="14.4">
      <c r="A17" s="3691"/>
      <c r="B17" s="3689"/>
      <c r="C17" s="1070" t="s">
        <v>29</v>
      </c>
    </row>
    <row r="18" spans="1:3" ht="14.4">
      <c r="A18" s="3691"/>
      <c r="B18" s="3689"/>
      <c r="C18" s="1070" t="s">
        <v>30</v>
      </c>
    </row>
    <row r="19" spans="1:3" ht="14.4">
      <c r="A19" s="3691"/>
      <c r="B19" s="3687" t="s">
        <v>31</v>
      </c>
      <c r="C19" s="3688"/>
    </row>
    <row r="20" spans="1:3" ht="14.4">
      <c r="A20" s="1071" t="s">
        <v>32</v>
      </c>
      <c r="B20" s="1072"/>
      <c r="C20" s="1073"/>
    </row>
    <row r="21" spans="1:3" ht="14.4">
      <c r="A21" s="3690" t="s">
        <v>33</v>
      </c>
      <c r="B21" s="3687" t="s">
        <v>34</v>
      </c>
      <c r="C21" s="3688"/>
    </row>
    <row r="22" spans="1:3" ht="14.4">
      <c r="A22" s="3690"/>
      <c r="B22" s="3687" t="s">
        <v>35</v>
      </c>
      <c r="C22" s="3688"/>
    </row>
    <row r="23" spans="1:3" ht="14.4">
      <c r="A23" s="3690"/>
      <c r="B23" s="3687" t="s">
        <v>36</v>
      </c>
      <c r="C23" s="3688"/>
    </row>
    <row r="24" spans="1:3" ht="14.4">
      <c r="A24" s="3690"/>
      <c r="B24" s="3693" t="s">
        <v>37</v>
      </c>
      <c r="C24" s="1074" t="s">
        <v>774</v>
      </c>
    </row>
    <row r="25" spans="1:3" ht="14.4">
      <c r="A25" s="3690"/>
      <c r="B25" s="3694"/>
      <c r="C25" s="1074" t="s">
        <v>775</v>
      </c>
    </row>
    <row r="26" spans="1:3" ht="14.4">
      <c r="A26" s="3690"/>
      <c r="B26" s="3694"/>
      <c r="C26" s="1074" t="s">
        <v>776</v>
      </c>
    </row>
    <row r="27" spans="1:3" ht="14.4">
      <c r="A27" s="3690"/>
      <c r="B27" s="3694"/>
      <c r="C27" s="1074" t="s">
        <v>777</v>
      </c>
    </row>
    <row r="28" spans="1:3" ht="14.4">
      <c r="A28" s="3690"/>
      <c r="B28" s="3694"/>
      <c r="C28" s="1074" t="s">
        <v>778</v>
      </c>
    </row>
    <row r="29" spans="1:3" ht="14.4">
      <c r="A29" s="3690"/>
      <c r="B29" s="3694"/>
      <c r="C29" s="1074" t="s">
        <v>779</v>
      </c>
    </row>
    <row r="30" spans="1:3" ht="14.4">
      <c r="A30" s="3690"/>
      <c r="B30" s="3694"/>
      <c r="C30" s="1074" t="s">
        <v>780</v>
      </c>
    </row>
    <row r="31" spans="1:3" ht="14.4">
      <c r="A31" s="3690"/>
      <c r="B31" s="3694"/>
      <c r="C31" s="1074" t="s">
        <v>781</v>
      </c>
    </row>
    <row r="32" spans="1:3" ht="14.4">
      <c r="A32" s="3690"/>
      <c r="B32" s="3694"/>
      <c r="C32" s="1074" t="s">
        <v>1180</v>
      </c>
    </row>
    <row r="33" spans="1:3" ht="14.4">
      <c r="A33" s="3690"/>
      <c r="B33" s="3684" t="s">
        <v>1186</v>
      </c>
      <c r="C33" s="1074" t="s">
        <v>1181</v>
      </c>
    </row>
    <row r="34" spans="1:3" ht="14.4">
      <c r="A34" s="3690"/>
      <c r="B34" s="3685"/>
      <c r="C34" s="1079" t="s">
        <v>1182</v>
      </c>
    </row>
    <row r="35" spans="1:3" ht="14.4">
      <c r="A35" s="3690"/>
      <c r="B35" s="3685"/>
      <c r="C35" s="1080" t="s">
        <v>1183</v>
      </c>
    </row>
    <row r="36" spans="1:3" ht="14.4">
      <c r="A36" s="3690"/>
      <c r="B36" s="3685"/>
      <c r="C36" s="1080" t="s">
        <v>1184</v>
      </c>
    </row>
    <row r="37" spans="1:3" ht="14.4">
      <c r="A37" s="3690"/>
      <c r="B37" s="3686"/>
      <c r="C37" s="1081" t="s">
        <v>1185</v>
      </c>
    </row>
    <row r="38" spans="1:3">
      <c r="A38" s="1075" t="s">
        <v>782</v>
      </c>
    </row>
    <row r="41" spans="1:3">
      <c r="A41" s="1075" t="s">
        <v>42</v>
      </c>
    </row>
    <row r="42" spans="1:3" ht="14.4">
      <c r="A42" s="1076" t="s">
        <v>790</v>
      </c>
    </row>
    <row r="43" spans="1:3" ht="14.4">
      <c r="A43" s="1077" t="s">
        <v>43</v>
      </c>
    </row>
    <row r="44" spans="1:3" ht="14.4">
      <c r="A44" s="1076" t="s">
        <v>789</v>
      </c>
    </row>
    <row r="45" spans="1:3" ht="14.4">
      <c r="A45" s="1078" t="s">
        <v>791</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1430</v>
      </c>
      <c r="B2" s="2770">
        <f ca="1">TODAY()</f>
        <v>45509</v>
      </c>
      <c r="C2" s="2771" t="s">
        <v>1431</v>
      </c>
      <c r="D2" s="2771"/>
      <c r="E2" s="2768"/>
      <c r="F2" s="2768"/>
      <c r="G2" s="2768"/>
    </row>
    <row r="3" spans="1:7" ht="20.25" customHeight="1">
      <c r="A3" s="2792" t="s">
        <v>1432</v>
      </c>
      <c r="B3" s="2773" t="s">
        <v>1433</v>
      </c>
      <c r="C3" s="2774" t="s">
        <v>1434</v>
      </c>
      <c r="D3" s="2793" t="s">
        <v>1435</v>
      </c>
      <c r="E3" s="2773" t="s">
        <v>1436</v>
      </c>
      <c r="F3" s="2773" t="s">
        <v>1434</v>
      </c>
      <c r="G3" s="2768"/>
    </row>
    <row r="4" spans="1:7" ht="20.25" customHeight="1">
      <c r="A4" s="2773" t="s">
        <v>1437</v>
      </c>
      <c r="B4" s="2773">
        <f ca="1">IF(C4&lt;B2,"已过期",1119970066)</f>
        <v>1119970066</v>
      </c>
      <c r="C4" s="2776">
        <v>45937</v>
      </c>
      <c r="D4" s="2784" t="s">
        <v>1437</v>
      </c>
      <c r="E4" s="2773">
        <f ca="1">IF(F4&lt;B2,"已过期",96010014)</f>
        <v>96010014</v>
      </c>
      <c r="F4" s="2775">
        <v>47118</v>
      </c>
      <c r="G4" s="2768"/>
    </row>
    <row r="5" spans="1:7" ht="20.25" customHeight="1">
      <c r="A5" s="2773" t="s">
        <v>1438</v>
      </c>
      <c r="B5" s="2773">
        <f ca="1">IF(C5&lt;B2,"已过期",1119970111)</f>
        <v>1119970111</v>
      </c>
      <c r="C5" s="2776">
        <v>45937</v>
      </c>
      <c r="D5" s="2784" t="s">
        <v>1438</v>
      </c>
      <c r="E5" s="2773">
        <f ca="1">IF(F5&lt;B2,"已过期",94010078)</f>
        <v>94010078</v>
      </c>
      <c r="F5" s="2775">
        <v>46387</v>
      </c>
      <c r="G5" s="2768"/>
    </row>
    <row r="6" spans="1:7" ht="20.25" customHeight="1">
      <c r="A6" s="2773" t="s">
        <v>1439</v>
      </c>
      <c r="B6" s="2773" t="str">
        <f ca="1">IF(C6&lt;B2,"已过期",1120050019)</f>
        <v>已过期</v>
      </c>
      <c r="C6" s="2776">
        <v>45410</v>
      </c>
      <c r="D6" s="2784" t="s">
        <v>1439</v>
      </c>
      <c r="E6" s="2773">
        <f ca="1">IF(F6&lt;B2,"已过期",2002110030)</f>
        <v>2002110030</v>
      </c>
      <c r="F6" s="2775">
        <v>46387</v>
      </c>
      <c r="G6" s="2768"/>
    </row>
    <row r="7" spans="1:7" ht="20.25" customHeight="1">
      <c r="A7" s="2773" t="s">
        <v>1440</v>
      </c>
      <c r="B7" s="2773">
        <f ca="1">IF(C7&lt;B2,"已过期",1120000080)</f>
        <v>1120000080</v>
      </c>
      <c r="C7" s="2776">
        <v>45937</v>
      </c>
      <c r="D7" s="2784" t="s">
        <v>1440</v>
      </c>
      <c r="E7" s="2773">
        <f ca="1">IF(F7&lt;B2,"已过期",2000110082)</f>
        <v>2000110082</v>
      </c>
      <c r="F7" s="2775">
        <v>46387</v>
      </c>
      <c r="G7" s="2768"/>
    </row>
    <row r="8" spans="1:7" ht="20.25" customHeight="1">
      <c r="A8" s="2773" t="s">
        <v>1441</v>
      </c>
      <c r="B8" s="2773">
        <f ca="1">IF(C8&lt;B2,"已过期",1419970001)</f>
        <v>1419970001</v>
      </c>
      <c r="C8" s="2776">
        <v>45937</v>
      </c>
      <c r="D8" s="2784" t="s">
        <v>1441</v>
      </c>
      <c r="E8" s="2773">
        <f ca="1">IF(F8&lt;B2,"已过期",2002110125)</f>
        <v>2002110125</v>
      </c>
      <c r="F8" s="2775">
        <v>47118</v>
      </c>
      <c r="G8" s="2768"/>
    </row>
    <row r="9" spans="1:7" ht="20.25" customHeight="1">
      <c r="A9" s="2773" t="s">
        <v>1442</v>
      </c>
      <c r="B9" s="2773">
        <f ca="1">IF(C9&lt;B2,"已过期",1120060040)</f>
        <v>1120060040</v>
      </c>
      <c r="C9" s="2776">
        <v>45592</v>
      </c>
      <c r="D9" s="2784" t="s">
        <v>1442</v>
      </c>
      <c r="E9" s="2773">
        <f ca="1">IF(F9&lt;B2,"已过期",2004110096)</f>
        <v>2004110096</v>
      </c>
      <c r="F9" s="2775">
        <v>47118</v>
      </c>
      <c r="G9" s="2768"/>
    </row>
    <row r="10" spans="1:7" ht="20.25" customHeight="1">
      <c r="A10" s="2773" t="s">
        <v>1443</v>
      </c>
      <c r="B10" s="2773">
        <f ca="1">IF(C10&lt;B2,"已过期",1120100036)</f>
        <v>1120100036</v>
      </c>
      <c r="C10" s="2776">
        <v>45752</v>
      </c>
      <c r="D10" s="2784" t="s">
        <v>1443</v>
      </c>
      <c r="E10" s="2773">
        <f ca="1">IF(F10&lt;B2,"已过期",2010110070)</f>
        <v>2010110070</v>
      </c>
      <c r="F10" s="2775">
        <v>47907</v>
      </c>
      <c r="G10" s="2768"/>
    </row>
    <row r="11" spans="1:7" ht="20.25" customHeight="1">
      <c r="A11" s="2773" t="s">
        <v>1444</v>
      </c>
      <c r="B11" s="2773">
        <f ca="1">IF(C11&lt;B2,"已过期",1120070131)</f>
        <v>1120070131</v>
      </c>
      <c r="C11" s="2776">
        <v>45937</v>
      </c>
      <c r="D11" s="2784" t="s">
        <v>1444</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1445</v>
      </c>
      <c r="E13" s="2773">
        <f ca="1">IF(F13&lt;B2,"已过期",2011110090)</f>
        <v>2011110090</v>
      </c>
      <c r="F13" s="2775">
        <v>48302</v>
      </c>
      <c r="G13" s="2768"/>
    </row>
    <row r="14" spans="1:7" ht="20.25" customHeight="1">
      <c r="A14" s="2773" t="s">
        <v>1446</v>
      </c>
      <c r="B14" s="2773" t="str">
        <f ca="1">IF(C14&lt;B2,"已过期",1120020033)</f>
        <v>已过期</v>
      </c>
      <c r="C14" s="2776">
        <v>45375</v>
      </c>
      <c r="D14" s="2784" t="s">
        <v>1446</v>
      </c>
      <c r="E14" s="2773">
        <f ca="1">IF(F14&lt;B2,"已过期",2000110137)</f>
        <v>2000110137</v>
      </c>
      <c r="F14" s="2775">
        <v>46387</v>
      </c>
      <c r="G14" s="2768"/>
    </row>
    <row r="15" spans="1:7" ht="20.25" customHeight="1">
      <c r="A15" s="2773" t="s">
        <v>2249</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698" t="s">
        <v>1447</v>
      </c>
      <c r="B18" s="3699"/>
      <c r="C18" s="3699"/>
      <c r="D18" s="3699"/>
      <c r="E18" s="3699"/>
      <c r="F18" s="3699"/>
      <c r="G18" s="2777"/>
    </row>
    <row r="19" spans="1:7" ht="20.25" customHeight="1">
      <c r="A19" s="3695" t="s">
        <v>1448</v>
      </c>
      <c r="B19" s="3695"/>
      <c r="C19" s="3696"/>
      <c r="D19" s="3697" t="s">
        <v>1449</v>
      </c>
      <c r="E19" s="3695"/>
      <c r="F19" s="3695"/>
      <c r="G19" s="2777"/>
    </row>
    <row r="20" spans="1:7" s="2584" customFormat="1" ht="20.25" customHeight="1">
      <c r="A20" s="2778" t="s">
        <v>1450</v>
      </c>
      <c r="B20" s="2779" t="s">
        <v>1451</v>
      </c>
      <c r="C20" s="2786" t="s">
        <v>1452</v>
      </c>
      <c r="D20" s="2784" t="s">
        <v>1450</v>
      </c>
      <c r="E20" s="2779" t="s">
        <v>1451</v>
      </c>
      <c r="F20" s="2779" t="s">
        <v>1452</v>
      </c>
      <c r="G20" s="2769"/>
    </row>
    <row r="21" spans="1:7" s="2584" customFormat="1" ht="20.25" customHeight="1">
      <c r="A21" s="2780" t="s">
        <v>1453</v>
      </c>
      <c r="B21" s="2780" t="s">
        <v>1454</v>
      </c>
      <c r="C21" s="2787">
        <v>45898</v>
      </c>
      <c r="D21" s="2789" t="s">
        <v>1455</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60" priority="151">
      <formula>AND($C5-TODAY()&lt;30,TODAY()&lt;$C5)</formula>
    </cfRule>
  </conditionalFormatting>
  <conditionalFormatting sqref="C21">
    <cfRule type="expression" dxfId="259" priority="150">
      <formula>AND($C21-TODAY()&lt;30,TODAY()&lt;$C21)</formula>
    </cfRule>
  </conditionalFormatting>
  <conditionalFormatting sqref="C21 F4 C5 C13">
    <cfRule type="cellIs" dxfId="258" priority="152" stopIfTrue="1" operator="lessThan">
      <formula>$B$2</formula>
    </cfRule>
  </conditionalFormatting>
  <conditionalFormatting sqref="F5 F7 F9">
    <cfRule type="cellIs" dxfId="257" priority="146" stopIfTrue="1" operator="lessThan">
      <formula>$B$2</formula>
    </cfRule>
  </conditionalFormatting>
  <conditionalFormatting sqref="C17:D17">
    <cfRule type="expression" dxfId="256" priority="144">
      <formula>AND($C17-TODAY()&lt;30,TODAY()&lt;$C17)</formula>
    </cfRule>
  </conditionalFormatting>
  <conditionalFormatting sqref="F6 F8 F10 C17:D17">
    <cfRule type="cellIs" dxfId="255" priority="145" stopIfTrue="1" operator="lessThan">
      <formula>$B$2</formula>
    </cfRule>
  </conditionalFormatting>
  <conditionalFormatting sqref="F14">
    <cfRule type="cellIs" dxfId="254" priority="116" stopIfTrue="1" operator="lessThan">
      <formula>$B$2</formula>
    </cfRule>
  </conditionalFormatting>
  <conditionalFormatting sqref="F13">
    <cfRule type="cellIs" dxfId="253" priority="115" stopIfTrue="1" operator="lessThan">
      <formula>$B$2</formula>
    </cfRule>
  </conditionalFormatting>
  <conditionalFormatting sqref="B4:B11 E4:E11 E13:E16 B13:B16">
    <cfRule type="cellIs" dxfId="252" priority="113" stopIfTrue="1" operator="equal">
      <formula>"已过期"</formula>
    </cfRule>
  </conditionalFormatting>
  <conditionalFormatting sqref="C6">
    <cfRule type="expression" dxfId="251" priority="84">
      <formula>AND($C6-TODAY()&lt;30,TODAY()&lt;$C6)</formula>
    </cfRule>
  </conditionalFormatting>
  <conditionalFormatting sqref="C6">
    <cfRule type="cellIs" dxfId="250" priority="85" stopIfTrue="1" operator="lessThan">
      <formula>$B$2</formula>
    </cfRule>
  </conditionalFormatting>
  <conditionalFormatting sqref="C11 C15:C16">
    <cfRule type="expression" dxfId="249" priority="82">
      <formula>AND($C11-TODAY()&lt;30,TODAY()&lt;$C11)</formula>
    </cfRule>
  </conditionalFormatting>
  <conditionalFormatting sqref="C11 C15:C16">
    <cfRule type="cellIs" dxfId="248" priority="83" stopIfTrue="1" operator="lessThan">
      <formula>$B$2</formula>
    </cfRule>
  </conditionalFormatting>
  <conditionalFormatting sqref="F11">
    <cfRule type="cellIs" dxfId="247" priority="81" stopIfTrue="1" operator="lessThan">
      <formula>$B$2</formula>
    </cfRule>
  </conditionalFormatting>
  <conditionalFormatting sqref="C14">
    <cfRule type="expression" dxfId="246" priority="62">
      <formula>AND($C14-TODAY()&lt;30,TODAY()&lt;$C14)</formula>
    </cfRule>
  </conditionalFormatting>
  <conditionalFormatting sqref="C14">
    <cfRule type="cellIs" dxfId="245" priority="63" stopIfTrue="1" operator="lessThan">
      <formula>$B$2</formula>
    </cfRule>
  </conditionalFormatting>
  <conditionalFormatting sqref="C12">
    <cfRule type="cellIs" dxfId="244" priority="56" stopIfTrue="1" operator="lessThan">
      <formula>$B$2</formula>
    </cfRule>
  </conditionalFormatting>
  <conditionalFormatting sqref="C12">
    <cfRule type="expression" dxfId="243" priority="53">
      <formula>AND($C12-TODAY()&lt;30,TODAY()&lt;$C12)</formula>
    </cfRule>
  </conditionalFormatting>
  <conditionalFormatting sqref="C12">
    <cfRule type="cellIs" dxfId="242" priority="54" stopIfTrue="1" operator="lessThan">
      <formula>$B$2</formula>
    </cfRule>
  </conditionalFormatting>
  <conditionalFormatting sqref="B12">
    <cfRule type="cellIs" dxfId="241" priority="50" stopIfTrue="1" operator="equal">
      <formula>"已过期"</formula>
    </cfRule>
  </conditionalFormatting>
  <conditionalFormatting sqref="E12">
    <cfRule type="cellIs" dxfId="240" priority="40" stopIfTrue="1" operator="equal">
      <formula>"已过期"</formula>
    </cfRule>
  </conditionalFormatting>
  <conditionalFormatting sqref="F12">
    <cfRule type="cellIs" dxfId="239" priority="39" stopIfTrue="1" operator="lessThan">
      <formula>$B$2</formula>
    </cfRule>
  </conditionalFormatting>
  <conditionalFormatting sqref="C9:C10">
    <cfRule type="expression" dxfId="238" priority="35">
      <formula>AND($C9-TODAY()&lt;30,TODAY()&lt;$C9)</formula>
    </cfRule>
  </conditionalFormatting>
  <conditionalFormatting sqref="C9:C10">
    <cfRule type="cellIs" dxfId="237" priority="36" stopIfTrue="1" operator="lessThan">
      <formula>$B$2</formula>
    </cfRule>
  </conditionalFormatting>
  <conditionalFormatting sqref="F22">
    <cfRule type="cellIs" dxfId="236" priority="15" stopIfTrue="1" operator="lessThan">
      <formula>$B$2</formula>
    </cfRule>
  </conditionalFormatting>
  <conditionalFormatting sqref="F22">
    <cfRule type="expression" dxfId="235" priority="16">
      <formula>AND($E22-TODAY()&lt;30,TODAY()&lt;$E22)</formula>
    </cfRule>
  </conditionalFormatting>
  <conditionalFormatting sqref="C7:C8">
    <cfRule type="expression" dxfId="234" priority="7">
      <formula>AND($C7-TODAY()&lt;30,TODAY()&lt;$C7)</formula>
    </cfRule>
  </conditionalFormatting>
  <conditionalFormatting sqref="C7:C8">
    <cfRule type="cellIs" dxfId="233" priority="8" stopIfTrue="1" operator="lessThan">
      <formula>$B$2</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4">
    <cfRule type="expression" dxfId="230" priority="3">
      <formula>AND($C4-TODAY()&lt;30,TODAY()&lt;$C4)</formula>
    </cfRule>
  </conditionalFormatting>
  <conditionalFormatting sqref="C4">
    <cfRule type="cellIs" dxfId="229" priority="4" stopIfTrue="1" operator="lessThan">
      <formula>$B$2</formula>
    </cfRule>
  </conditionalFormatting>
  <conditionalFormatting sqref="F21">
    <cfRule type="cellIs" dxfId="228" priority="1" stopIfTrue="1" operator="lessThan">
      <formula>$B$2</formula>
    </cfRule>
  </conditionalFormatting>
  <conditionalFormatting sqref="F21">
    <cfRule type="expression" dxfId="22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793</v>
      </c>
      <c r="B1" s="3" t="s">
        <v>99</v>
      </c>
      <c r="C1" s="1367" t="s">
        <v>1236</v>
      </c>
      <c r="D1" s="2197" t="s">
        <v>2759</v>
      </c>
      <c r="E1" s="4" t="s">
        <v>100</v>
      </c>
      <c r="F1" s="4" t="s">
        <v>101</v>
      </c>
      <c r="G1" s="4" t="s">
        <v>102</v>
      </c>
      <c r="H1" s="4" t="s">
        <v>103</v>
      </c>
      <c r="I1" s="4" t="s">
        <v>104</v>
      </c>
      <c r="J1" s="4" t="s">
        <v>105</v>
      </c>
      <c r="K1" s="4" t="s">
        <v>106</v>
      </c>
      <c r="L1" s="4" t="s">
        <v>107</v>
      </c>
      <c r="M1" s="4" t="s">
        <v>108</v>
      </c>
      <c r="N1" s="4" t="s">
        <v>109</v>
      </c>
      <c r="O1" s="4" t="s">
        <v>110</v>
      </c>
      <c r="P1" s="4" t="s">
        <v>111</v>
      </c>
      <c r="Q1" s="2197" t="s">
        <v>1827</v>
      </c>
      <c r="R1" s="2196" t="s">
        <v>1821</v>
      </c>
      <c r="S1" s="4" t="s">
        <v>112</v>
      </c>
      <c r="T1" s="5" t="s">
        <v>113</v>
      </c>
      <c r="U1" s="4" t="s">
        <v>114</v>
      </c>
      <c r="V1" s="4" t="s">
        <v>115</v>
      </c>
      <c r="W1" s="966" t="s">
        <v>810</v>
      </c>
    </row>
    <row r="2" spans="1:23" ht="14.4">
      <c r="A2" s="6" t="s">
        <v>47</v>
      </c>
      <c r="B2" s="6" t="s">
        <v>116</v>
      </c>
      <c r="C2" s="1368" t="s">
        <v>1237</v>
      </c>
      <c r="D2" s="7" t="s">
        <v>48</v>
      </c>
      <c r="E2" s="7" t="s">
        <v>95</v>
      </c>
      <c r="F2" s="7" t="s">
        <v>96</v>
      </c>
      <c r="G2" s="4">
        <v>20</v>
      </c>
      <c r="H2" s="7" t="s">
        <v>97</v>
      </c>
      <c r="I2" s="7" t="s">
        <v>2745</v>
      </c>
      <c r="J2" s="7" t="s">
        <v>98</v>
      </c>
      <c r="K2" s="7" t="s">
        <v>49</v>
      </c>
      <c r="L2" s="7" t="s">
        <v>49</v>
      </c>
      <c r="M2" s="7" t="s">
        <v>49</v>
      </c>
      <c r="N2" s="7" t="s">
        <v>49</v>
      </c>
      <c r="O2" s="7" t="s">
        <v>49</v>
      </c>
      <c r="P2" s="967" t="s">
        <v>816</v>
      </c>
      <c r="Q2" s="7" t="s">
        <v>49</v>
      </c>
      <c r="R2" s="967" t="s">
        <v>1822</v>
      </c>
      <c r="S2" s="7" t="s">
        <v>49</v>
      </c>
      <c r="T2" s="7" t="s">
        <v>50</v>
      </c>
      <c r="U2" s="7" t="s">
        <v>49</v>
      </c>
      <c r="V2" s="7" t="s">
        <v>51</v>
      </c>
      <c r="W2" s="7" t="s">
        <v>811</v>
      </c>
    </row>
    <row r="3" spans="1:23" ht="14.4">
      <c r="A3" s="6" t="s">
        <v>52</v>
      </c>
      <c r="B3" s="8" t="s">
        <v>117</v>
      </c>
      <c r="C3" s="1369" t="s">
        <v>1238</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812</v>
      </c>
    </row>
    <row r="4" spans="1:23" ht="14.4">
      <c r="A4" s="6" t="s">
        <v>60</v>
      </c>
      <c r="B4" s="6" t="s">
        <v>118</v>
      </c>
      <c r="C4" s="1368" t="s">
        <v>1239</v>
      </c>
      <c r="D4" s="7" t="s">
        <v>1511</v>
      </c>
      <c r="E4" s="7" t="s">
        <v>61</v>
      </c>
      <c r="F4" s="7" t="s">
        <v>62</v>
      </c>
      <c r="G4" s="7">
        <v>50</v>
      </c>
      <c r="H4" s="7" t="s">
        <v>63</v>
      </c>
      <c r="I4" s="7" t="s">
        <v>2747</v>
      </c>
      <c r="K4" s="7" t="s">
        <v>64</v>
      </c>
      <c r="L4" s="7" t="s">
        <v>64</v>
      </c>
      <c r="M4" s="7" t="s">
        <v>64</v>
      </c>
      <c r="N4" s="7" t="s">
        <v>64</v>
      </c>
      <c r="O4" s="7" t="s">
        <v>64</v>
      </c>
      <c r="P4" s="967" t="s">
        <v>699</v>
      </c>
      <c r="Q4" s="7" t="s">
        <v>64</v>
      </c>
      <c r="R4" s="967" t="s">
        <v>1824</v>
      </c>
      <c r="S4" s="7" t="s">
        <v>64</v>
      </c>
      <c r="T4" s="7" t="s">
        <v>65</v>
      </c>
      <c r="U4" s="7" t="s">
        <v>64</v>
      </c>
      <c r="W4" s="7" t="s">
        <v>813</v>
      </c>
    </row>
    <row r="5" spans="1:23" ht="14.4">
      <c r="A5" s="6" t="s">
        <v>66</v>
      </c>
      <c r="B5" s="6" t="s">
        <v>119</v>
      </c>
      <c r="C5" s="1368" t="s">
        <v>1240</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814</v>
      </c>
    </row>
    <row r="6" spans="1:23" ht="14.4">
      <c r="A6" s="6" t="s">
        <v>70</v>
      </c>
      <c r="B6" s="1048" t="s">
        <v>1175</v>
      </c>
      <c r="C6" s="1370" t="s">
        <v>1241</v>
      </c>
      <c r="F6" s="7" t="s">
        <v>45</v>
      </c>
      <c r="H6" s="7" t="s">
        <v>46</v>
      </c>
      <c r="I6" s="7" t="s">
        <v>2749</v>
      </c>
      <c r="K6" s="7" t="s">
        <v>71</v>
      </c>
      <c r="L6" s="7" t="s">
        <v>71</v>
      </c>
      <c r="M6" s="7" t="s">
        <v>71</v>
      </c>
      <c r="N6" s="7" t="s">
        <v>71</v>
      </c>
      <c r="O6" s="7" t="s">
        <v>71</v>
      </c>
      <c r="P6" s="967" t="s">
        <v>817</v>
      </c>
      <c r="Q6" s="7" t="s">
        <v>71</v>
      </c>
      <c r="R6" s="967" t="s">
        <v>1826</v>
      </c>
      <c r="S6" s="7" t="s">
        <v>71</v>
      </c>
      <c r="T6" s="7"/>
      <c r="U6" s="7" t="s">
        <v>71</v>
      </c>
      <c r="W6" s="7" t="s">
        <v>815</v>
      </c>
    </row>
    <row r="7" spans="1:23" ht="14.4">
      <c r="A7" s="6" t="s">
        <v>72</v>
      </c>
      <c r="B7" s="6" t="s">
        <v>73</v>
      </c>
      <c r="C7" s="1368" t="s">
        <v>1242</v>
      </c>
      <c r="F7" s="7" t="s">
        <v>120</v>
      </c>
      <c r="H7" s="7" t="s">
        <v>74</v>
      </c>
      <c r="I7" s="7" t="s">
        <v>2750</v>
      </c>
    </row>
    <row r="8" spans="1:23" ht="14.4">
      <c r="A8" s="6" t="s">
        <v>75</v>
      </c>
      <c r="B8" s="6" t="s">
        <v>76</v>
      </c>
      <c r="C8" s="1368" t="s">
        <v>1243</v>
      </c>
      <c r="F8" s="7" t="s">
        <v>121</v>
      </c>
      <c r="H8" s="3337" t="s">
        <v>2744</v>
      </c>
      <c r="I8" s="7" t="s">
        <v>2751</v>
      </c>
    </row>
    <row r="9" spans="1:23" ht="14.4">
      <c r="A9" s="6" t="s">
        <v>77</v>
      </c>
      <c r="B9" s="6" t="s">
        <v>122</v>
      </c>
      <c r="C9" s="1368" t="s">
        <v>1244</v>
      </c>
      <c r="F9" s="7" t="s">
        <v>78</v>
      </c>
      <c r="H9" s="7"/>
      <c r="I9" s="7" t="s">
        <v>2752</v>
      </c>
    </row>
    <row r="10" spans="1:23" ht="14.4">
      <c r="A10" s="6" t="s">
        <v>79</v>
      </c>
      <c r="B10" s="6" t="s">
        <v>123</v>
      </c>
      <c r="C10" s="1368" t="s">
        <v>1245</v>
      </c>
      <c r="F10" s="3337" t="s">
        <v>2743</v>
      </c>
      <c r="I10" s="7" t="s">
        <v>2753</v>
      </c>
    </row>
    <row r="11" spans="1:23" ht="14.4">
      <c r="A11" s="6" t="s">
        <v>80</v>
      </c>
      <c r="B11" s="6" t="s">
        <v>124</v>
      </c>
      <c r="C11" s="1368" t="s">
        <v>1246</v>
      </c>
      <c r="I11" s="7" t="s">
        <v>2754</v>
      </c>
    </row>
    <row r="12" spans="1:23" ht="14.4">
      <c r="A12" s="6" t="s">
        <v>81</v>
      </c>
      <c r="B12" s="6" t="s">
        <v>125</v>
      </c>
      <c r="C12" s="1368" t="s">
        <v>1247</v>
      </c>
      <c r="I12" s="7" t="s">
        <v>2755</v>
      </c>
    </row>
    <row r="13" spans="1:23" ht="14.4">
      <c r="A13" s="6" t="s">
        <v>82</v>
      </c>
      <c r="B13" s="6" t="s">
        <v>126</v>
      </c>
      <c r="C13" s="1368" t="s">
        <v>1248</v>
      </c>
      <c r="I13" s="7" t="s">
        <v>2756</v>
      </c>
    </row>
    <row r="14" spans="1:23" ht="14.4">
      <c r="A14" s="6" t="s">
        <v>83</v>
      </c>
      <c r="B14" s="6" t="s">
        <v>127</v>
      </c>
      <c r="C14" s="1371" t="s">
        <v>1420</v>
      </c>
      <c r="I14" s="7" t="s">
        <v>2757</v>
      </c>
    </row>
    <row r="15" spans="1:23" ht="14.4">
      <c r="A15" s="6" t="s">
        <v>84</v>
      </c>
      <c r="B15" s="6" t="s">
        <v>1213</v>
      </c>
      <c r="C15" s="1371"/>
      <c r="I15" s="7" t="s">
        <v>2758</v>
      </c>
    </row>
    <row r="16" spans="1:23" ht="14.4">
      <c r="A16" s="6" t="s">
        <v>85</v>
      </c>
      <c r="B16" s="6" t="s">
        <v>1214</v>
      </c>
      <c r="C16" s="1371"/>
    </row>
    <row r="17" spans="1:3" ht="14.4">
      <c r="A17" s="6" t="s">
        <v>86</v>
      </c>
      <c r="B17" s="6" t="s">
        <v>1215</v>
      </c>
      <c r="C17" s="1371"/>
    </row>
    <row r="18" spans="1:3" ht="14.4">
      <c r="A18" s="6" t="s">
        <v>87</v>
      </c>
      <c r="B18" s="2547" t="s">
        <v>2215</v>
      </c>
      <c r="C18" s="1371"/>
    </row>
    <row r="19" spans="1:3" ht="14.4">
      <c r="A19" s="6" t="s">
        <v>88</v>
      </c>
      <c r="B19" s="2547" t="s">
        <v>2222</v>
      </c>
      <c r="C19" s="1371"/>
    </row>
    <row r="20" spans="1:3" ht="14.4">
      <c r="A20" s="6" t="s">
        <v>89</v>
      </c>
      <c r="B20" s="2547" t="s">
        <v>2262</v>
      </c>
      <c r="C20" s="1371"/>
    </row>
    <row r="21" spans="1:3" ht="14.4">
      <c r="A21" s="6" t="s">
        <v>90</v>
      </c>
      <c r="B21" s="6" t="s">
        <v>2439</v>
      </c>
      <c r="C21" s="1371"/>
    </row>
    <row r="22" spans="1:3" ht="14.4">
      <c r="A22" s="6" t="s">
        <v>91</v>
      </c>
      <c r="B22" s="6" t="s">
        <v>1176</v>
      </c>
      <c r="C22" s="1371"/>
    </row>
    <row r="23" spans="1:3" ht="14.4">
      <c r="A23" s="6" t="s">
        <v>92</v>
      </c>
      <c r="B23" s="6" t="s">
        <v>1176</v>
      </c>
      <c r="C23" s="1371"/>
    </row>
    <row r="24" spans="1:3">
      <c r="A24" s="6" t="s">
        <v>9</v>
      </c>
      <c r="B24" s="6" t="s">
        <v>1176</v>
      </c>
      <c r="C24" s="1371"/>
    </row>
    <row r="25" spans="1:3" ht="14.4">
      <c r="A25" s="6" t="s">
        <v>93</v>
      </c>
      <c r="B25" s="6" t="s">
        <v>1176</v>
      </c>
      <c r="C25" s="1371"/>
    </row>
    <row r="26" spans="1:3" ht="14.4">
      <c r="A26" s="6" t="s">
        <v>94</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6" t="s">
        <v>1461</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1503</v>
      </c>
      <c r="B52" s="1559" t="s">
        <v>1504</v>
      </c>
      <c r="C52" s="1557" t="s">
        <v>1505</v>
      </c>
      <c r="D52" s="1557" t="s">
        <v>1506</v>
      </c>
      <c r="E52" s="1558"/>
    </row>
    <row r="53" spans="1:5">
      <c r="A53" s="3700"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c r="D53" s="1558"/>
      <c r="E53" s="1558"/>
    </row>
    <row r="54" spans="1:5">
      <c r="A54" s="3700"/>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00"/>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00"/>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00"/>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160</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Sheet9</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比较法-工业</vt:lpstr>
      <vt:lpstr>案例（企业）</vt:lpstr>
      <vt:lpstr>成本逼近法</vt:lpstr>
      <vt:lpstr>比较法（成本套用）</vt:lpstr>
      <vt:lpstr>一级开发案例</vt:lpstr>
      <vt:lpstr>比较法-成本</vt:lpstr>
      <vt:lpstr>案例（海淀）</vt:lpstr>
      <vt:lpstr>Sheet1</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'比较法（成本套用）'!Print_Area</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'比较法（成本套用）'!套工工程地质条件</vt:lpstr>
      <vt:lpstr>'比较法-成本'!套工工程地质条件</vt:lpstr>
      <vt:lpstr>套工交易情况</vt:lpstr>
      <vt:lpstr>'比较法（成本套用）'!套工开发程度</vt:lpstr>
      <vt:lpstr>'比较法-成本'!套工开发程度</vt:lpstr>
      <vt:lpstr>'比较法（成本套用）'!套工临街等级</vt:lpstr>
      <vt:lpstr>'比较法-成本'!套工临街等级</vt:lpstr>
      <vt:lpstr>'比较法（成本套用）'!套工土地级别</vt:lpstr>
      <vt:lpstr>'比较法-成本'!套工土地级别</vt:lpstr>
      <vt:lpstr>'比较法（成本套用）'!套工用途</vt:lpstr>
      <vt:lpstr>'比较法-成本'!套工用途</vt:lpstr>
      <vt:lpstr>'比较法（成本套用）'!套工宗地形状</vt:lpstr>
      <vt:lpstr>'比较法-成本'!套工宗地形状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2024-08-05T07:52:53Z</dcterms:modified>
</cp:coreProperties>
</file>