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修正" sheetId="45" state="hidden" r:id="rId32"/>
    <sheet name="容积率修正" sheetId="46" state="hidden" r:id="rId33"/>
    <sheet name="典型户型修正" sheetId="31" r:id="rId34"/>
    <sheet name="比较法-商业租金" sheetId="79" state="hidden" r:id="rId35"/>
    <sheet name="收益法" sheetId="15" r:id="rId36"/>
    <sheet name="成本法" sheetId="68" state="hidden" r:id="rId37"/>
    <sheet name="基准地价修正" sheetId="43"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整理" sheetId="77" r:id="rId46"/>
    <sheet name="分摊土地面积计算" sheetId="78" r:id="rId47"/>
    <sheet name="案例及位置" sheetId="80" r:id="rId4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4"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35">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修正!$C$59:$C$119</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11" i="33" l="1"/>
  <c r="E111" i="33"/>
  <c r="F111" i="33"/>
  <c r="G111" i="33"/>
  <c r="F36" i="33"/>
  <c r="AA36" i="33"/>
  <c r="F33" i="33"/>
  <c r="AA33" i="33"/>
  <c r="D87" i="33"/>
  <c r="E87" i="33"/>
  <c r="F25" i="33"/>
  <c r="AA25" i="33"/>
  <c r="D77" i="33"/>
  <c r="E77" i="33"/>
  <c r="F15" i="33"/>
  <c r="AA15" i="33"/>
  <c r="R48" i="33"/>
  <c r="H36" i="33"/>
  <c r="AB36" i="33"/>
  <c r="H33" i="33"/>
  <c r="AB33" i="33"/>
  <c r="H25" i="33"/>
  <c r="AB25" i="33"/>
  <c r="H15" i="33"/>
  <c r="AB15" i="33"/>
  <c r="T48" i="33"/>
  <c r="J36" i="33"/>
  <c r="AC36" i="33"/>
  <c r="J33" i="33"/>
  <c r="AC33" i="33"/>
  <c r="J25" i="33"/>
  <c r="AC25" i="33"/>
  <c r="J15" i="33"/>
  <c r="AC15" i="33"/>
  <c r="V48" i="33"/>
  <c r="R49" i="33"/>
  <c r="C49" i="33"/>
  <c r="B3" i="33"/>
  <c r="R24" i="31"/>
  <c r="B26" i="31"/>
  <c r="B27" i="31"/>
  <c r="B28" i="31"/>
  <c r="B29" i="31"/>
  <c r="B30" i="31"/>
  <c r="B31" i="31"/>
  <c r="B32" i="31"/>
  <c r="B25" i="31"/>
  <c r="B24" i="31"/>
  <c r="C36" i="33"/>
  <c r="C33" i="33"/>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J9" i="79"/>
  <c r="AC9" i="79"/>
  <c r="J10" i="79"/>
  <c r="AC10" i="79"/>
  <c r="J11" i="79"/>
  <c r="AC11" i="79"/>
  <c r="V48" i="79"/>
  <c r="I48" i="79"/>
  <c r="R47" i="79"/>
  <c r="F7" i="79"/>
  <c r="AA7" i="79"/>
  <c r="F9" i="79"/>
  <c r="AA9" i="79"/>
  <c r="F10" i="79"/>
  <c r="AA10" i="79"/>
  <c r="F11" i="79"/>
  <c r="AA11" i="79"/>
  <c r="R48" i="79"/>
  <c r="E48" i="79"/>
  <c r="I53" i="79"/>
  <c r="J53" i="79"/>
  <c r="T47" i="79"/>
  <c r="H7" i="79"/>
  <c r="AB7" i="79"/>
  <c r="H9" i="79"/>
  <c r="AB9" i="79"/>
  <c r="H10" i="79"/>
  <c r="AB10" i="79"/>
  <c r="H11" i="79"/>
  <c r="AB11"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Q11" i="79"/>
  <c r="Z11" i="79"/>
  <c r="W11" i="79"/>
  <c r="U11" i="79"/>
  <c r="S11" i="79"/>
  <c r="Q10" i="79"/>
  <c r="Z10" i="79"/>
  <c r="W10" i="79"/>
  <c r="U10" i="79"/>
  <c r="S10" i="79"/>
  <c r="Q9" i="79"/>
  <c r="Z9" i="79"/>
  <c r="W9" i="79"/>
  <c r="U9" i="79"/>
  <c r="S9" i="79"/>
  <c r="J8" i="79"/>
  <c r="AC8" i="79"/>
  <c r="H8" i="79"/>
  <c r="AB8" i="79"/>
  <c r="F8" i="79"/>
  <c r="AA8" i="79"/>
  <c r="W8" i="79"/>
  <c r="U8" i="79"/>
  <c r="S8" i="79"/>
  <c r="W7" i="79"/>
  <c r="U7" i="79"/>
  <c r="S7" i="79"/>
  <c r="D3" i="79"/>
  <c r="B2" i="79"/>
  <c r="B3" i="79"/>
  <c r="U6" i="1"/>
  <c r="Z6" i="1"/>
  <c r="AD6" i="1"/>
  <c r="AF6" i="1"/>
  <c r="Y6" i="1"/>
  <c r="N6" i="1"/>
  <c r="F19" i="6"/>
  <c r="I14" i="3"/>
  <c r="I15" i="3"/>
  <c r="I16" i="3"/>
  <c r="I17" i="3"/>
  <c r="I18" i="3"/>
  <c r="I19" i="3"/>
  <c r="I20" i="3"/>
  <c r="I21" i="3"/>
  <c r="I13" i="3"/>
  <c r="C13" i="3"/>
  <c r="A3" i="3"/>
  <c r="E20" i="78"/>
  <c r="E19" i="78"/>
  <c r="E18" i="78"/>
  <c r="J14" i="78"/>
  <c r="E14" i="78"/>
  <c r="J13" i="78"/>
  <c r="E13" i="78"/>
  <c r="K12" i="78"/>
  <c r="E12" i="78"/>
  <c r="K11" i="78"/>
  <c r="E11" i="78"/>
  <c r="G10" i="78"/>
  <c r="F10" i="78"/>
  <c r="E10" i="78"/>
  <c r="G9" i="78"/>
  <c r="F9" i="78"/>
  <c r="E9" i="78"/>
  <c r="G8" i="78"/>
  <c r="F8" i="78"/>
  <c r="E8" i="78"/>
  <c r="G7" i="78"/>
  <c r="F7" i="78"/>
  <c r="E7" i="78"/>
  <c r="G6" i="78"/>
  <c r="F6" i="78"/>
  <c r="E6" i="78"/>
  <c r="G5" i="78"/>
  <c r="F5" i="78"/>
  <c r="E5" i="78"/>
  <c r="M36" i="77"/>
  <c r="M35" i="77"/>
  <c r="D36" i="77"/>
  <c r="M34" i="77"/>
  <c r="L34" i="77"/>
  <c r="K34" i="77"/>
  <c r="J34" i="77"/>
  <c r="I34" i="77"/>
  <c r="H34" i="77"/>
  <c r="G34" i="77"/>
  <c r="F34" i="77"/>
  <c r="E34" i="77"/>
  <c r="M30" i="77"/>
  <c r="L30" i="77"/>
  <c r="K30" i="77"/>
  <c r="J30" i="77"/>
  <c r="I30" i="77"/>
  <c r="H30" i="77"/>
  <c r="G30" i="77"/>
  <c r="F30" i="77"/>
  <c r="E30" i="77"/>
  <c r="M28" i="77"/>
  <c r="L28" i="77"/>
  <c r="K28" i="77"/>
  <c r="J28" i="77"/>
  <c r="I28" i="77"/>
  <c r="H28" i="77"/>
  <c r="G28" i="77"/>
  <c r="F28" i="77"/>
  <c r="E28" i="77"/>
  <c r="M26" i="77"/>
  <c r="L26" i="77"/>
  <c r="K26" i="77"/>
  <c r="J26" i="77"/>
  <c r="I26" i="77"/>
  <c r="H26" i="77"/>
  <c r="G26" i="77"/>
  <c r="F26" i="77"/>
  <c r="E26" i="77"/>
  <c r="M24" i="77"/>
  <c r="L24" i="77"/>
  <c r="K24" i="77"/>
  <c r="J24" i="77"/>
  <c r="I24" i="77"/>
  <c r="H24" i="77"/>
  <c r="G24" i="77"/>
  <c r="F24" i="77"/>
  <c r="E24" i="77"/>
  <c r="M22" i="77"/>
  <c r="L22" i="77"/>
  <c r="K22" i="77"/>
  <c r="J22" i="77"/>
  <c r="I22" i="77"/>
  <c r="H22" i="77"/>
  <c r="G22" i="77"/>
  <c r="F22" i="77"/>
  <c r="E22" i="77"/>
  <c r="M20" i="77"/>
  <c r="L20" i="77"/>
  <c r="K20" i="77"/>
  <c r="J20" i="77"/>
  <c r="I20" i="77"/>
  <c r="H20" i="77"/>
  <c r="G20" i="77"/>
  <c r="F20" i="77"/>
  <c r="E20" i="77"/>
  <c r="M18" i="77"/>
  <c r="L18" i="77"/>
  <c r="K18" i="77"/>
  <c r="J18" i="77"/>
  <c r="I18" i="77"/>
  <c r="H18" i="77"/>
  <c r="G18" i="77"/>
  <c r="F18" i="77"/>
  <c r="E18" i="77"/>
  <c r="E33" i="77"/>
  <c r="F33" i="77"/>
  <c r="G33" i="77"/>
  <c r="H33" i="77"/>
  <c r="I33" i="77"/>
  <c r="J33" i="77"/>
  <c r="K33" i="77"/>
  <c r="L33" i="77"/>
  <c r="E29" i="77"/>
  <c r="F29" i="77"/>
  <c r="G29" i="77"/>
  <c r="H29" i="77"/>
  <c r="I29" i="77"/>
  <c r="J29" i="77"/>
  <c r="K29" i="77"/>
  <c r="L29" i="77"/>
  <c r="E25" i="77"/>
  <c r="F25" i="77"/>
  <c r="G25" i="77"/>
  <c r="H25" i="77"/>
  <c r="I25" i="77"/>
  <c r="J25" i="77"/>
  <c r="K25" i="77"/>
  <c r="L25" i="77"/>
  <c r="L27" i="77"/>
  <c r="K27" i="77"/>
  <c r="J27" i="77"/>
  <c r="I27" i="77"/>
  <c r="H27" i="77"/>
  <c r="F27" i="77"/>
  <c r="G27" i="77"/>
  <c r="E23" i="77"/>
  <c r="F23" i="77"/>
  <c r="G23" i="77"/>
  <c r="H23" i="77"/>
  <c r="I23" i="77"/>
  <c r="J23" i="77"/>
  <c r="K23" i="77"/>
  <c r="L23" i="77"/>
  <c r="E21" i="77"/>
  <c r="F21" i="77"/>
  <c r="G21" i="77"/>
  <c r="H21" i="77"/>
  <c r="I21" i="77"/>
  <c r="J21" i="77"/>
  <c r="K21" i="77"/>
  <c r="L21" i="77"/>
  <c r="E19" i="77"/>
  <c r="F19" i="77"/>
  <c r="G19" i="77"/>
  <c r="H19" i="77"/>
  <c r="I19" i="77"/>
  <c r="J19" i="77"/>
  <c r="K19" i="77"/>
  <c r="L19" i="77"/>
  <c r="L17" i="77"/>
  <c r="K17" i="77"/>
  <c r="J17" i="77"/>
  <c r="I17" i="77"/>
  <c r="H17" i="77"/>
  <c r="G17" i="77"/>
  <c r="F17" i="77"/>
  <c r="E27" i="77"/>
  <c r="E31" i="77"/>
  <c r="R4" i="77"/>
  <c r="E17" i="77"/>
  <c r="D13" i="77"/>
  <c r="D35" i="77"/>
  <c r="D21" i="77"/>
  <c r="D23" i="77"/>
  <c r="D25" i="77"/>
  <c r="D27" i="77"/>
  <c r="D29" i="77"/>
  <c r="D31" i="77"/>
  <c r="D33" i="77"/>
  <c r="D19" i="77"/>
  <c r="D17" i="77"/>
  <c r="Q13" i="77"/>
  <c r="P13" i="77"/>
  <c r="E13" i="77"/>
  <c r="R12" i="77"/>
  <c r="R10" i="77"/>
  <c r="R9" i="77"/>
  <c r="R8" i="77"/>
  <c r="R7" i="77"/>
  <c r="R6" i="77"/>
  <c r="R5"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17" i="43"/>
  <c r="H17" i="43"/>
  <c r="I17" i="43"/>
  <c r="J17" i="43"/>
  <c r="C16" i="43"/>
  <c r="C5" i="43"/>
  <c r="C24" i="43"/>
  <c r="C39" i="43"/>
  <c r="G39" i="43"/>
  <c r="C38" i="43"/>
  <c r="G38" i="43"/>
  <c r="C37" i="43"/>
  <c r="G37" i="43"/>
  <c r="D5" i="43"/>
  <c r="C36" i="43"/>
  <c r="G36" i="43"/>
  <c r="C35" i="43"/>
  <c r="G35" i="43"/>
  <c r="C34" i="43"/>
  <c r="G34" i="43"/>
  <c r="J53" i="67"/>
  <c r="M47" i="15"/>
  <c r="J50" i="15"/>
  <c r="J51" i="15"/>
  <c r="I5" i="3"/>
  <c r="I4" i="6"/>
  <c r="G3" i="43"/>
  <c r="C33" i="43"/>
  <c r="G33" i="43"/>
  <c r="I33" i="43"/>
  <c r="E33" i="4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AZ5" i="3"/>
  <c r="H13" i="3"/>
  <c r="G13" i="3"/>
  <c r="H14" i="3"/>
  <c r="G14" i="3"/>
  <c r="H15" i="3"/>
  <c r="G15" i="3"/>
  <c r="H16" i="3"/>
  <c r="G16" i="3"/>
  <c r="H17" i="3"/>
  <c r="G17" i="3"/>
  <c r="H18" i="3"/>
  <c r="G18" i="3"/>
  <c r="H19" i="3"/>
  <c r="G19" i="3"/>
  <c r="H20" i="3"/>
  <c r="G20" i="3"/>
  <c r="H21" i="3"/>
  <c r="G21" i="3"/>
  <c r="H22" i="3"/>
  <c r="G22"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1" i="4"/>
  <c r="L22" i="4"/>
  <c r="L20" i="4"/>
  <c r="A15" i="62"/>
  <c r="A14" i="62"/>
  <c r="A13" i="62"/>
  <c r="A19" i="6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R26" i="31"/>
  <c r="C27" i="31"/>
  <c r="R27" i="31"/>
  <c r="C28" i="31"/>
  <c r="R28" i="31"/>
  <c r="C29" i="31"/>
  <c r="R29" i="31"/>
  <c r="C30" i="31"/>
  <c r="R30" i="31"/>
  <c r="C31" i="31"/>
  <c r="R31" i="31"/>
  <c r="C32"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R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c r="D81" i="33"/>
  <c r="E81" i="33"/>
  <c r="D79"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C4" i="4"/>
  <c r="B16" i="49"/>
  <c r="B14" i="49"/>
  <c r="E7" i="49"/>
  <c r="E22" i="49"/>
  <c r="D23" i="15"/>
  <c r="D22" i="15"/>
  <c r="E6" i="49"/>
  <c r="B5" i="49"/>
  <c r="B13" i="49"/>
  <c r="E4" i="4"/>
  <c r="B5" i="62"/>
  <c r="B73" i="72"/>
  <c r="B9" i="49"/>
  <c r="E16" i="49"/>
  <c r="B11" i="49"/>
  <c r="E8" i="49"/>
  <c r="E21" i="49"/>
  <c r="E10" i="49"/>
  <c r="E9" i="49"/>
  <c r="E5" i="49"/>
  <c r="B6" i="49"/>
  <c r="B4" i="49"/>
  <c r="B8" i="49"/>
  <c r="E4"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AC32" i="33"/>
  <c r="W32" i="33"/>
  <c r="U27" i="33"/>
  <c r="AB27" i="33"/>
  <c r="G91" i="33"/>
  <c r="H91" i="33"/>
  <c r="I91" i="33"/>
  <c r="J91" i="33"/>
  <c r="K91" i="33"/>
  <c r="L91" i="33"/>
  <c r="M91" i="33"/>
  <c r="J27" i="33"/>
  <c r="U25" i="33"/>
  <c r="S25" i="33"/>
  <c r="G87" i="33"/>
  <c r="H87" i="33"/>
  <c r="I87" i="33"/>
  <c r="J87" i="33"/>
  <c r="K87" i="33"/>
  <c r="L87" i="33"/>
  <c r="M87"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AC27" i="33"/>
  <c r="W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D10" i="68"/>
  <c r="C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C14" i="12"/>
  <c r="F34" i="68"/>
  <c r="C36" i="68"/>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5" i="69"/>
  <c r="M63" i="40"/>
  <c r="L65" i="40"/>
  <c r="M70" i="39"/>
  <c r="D10" i="69"/>
  <c r="D19"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B20" i="31"/>
  <c r="H109" i="9"/>
  <c r="H110" i="9"/>
  <c r="D18" i="53"/>
  <c r="B35" i="72"/>
  <c r="D124" i="9"/>
  <c r="D16" i="53"/>
  <c r="B34" i="72"/>
  <c r="D10" i="52"/>
  <c r="H14" i="74"/>
  <c r="D17" i="53"/>
  <c r="B36" i="72"/>
  <c r="D125" i="9"/>
  <c r="D11" i="52"/>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L48" i="15"/>
  <c r="E10" i="76"/>
  <c r="B8" i="76"/>
  <c r="B13" i="76"/>
  <c r="F7" i="73"/>
  <c r="F6" i="73"/>
  <c r="D7" i="73"/>
  <c r="AO10" i="1"/>
  <c r="F7" i="15"/>
  <c r="M23" i="15"/>
  <c r="F38" i="15"/>
  <c r="F9" i="15"/>
  <c r="J15" i="15"/>
  <c r="F43" i="67"/>
  <c r="M9" i="15"/>
  <c r="M8" i="15"/>
  <c r="M22" i="67"/>
  <c r="F16" i="15"/>
  <c r="M28" i="67"/>
  <c r="F9" i="67"/>
  <c r="M23" i="67"/>
  <c r="E7" i="76"/>
  <c r="E11" i="76"/>
  <c r="B12" i="76"/>
  <c r="B9" i="76"/>
  <c r="D3" i="73"/>
  <c r="F3" i="73"/>
  <c r="AO9" i="1"/>
  <c r="AO12" i="1"/>
  <c r="M24" i="67"/>
  <c r="M22" i="15"/>
  <c r="F26" i="67"/>
  <c r="M28" i="15"/>
  <c r="L48" i="67"/>
  <c r="F36" i="15"/>
  <c r="J15" i="67"/>
  <c r="F8" i="15"/>
  <c r="F26" i="15"/>
  <c r="F37" i="67"/>
  <c r="F43" i="15"/>
  <c r="M8" i="67"/>
  <c r="F35" i="67"/>
  <c r="M21" i="67"/>
  <c r="F41" i="15"/>
  <c r="AO7" i="1"/>
  <c r="F20" i="31"/>
  <c r="C19" i="9"/>
  <c r="E6" i="76"/>
  <c r="M27" i="67"/>
  <c r="E2" i="69"/>
  <c r="D2" i="21"/>
  <c r="E2" i="68"/>
  <c r="B6" i="76"/>
  <c r="F4" i="73"/>
  <c r="M24" i="15"/>
  <c r="F8" i="67"/>
  <c r="F42" i="15"/>
  <c r="M9" i="67"/>
  <c r="F16" i="67"/>
  <c r="F13" i="15"/>
  <c r="F40" i="67"/>
  <c r="M29" i="15"/>
  <c r="E9" i="76"/>
  <c r="E13" i="76"/>
  <c r="F5" i="73"/>
  <c r="D6" i="73"/>
  <c r="AO13" i="1"/>
  <c r="M6" i="15"/>
  <c r="F13" i="67"/>
  <c r="F37" i="15"/>
  <c r="F40" i="15"/>
  <c r="F38" i="67"/>
  <c r="M29" i="67"/>
  <c r="M21" i="15"/>
  <c r="C14" i="15"/>
  <c r="D2" i="36"/>
  <c r="F35" i="15"/>
  <c r="AO8" i="1"/>
  <c r="D2" i="34"/>
  <c r="E8" i="76"/>
  <c r="E12" i="76"/>
  <c r="B11" i="76"/>
  <c r="B7" i="76"/>
  <c r="D5" i="73"/>
  <c r="AO11" i="1"/>
  <c r="F6" i="67"/>
  <c r="F7" i="67"/>
  <c r="M6" i="67"/>
  <c r="C76" i="15"/>
  <c r="M26" i="15"/>
  <c r="D2" i="79"/>
  <c r="B10" i="76"/>
  <c r="D4" i="73"/>
  <c r="C76" i="67"/>
  <c r="M26" i="67"/>
  <c r="F6" i="15"/>
  <c r="L47" i="15"/>
  <c r="L47" i="67"/>
  <c r="F36" i="67"/>
  <c r="F42" i="67"/>
  <c r="F41" i="67"/>
  <c r="D2" i="33"/>
  <c r="D2" i="35"/>
  <c r="D2" i="37"/>
  <c r="C20" i="9"/>
  <c r="C12" i="12"/>
  <c r="D19" i="68"/>
  <c r="D37" i="68"/>
  <c r="C37" i="68"/>
  <c r="C29" i="69"/>
  <c r="D27" i="69"/>
  <c r="C47" i="68"/>
  <c r="D45" i="68"/>
  <c r="C38" i="69"/>
  <c r="C34" i="68"/>
  <c r="C35" i="68"/>
  <c r="T35" i="4"/>
  <c r="A19" i="51"/>
  <c r="B14" i="72"/>
  <c r="C16" i="12"/>
  <c r="C10" i="69"/>
  <c r="C8" i="69"/>
  <c r="C5" i="69"/>
  <c r="D37" i="69"/>
  <c r="C37" i="69"/>
  <c r="C19" i="69"/>
  <c r="C20" i="69"/>
  <c r="C28" i="69"/>
  <c r="C27" i="69"/>
  <c r="C23" i="12"/>
  <c r="C21" i="12"/>
  <c r="C22" i="12"/>
  <c r="B2" i="76"/>
  <c r="C103" i="9"/>
  <c r="B2" i="34"/>
  <c r="B3" i="34"/>
  <c r="B2" i="21"/>
  <c r="B3" i="21"/>
  <c r="B2" i="37"/>
  <c r="B3" i="37"/>
  <c r="B8" i="70"/>
  <c r="F63" i="15"/>
  <c r="C62" i="15"/>
  <c r="C34" i="15"/>
  <c r="E2" i="76"/>
  <c r="B2" i="35"/>
  <c r="B3" i="35"/>
  <c r="C21" i="9"/>
  <c r="C102" i="9"/>
  <c r="B2" i="36"/>
  <c r="B3" i="36"/>
  <c r="B7" i="70"/>
  <c r="F69" i="67"/>
  <c r="F69" i="15"/>
  <c r="C18" i="15"/>
  <c r="C15" i="15"/>
  <c r="J20" i="67"/>
  <c r="J20" i="15"/>
  <c r="F63" i="67"/>
  <c r="C62" i="67"/>
  <c r="C34" i="67"/>
  <c r="F70" i="67"/>
  <c r="F71" i="15"/>
  <c r="F64" i="67"/>
  <c r="F65" i="67"/>
  <c r="F66" i="67"/>
  <c r="C27" i="15"/>
  <c r="L58" i="67"/>
  <c r="L59" i="67"/>
  <c r="N59" i="67"/>
  <c r="M59" i="67"/>
  <c r="F51" i="15"/>
  <c r="F68" i="15"/>
  <c r="M59" i="15"/>
  <c r="N59" i="15"/>
  <c r="L59" i="15"/>
  <c r="L58" i="15"/>
  <c r="F64" i="15"/>
  <c r="F65" i="15"/>
  <c r="L56" i="67"/>
  <c r="I54" i="67"/>
  <c r="J57" i="67"/>
  <c r="J55" i="67"/>
  <c r="J58" i="67"/>
  <c r="Q50" i="67"/>
  <c r="C6" i="15"/>
  <c r="C27" i="67"/>
  <c r="Q71" i="67"/>
  <c r="B12" i="70"/>
  <c r="B13" i="70"/>
  <c r="B9" i="70"/>
  <c r="E20" i="43"/>
  <c r="F68" i="67"/>
  <c r="Q71" i="15"/>
  <c r="F71" i="67"/>
  <c r="F50" i="67"/>
  <c r="M7" i="67"/>
  <c r="J6" i="67"/>
  <c r="F66" i="15"/>
  <c r="F51" i="67"/>
  <c r="C6" i="67"/>
  <c r="M7" i="15"/>
  <c r="J6" i="15"/>
  <c r="F50" i="15"/>
  <c r="B10" i="70"/>
  <c r="B11" i="70"/>
  <c r="I1" i="73"/>
  <c r="B39" i="1"/>
  <c r="K1" i="73"/>
  <c r="L56" i="15"/>
  <c r="J53" i="15"/>
  <c r="I54" i="15"/>
  <c r="J57" i="15"/>
  <c r="J55" i="15"/>
  <c r="J58" i="15"/>
  <c r="Q50" i="15"/>
  <c r="L60" i="15"/>
  <c r="L57" i="15"/>
  <c r="R16" i="1"/>
  <c r="K4" i="4"/>
  <c r="B46" i="48"/>
  <c r="B4" i="72"/>
  <c r="B4" i="62"/>
  <c r="B71" i="72"/>
  <c r="G1" i="73"/>
  <c r="C17" i="67"/>
  <c r="C16" i="15"/>
  <c r="C14" i="67"/>
  <c r="C17" i="15"/>
  <c r="C16" i="67"/>
  <c r="C38" i="68"/>
  <c r="C19" i="68"/>
  <c r="C20" i="68"/>
  <c r="C28" i="68"/>
  <c r="C27" i="68"/>
  <c r="C33" i="68"/>
  <c r="C39" i="68"/>
  <c r="C33" i="69"/>
  <c r="C39" i="69"/>
  <c r="C49" i="67"/>
  <c r="C15" i="67"/>
  <c r="C18" i="67"/>
  <c r="B40" i="1"/>
  <c r="C19" i="15"/>
  <c r="C30" i="12"/>
  <c r="C28" i="12"/>
  <c r="Q57" i="15"/>
  <c r="Q66" i="15"/>
  <c r="F11" i="67"/>
  <c r="M11" i="15"/>
  <c r="J10" i="15"/>
  <c r="J5" i="15"/>
  <c r="M11" i="67"/>
  <c r="J10" i="67"/>
  <c r="J5" i="67"/>
  <c r="F11" i="15"/>
  <c r="C10" i="15"/>
  <c r="C5" i="15"/>
  <c r="O17" i="43"/>
  <c r="P17" i="43"/>
  <c r="N17" i="43"/>
  <c r="M17" i="43"/>
  <c r="Q74" i="15"/>
  <c r="Q61" i="15"/>
  <c r="C49" i="15"/>
  <c r="Q73" i="67"/>
  <c r="Q60" i="67"/>
  <c r="C46" i="69"/>
  <c r="C45" i="69"/>
  <c r="F1" i="15"/>
  <c r="Q52" i="15"/>
  <c r="Q73" i="15"/>
  <c r="Q60" i="15"/>
  <c r="Q74" i="67"/>
  <c r="Q61" i="67"/>
  <c r="B3" i="76"/>
  <c r="AE6" i="1"/>
  <c r="C19" i="67"/>
  <c r="C20" i="67"/>
  <c r="C26" i="67"/>
  <c r="AG6" i="1"/>
  <c r="J24" i="15"/>
  <c r="J19" i="15"/>
  <c r="J18" i="15"/>
  <c r="C32" i="15"/>
  <c r="C38" i="15"/>
  <c r="C33" i="15"/>
  <c r="J24" i="67"/>
  <c r="J18" i="67"/>
  <c r="J26" i="67"/>
  <c r="J29" i="67"/>
  <c r="C53" i="15"/>
  <c r="C48" i="15"/>
  <c r="C20" i="15"/>
  <c r="C26" i="15"/>
  <c r="F24" i="15"/>
  <c r="C24" i="15"/>
  <c r="F22" i="11"/>
  <c r="F22" i="69"/>
  <c r="F25" i="12"/>
  <c r="F22" i="68"/>
  <c r="C43" i="68"/>
  <c r="F24" i="67"/>
  <c r="C24" i="67"/>
  <c r="C10" i="67"/>
  <c r="C5" i="67"/>
  <c r="C53" i="67"/>
  <c r="C48" i="67"/>
  <c r="C46" i="68"/>
  <c r="C45" i="68"/>
  <c r="M27" i="15"/>
  <c r="J17" i="15"/>
  <c r="C23" i="15"/>
  <c r="C29" i="15"/>
  <c r="C60" i="15"/>
  <c r="C66" i="15"/>
  <c r="C32" i="67"/>
  <c r="C38" i="67"/>
  <c r="C23" i="68"/>
  <c r="C24" i="68"/>
  <c r="C26" i="68"/>
  <c r="D22" i="68"/>
  <c r="C44" i="68"/>
  <c r="D41" i="68"/>
  <c r="C25" i="68"/>
  <c r="C42" i="68"/>
  <c r="C41" i="68"/>
  <c r="C49" i="68"/>
  <c r="C51" i="68"/>
  <c r="C26" i="69"/>
  <c r="D22" i="69"/>
  <c r="C44" i="69"/>
  <c r="D41" i="69"/>
  <c r="C24" i="69"/>
  <c r="C42" i="69"/>
  <c r="C25" i="69"/>
  <c r="C23" i="69"/>
  <c r="C43" i="69"/>
  <c r="C60" i="67"/>
  <c r="C66" i="67"/>
  <c r="C26" i="12"/>
  <c r="D25" i="12"/>
  <c r="C27" i="12"/>
  <c r="C25" i="12"/>
  <c r="C26" i="11"/>
  <c r="D22" i="11"/>
  <c r="C24" i="11"/>
  <c r="C43" i="11"/>
  <c r="C25" i="11"/>
  <c r="C44" i="11"/>
  <c r="D41" i="11"/>
  <c r="C23" i="11"/>
  <c r="C22" i="11"/>
  <c r="C42" i="11"/>
  <c r="C41" i="11"/>
  <c r="C49" i="11"/>
  <c r="C51" i="11"/>
  <c r="C23" i="67"/>
  <c r="C29" i="67"/>
  <c r="C31" i="15"/>
  <c r="C22" i="69"/>
  <c r="C31" i="69"/>
  <c r="C41" i="69"/>
  <c r="C49" i="69"/>
  <c r="C51" i="69"/>
  <c r="C31" i="11"/>
  <c r="C52" i="11"/>
  <c r="B2" i="11"/>
  <c r="B3" i="11"/>
  <c r="C32" i="12"/>
  <c r="B2" i="12"/>
  <c r="B3" i="12"/>
  <c r="C22" i="68"/>
  <c r="C31" i="68"/>
  <c r="C52" i="68"/>
  <c r="B2" i="68"/>
  <c r="B3" i="68"/>
  <c r="Q49" i="15"/>
  <c r="J14" i="15"/>
  <c r="C57" i="15"/>
  <c r="C13" i="15"/>
  <c r="C36" i="15"/>
  <c r="J59" i="15"/>
  <c r="J60" i="15"/>
  <c r="Q49" i="67"/>
  <c r="J14" i="67"/>
  <c r="J19" i="67"/>
  <c r="J17" i="67"/>
  <c r="C57" i="67"/>
  <c r="C13" i="67"/>
  <c r="C36" i="67"/>
  <c r="C33" i="67"/>
  <c r="C31" i="67"/>
  <c r="J59" i="67"/>
  <c r="J60" i="67"/>
  <c r="C57" i="68"/>
  <c r="C56" i="68"/>
  <c r="C52" i="69"/>
  <c r="C57" i="69"/>
  <c r="C56" i="69"/>
  <c r="C56" i="11"/>
  <c r="C57" i="11"/>
  <c r="B2" i="69"/>
  <c r="B3" i="69"/>
  <c r="Q70" i="67"/>
  <c r="C56" i="67"/>
  <c r="C65" i="67"/>
  <c r="C37" i="67"/>
  <c r="C30" i="67"/>
  <c r="C39" i="67"/>
  <c r="C75" i="67"/>
  <c r="Q48" i="15"/>
  <c r="L46" i="15"/>
  <c r="C37" i="15"/>
  <c r="C30" i="15"/>
  <c r="C39" i="15"/>
  <c r="Q70" i="15"/>
  <c r="C56" i="15"/>
  <c r="C65" i="15"/>
  <c r="C75" i="15"/>
  <c r="J13" i="15"/>
  <c r="J23" i="15"/>
  <c r="J22" i="15"/>
  <c r="Q48" i="67"/>
  <c r="L46" i="67"/>
  <c r="C61" i="67"/>
  <c r="C59" i="67"/>
  <c r="C64" i="67"/>
  <c r="J22" i="67"/>
  <c r="J13" i="67"/>
  <c r="J23" i="67"/>
  <c r="C61" i="15"/>
  <c r="C59" i="15"/>
  <c r="C64" i="15"/>
  <c r="C58" i="15"/>
  <c r="C67" i="15"/>
  <c r="C68" i="15"/>
  <c r="C71" i="15"/>
  <c r="J16" i="67"/>
  <c r="J25" i="67"/>
  <c r="C58" i="67"/>
  <c r="C67" i="67"/>
  <c r="C68" i="67"/>
  <c r="C71" i="67"/>
  <c r="Q69" i="15"/>
  <c r="Q68" i="15"/>
  <c r="C40" i="15"/>
  <c r="C46" i="15"/>
  <c r="Q69" i="67"/>
  <c r="Q68" i="67"/>
  <c r="C40" i="67"/>
  <c r="J16" i="15"/>
  <c r="J25" i="15"/>
  <c r="J26" i="15"/>
  <c r="J29" i="15"/>
  <c r="C80" i="15"/>
  <c r="C79" i="15"/>
  <c r="C80" i="67"/>
  <c r="C79" i="67"/>
  <c r="L51" i="15"/>
  <c r="L51" i="67"/>
  <c r="C45" i="67"/>
  <c r="C46" i="67"/>
  <c r="Q67" i="67"/>
  <c r="L57" i="67"/>
  <c r="L60" i="67"/>
  <c r="Q67" i="15"/>
  <c r="C43" i="15"/>
  <c r="Q65" i="15"/>
  <c r="Q75" i="15"/>
  <c r="Q47" i="15"/>
  <c r="Q53" i="15"/>
  <c r="Q56" i="15"/>
  <c r="Q62" i="15"/>
  <c r="B2" i="15"/>
  <c r="C83" i="15"/>
  <c r="C82" i="15"/>
  <c r="C43" i="67"/>
  <c r="Q65" i="67"/>
  <c r="Q56" i="67"/>
  <c r="Q47" i="67"/>
  <c r="Q53" i="67"/>
  <c r="D2" i="67"/>
  <c r="C83" i="67"/>
  <c r="C82" i="67"/>
  <c r="AO6" i="1"/>
  <c r="D19" i="9"/>
  <c r="B6" i="70"/>
  <c r="B2" i="70"/>
  <c r="B3" i="70"/>
  <c r="D102" i="9"/>
  <c r="D21" i="9"/>
  <c r="D22" i="9"/>
  <c r="G19" i="9"/>
  <c r="B2" i="67"/>
  <c r="B3" i="67"/>
  <c r="B3" i="15"/>
  <c r="Q66" i="67"/>
  <c r="Q75" i="67"/>
  <c r="Q57" i="67"/>
  <c r="Q62" i="67"/>
  <c r="D34" i="9"/>
  <c r="D20" i="9"/>
  <c r="D35" i="9"/>
  <c r="D103" i="9"/>
  <c r="G20" i="9"/>
  <c r="C32" i="9"/>
  <c r="G21" i="9"/>
  <c r="H118" i="9"/>
  <c r="C35" i="9"/>
  <c r="F118" i="9"/>
  <c r="C34" i="9"/>
  <c r="D118" i="9"/>
  <c r="G118" i="9"/>
  <c r="G4" i="52"/>
  <c r="B52" i="72"/>
  <c r="F4" i="52"/>
  <c r="B51" i="72"/>
  <c r="F119" i="9"/>
  <c r="F5" i="52"/>
  <c r="B53" i="72"/>
  <c r="D14" i="74"/>
  <c r="H101" i="9"/>
  <c r="C104" i="9"/>
  <c r="I118" i="9"/>
  <c r="H119" i="9"/>
  <c r="H5" i="52"/>
  <c r="H4" i="52"/>
  <c r="C105" i="9"/>
  <c r="I4" i="52"/>
  <c r="E118" i="9"/>
  <c r="E4" i="52"/>
  <c r="B48" i="72"/>
  <c r="H102" i="9"/>
  <c r="D7" i="53"/>
  <c r="B21" i="72"/>
  <c r="H107" i="9"/>
  <c r="M48" i="9"/>
  <c r="D45" i="9"/>
  <c r="D5" i="53"/>
  <c r="E14" i="74"/>
  <c r="F14" i="74"/>
  <c r="B5" i="74"/>
  <c r="D119" i="9"/>
  <c r="D5" i="52"/>
  <c r="B49" i="72"/>
  <c r="D4" i="52"/>
  <c r="B47" i="72"/>
  <c r="B20" i="72"/>
  <c r="D6" i="53"/>
  <c r="B22" i="72"/>
  <c r="D5" i="74"/>
  <c r="C5" i="74"/>
  <c r="C78" i="9"/>
  <c r="C73" i="9"/>
  <c r="C85" i="9"/>
  <c r="D55" i="9"/>
  <c r="M53" i="9"/>
  <c r="C64" i="9"/>
  <c r="C63" i="9"/>
  <c r="C67" i="9"/>
  <c r="C68" i="9"/>
  <c r="D54" i="9"/>
  <c r="D53" i="9"/>
  <c r="C93" i="9"/>
  <c r="C86" i="9"/>
  <c r="D52" i="9"/>
  <c r="C72" i="9"/>
  <c r="C79" i="9"/>
  <c r="H108" i="9"/>
  <c r="D15" i="53"/>
  <c r="B31" i="72"/>
  <c r="M49" i="9"/>
  <c r="D122" i="9"/>
  <c r="D13" i="53"/>
  <c r="D14" i="53"/>
  <c r="B32" i="72"/>
  <c r="B30" i="72"/>
  <c r="L68" i="9"/>
  <c r="M68" i="9"/>
  <c r="L65" i="9"/>
  <c r="M65" i="9"/>
  <c r="L66" i="9"/>
  <c r="M66" i="9"/>
  <c r="L64" i="9"/>
  <c r="M64" i="9"/>
  <c r="L63" i="9"/>
  <c r="M63" i="9"/>
  <c r="L67" i="9"/>
  <c r="M67" i="9"/>
  <c r="C80" i="9"/>
  <c r="E80" i="9"/>
  <c r="E81" i="9"/>
  <c r="C95" i="9"/>
  <c r="G14" i="74"/>
  <c r="B6" i="74"/>
  <c r="D123" i="9"/>
  <c r="D9" i="52"/>
  <c r="D8" i="52"/>
  <c r="M69" i="9"/>
  <c r="N69" i="9"/>
  <c r="C96" i="9"/>
  <c r="E96" i="9"/>
  <c r="E97" i="9"/>
  <c r="C81" i="9"/>
  <c r="C6" i="74"/>
  <c r="D6" i="74"/>
  <c r="C97" i="9"/>
  <c r="D58" i="9"/>
  <c r="D56" i="9"/>
  <c r="M54" i="9"/>
  <c r="N57"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<sst xmlns="http://schemas.openxmlformats.org/spreadsheetml/2006/main" count="7830" uniqueCount="3259">
  <si>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</si>
  <si>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</si>
  <si>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</si>
  <si>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</si>
  <si>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</si>
  <si>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</si>
  <si>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</si>
  <si>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</si>
  <si>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</si>
  <si>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</si>
  <si>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</si>
  <si>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</si>
  <si>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</si>
  <si>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</si>
  <si>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</si>
  <si>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</si>
  <si>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</si>
  <si>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</si>
  <si>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</si>
  <si>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</si>
  <si>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</si>
  <si>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</si>
  <si>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</si>
  <si>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</si>
  <si>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</si>
  <si>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</si>
  <si>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</si>
  <si>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</si>
  <si>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</si>
  <si>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</si>
  <si>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</si>
  <si>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</si>
  <si>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</si>
  <si>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</si>
  <si>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</si>
  <si>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</si>
  <si>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</si>
  <si>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</si>
  <si>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</si>
  <si>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</si>
  <si>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</si>
  <si>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</si>
  <si>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</si>
  <si>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</si>
  <si>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</si>
  <si>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</si>
  <si>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</si>
  <si>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</si>
  <si>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</si>
  <si>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</si>
  <si>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</si>
  <si>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</si>
  <si>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</si>
  <si>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</si>
  <si>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</si>
  <si>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</si>
  <si>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</si>
  <si>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</si>
  <si>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</si>
  <si>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</si>
  <si>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</si>
  <si>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</si>
  <si>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</si>
  <si>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</si>
  <si>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</si>
  <si>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</si>
  <si>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</si>
  <si>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</si>
  <si>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</si>
  <si>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</si>
  <si>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</si>
  <si>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</si>
  <si>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</si>
  <si>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</si>
  <si>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</si>
  <si>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</si>
  <si>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</si>
  <si>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</si>
  <si>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</si>
  <si>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</si>
  <si>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</si>
  <si>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</si>
  <si>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</si>
  <si>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</si>
  <si>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</si>
  <si>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</si>
  <si>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</si>
  <si>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</si>
  <si>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</si>
  <si>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</si>
  <si>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</si>
  <si>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</si>
  <si>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</si>
  <si>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</si>
  <si>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</si>
  <si>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</si>
  <si>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</si>
  <si>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</si>
  <si>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</si>
  <si>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</si>
  <si>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</si>
  <si>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</si>
  <si>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</si>
  <si>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</si>
  <si>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</si>
  <si>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</si>
  <si>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</si>
  <si>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</si>
  <si>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</si>
  <si>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</si>
  <si>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</si>
  <si>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</si>
  <si>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</si>
  <si>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</si>
  <si>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</si>
  <si>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</si>
  <si>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</si>
  <si>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</si>
  <si>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</si>
  <si>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</si>
  <si>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</si>
  <si>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</si>
  <si>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</si>
  <si>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</si>
  <si>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</si>
  <si>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</si>
  <si>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</si>
  <si>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</si>
  <si>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</si>
  <si>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</si>
  <si>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</si>
  <si>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</si>
  <si>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</si>
  <si>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</si>
  <si>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</si>
  <si>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</si>
  <si>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</si>
  <si>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</si>
  <si>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</si>
  <si>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</si>
  <si>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</si>
  <si>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</si>
  <si>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</si>
  <si>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</si>
  <si>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</si>
  <si>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</si>
  <si>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</si>
  <si>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</si>
  <si>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</si>
  <si>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</si>
  <si>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</si>
  <si>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</si>
  <si>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</si>
  <si>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</si>
  <si>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</si>
  <si>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</si>
  <si>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</si>
  <si>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</si>
  <si>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</si>
  <si>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</si>
  <si>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</si>
  <si>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</si>
  <si>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</si>
  <si>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</si>
  <si>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</si>
  <si>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</si>
  <si>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</si>
  <si>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</si>
  <si>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</si>
  <si>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</si>
  <si>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</si>
  <si>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</si>
  <si>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</si>
  <si>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</si>
  <si>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</si>
  <si>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</si>
  <si>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</si>
  <si>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</si>
  <si>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</si>
  <si>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</si>
  <si>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</si>
  <si>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</si>
  <si>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</si>
  <si>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</si>
  <si>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</si>
  <si>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</si>
  <si>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</si>
  <si>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</si>
  <si>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</si>
  <si>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</si>
  <si>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</si>
  <si>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</si>
  <si>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</si>
  <si>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</si>
  <si>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</si>
  <si>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</si>
  <si>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</si>
  <si>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</si>
  <si>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</si>
  <si>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</si>
  <si>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</si>
  <si>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</si>
  <si>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</si>
  <si>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</si>
  <si>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</si>
  <si>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</si>
  <si>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</si>
  <si>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</si>
  <si>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</si>
  <si>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</si>
  <si>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</si>
  <si>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</si>
  <si>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</si>
  <si>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</si>
  <si>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</si>
  <si>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</si>
  <si>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</si>
  <si>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</si>
  <si>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</si>
  <si>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</si>
  <si>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</si>
  <si>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</si>
  <si>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</si>
  <si>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</si>
  <si>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</si>
  <si>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</si>
  <si>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</si>
  <si>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</si>
  <si>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</si>
  <si>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</si>
  <si>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</si>
  <si>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</si>
  <si>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</si>
  <si>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</si>
  <si>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</si>
  <si>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</si>
  <si>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</si>
  <si>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</si>
  <si>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</si>
  <si>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</si>
  <si>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</si>
  <si>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</si>
  <si>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</si>
  <si>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</si>
  <si>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</si>
  <si>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</si>
  <si>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</si>
  <si>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</si>
  <si>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</si>
  <si>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</si>
  <si>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</si>
  <si>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</si>
  <si>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</si>
  <si>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</si>
  <si>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</si>
  <si>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</si>
  <si>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</si>
  <si>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</si>
  <si>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</si>
  <si>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</si>
  <si>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</si>
  <si>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</si>
  <si>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</si>
  <si>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</si>
  <si>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</si>
  <si>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</si>
  <si>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</si>
  <si>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</si>
  <si>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</si>
  <si>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</si>
  <si>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</si>
  <si>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</si>
  <si>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</si>
  <si>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</si>
  <si>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</si>
  <si>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</si>
  <si>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</si>
  <si>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</si>
  <si>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</si>
  <si>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</si>
  <si>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</si>
  <si>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</si>
  <si>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</si>
  <si>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</si>
  <si>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</si>
  <si>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</si>
  <si>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</si>
  <si>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</si>
  <si>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</si>
  <si>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</si>
  <si>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</si>
  <si>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</si>
  <si>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</si>
  <si>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</si>
  <si>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</si>
  <si>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</si>
  <si>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</si>
  <si>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</si>
  <si>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</si>
  <si>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</si>
  <si>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</si>
  <si>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</si>
  <si>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</si>
  <si>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</si>
  <si>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</si>
  <si>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</si>
  <si>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</si>
  <si>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</si>
  <si>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</si>
  <si>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</si>
  <si>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</si>
  <si>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</si>
  <si>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</si>
  <si>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</si>
  <si>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</si>
  <si>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</si>
  <si>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</si>
  <si>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</si>
  <si>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</si>
  <si>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</si>
  <si>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</si>
  <si>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</si>
  <si>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</si>
  <si>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</si>
  <si>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</si>
  <si>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</si>
  <si>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</si>
  <si>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</si>
  <si>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</si>
  <si>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</si>
  <si>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</si>
  <si>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</si>
  <si>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</si>
  <si>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</si>
  <si>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</si>
  <si>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</si>
  <si>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</si>
  <si>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</si>
  <si>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</si>
  <si>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</si>
  <si>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</si>
  <si>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</si>
  <si>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</si>
  <si>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</si>
  <si>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</si>
  <si>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</si>
  <si>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</si>
  <si>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</si>
  <si>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</si>
  <si>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</si>
  <si>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</si>
  <si>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</si>
  <si>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</si>
  <si>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</si>
  <si>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</si>
  <si>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</si>
  <si>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</si>
  <si>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</si>
  <si>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</si>
  <si>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</si>
  <si>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</si>
  <si>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</si>
  <si>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</si>
  <si>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</si>
  <si>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</si>
  <si>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</si>
  <si>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</si>
  <si>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</si>
  <si>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</si>
  <si>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</si>
  <si>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</si>
  <si>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</si>
  <si>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</si>
  <si>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</si>
  <si>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</si>
  <si>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</si>
  <si>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</si>
  <si>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</si>
  <si>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</si>
  <si>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</si>
  <si>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</si>
  <si>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</si>
  <si>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</si>
  <si>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</si>
  <si>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</si>
  <si>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</si>
  <si>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</si>
  <si>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</si>
  <si>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</si>
  <si>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</si>
  <si>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</si>
  <si>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</si>
  <si>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</si>
  <si>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</si>
  <si>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</si>
  <si>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</si>
  <si>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</si>
  <si>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</si>
  <si>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</si>
  <si>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</si>
  <si>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</si>
  <si>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</si>
  <si>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</si>
  <si>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</si>
  <si>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</si>
  <si>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</si>
  <si>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</si>
  <si>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</si>
  <si>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</si>
  <si>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</si>
  <si>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</si>
  <si>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</si>
  <si>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</si>
  <si>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</si>
  <si>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</si>
  <si>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</si>
  <si>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</si>
  <si>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</si>
  <si>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</si>
  <si>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</si>
  <si>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</si>
  <si>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</si>
  <si>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</si>
  <si>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</si>
  <si>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</si>
  <si>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</si>
  <si>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</si>
  <si>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</si>
  <si>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</si>
  <si>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</si>
  <si>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</si>
  <si>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</si>
  <si>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</si>
  <si>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</si>
  <si>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</si>
  <si>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</si>
  <si>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</si>
  <si>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</si>
  <si>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</si>
  <si>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</si>
  <si>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</si>
  <si>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</si>
  <si>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</si>
  <si>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</si>
  <si>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</si>
  <si>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</si>
  <si>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</si>
  <si>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</si>
  <si>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</si>
  <si>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</si>
  <si>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</si>
  <si>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</si>
  <si>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</si>
  <si>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</si>
  <si>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</si>
  <si>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</si>
  <si>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</si>
  <si>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</si>
  <si>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</si>
  <si>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</si>
  <si>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</si>
  <si>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</si>
  <si>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</si>
  <si>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</si>
  <si>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</si>
  <si>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</si>
  <si>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</si>
  <si>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</si>
  <si>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</si>
  <si>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</si>
  <si>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</si>
  <si>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</si>
  <si>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</si>
  <si>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</si>
  <si>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</si>
  <si>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</si>
  <si>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</si>
  <si>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</si>
  <si>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</si>
  <si>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</si>
  <si>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</si>
  <si>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</si>
  <si>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</si>
  <si>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</si>
  <si>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</si>
  <si>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</si>
  <si>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</si>
  <si>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</si>
  <si>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</si>
  <si>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</si>
  <si>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</si>
  <si>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</si>
  <si>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</si>
  <si>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</si>
  <si>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</si>
  <si>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</si>
  <si>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</si>
  <si>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</si>
  <si>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</si>
  <si>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</si>
  <si>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</si>
  <si>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</si>
  <si>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</si>
  <si>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</si>
  <si>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</si>
  <si>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</si>
  <si>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</si>
  <si>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</si>
  <si>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</si>
  <si>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</si>
  <si>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</si>
  <si>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</si>
  <si>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</si>
  <si>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</si>
  <si>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</si>
  <si>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</si>
  <si>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</si>
  <si>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</si>
  <si>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</si>
  <si>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</si>
  <si>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</si>
  <si>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</si>
  <si>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</si>
  <si>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</si>
  <si>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</si>
  <si>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</si>
  <si>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</si>
  <si>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</si>
  <si>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</si>
  <si>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</si>
  <si>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</si>
  <si>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</si>
  <si>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</si>
  <si>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</si>
  <si>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</si>
  <si>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</si>
  <si>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</si>
  <si>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</si>
  <si>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</si>
  <si>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</si>
  <si>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</si>
  <si>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</si>
  <si>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</si>
  <si>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</si>
  <si>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</si>
  <si>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</si>
  <si>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</si>
  <si>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</si>
  <si>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</si>
  <si>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</si>
  <si>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</si>
  <si>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</si>
  <si>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</si>
  <si>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</si>
  <si>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</si>
  <si>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</si>
  <si>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</si>
  <si>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</si>
  <si>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</si>
  <si>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</si>
  <si>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</si>
  <si>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</si>
  <si>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</si>
  <si>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</si>
  <si>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</si>
  <si>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</si>
  <si>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</si>
  <si>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</si>
  <si>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</si>
  <si>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</si>
  <si>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</si>
  <si>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</si>
  <si>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</si>
  <si>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</si>
  <si>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</si>
  <si>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</si>
  <si>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</si>
  <si>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</si>
  <si>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</si>
  <si>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</si>
  <si>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</si>
  <si>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</si>
  <si>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</si>
  <si>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</si>
  <si>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</si>
  <si>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</si>
  <si>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</si>
  <si>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</si>
  <si>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</si>
  <si>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</si>
  <si>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</si>
  <si>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</si>
  <si>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</si>
  <si>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</si>
  <si>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</si>
  <si>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</si>
  <si>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</si>
  <si>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</si>
  <si>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</si>
  <si>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</si>
  <si>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</si>
  <si>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</si>
  <si>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</si>
  <si>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</si>
  <si>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</si>
  <si>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</si>
  <si>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</si>
  <si>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</si>
  <si>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</si>
  <si>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</si>
  <si>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</si>
  <si>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</si>
  <si>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</si>
  <si>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</si>
  <si>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</si>
  <si>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</si>
  <si>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</si>
  <si>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</si>
  <si>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</si>
  <si>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</si>
  <si>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</si>
  <si>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</si>
  <si>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</si>
  <si>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</si>
  <si>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</si>
  <si>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</si>
  <si>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</si>
  <si>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</si>
  <si>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</si>
  <si>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</si>
  <si>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</si>
  <si>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</si>
  <si>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</si>
  <si>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</si>
  <si>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</si>
  <si>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</si>
  <si>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</si>
  <si>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</si>
  <si>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</si>
  <si>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</si>
  <si>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</si>
  <si>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</si>
  <si>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</si>
  <si>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</si>
  <si>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</si>
  <si>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</si>
  <si>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</si>
  <si>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</si>
  <si>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</si>
  <si>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</si>
  <si>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</si>
  <si>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</si>
  <si>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</si>
  <si>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</si>
  <si>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</si>
  <si>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</si>
  <si>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</si>
  <si>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</si>
  <si>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</si>
  <si>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</si>
  <si>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</si>
  <si>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</si>
  <si>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</si>
  <si>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</si>
  <si>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</si>
  <si>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</si>
  <si>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</si>
  <si>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</si>
  <si>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</si>
  <si>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</si>
  <si>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</si>
  <si>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</si>
  <si>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</si>
  <si>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</si>
  <si>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</si>
  <si>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</si>
  <si>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</si>
  <si>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</si>
  <si>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</si>
  <si>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</si>
  <si>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</si>
  <si>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</si>
  <si>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</si>
  <si>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</si>
  <si>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</si>
  <si>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</si>
  <si>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</si>
  <si>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</si>
  <si>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</si>
  <si>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</si>
  <si>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</si>
  <si>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</si>
  <si>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</si>
  <si>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</si>
  <si>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</si>
  <si>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</si>
  <si>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</si>
  <si>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</si>
  <si>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</si>
  <si>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</si>
  <si>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</si>
  <si>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</si>
  <si>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</si>
  <si>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</si>
  <si>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</si>
  <si>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</si>
  <si>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</si>
  <si>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</si>
  <si>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</si>
  <si>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</si>
  <si>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</si>
  <si>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</si>
  <si>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</si>
  <si>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</si>
  <si>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</si>
  <si>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</si>
  <si>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</si>
  <si>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</si>
  <si>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</si>
  <si>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</si>
  <si>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</si>
  <si>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</si>
  <si>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</si>
  <si>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</si>
  <si>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</si>
  <si>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</si>
  <si>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</si>
  <si>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</si>
  <si>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</si>
  <si>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</si>
  <si>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</si>
  <si>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</si>
  <si>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</si>
  <si>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</si>
  <si>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</si>
  <si>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</si>
  <si>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</si>
  <si>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</si>
  <si>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</si>
  <si>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</si>
  <si>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</si>
  <si>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</si>
  <si>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</si>
  <si>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</si>
  <si>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</si>
  <si>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</si>
  <si>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</si>
  <si>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</si>
  <si>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</si>
  <si>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</si>
  <si>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</si>
  <si>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</si>
  <si>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</si>
  <si>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</si>
  <si>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</si>
  <si>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</si>
  <si>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</si>
  <si>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</si>
  <si>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</si>
  <si>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</si>
  <si>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</si>
  <si>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</si>
  <si>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</si>
  <si>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</si>
  <si>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</si>
  <si>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</si>
  <si>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</si>
  <si>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</si>
  <si>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</si>
  <si>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</si>
  <si>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</si>
  <si>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</si>
  <si>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</si>
  <si>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</si>
  <si>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</si>
  <si>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</si>
  <si>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</si>
  <si>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</si>
  <si>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</si>
  <si>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</si>
  <si>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</si>
  <si>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</si>
  <si>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</si>
  <si>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</si>
  <si>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</si>
  <si>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</si>
  <si>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</si>
  <si>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</si>
  <si>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</si>
  <si>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</si>
  <si>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</si>
  <si>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</si>
  <si>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</si>
  <si>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</si>
  <si>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</si>
  <si>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</si>
  <si>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</si>
  <si>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</si>
  <si>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</si>
  <si>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</si>
  <si>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</si>
  <si>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</si>
  <si>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</si>
  <si>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</si>
  <si>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</si>
  <si>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</si>
  <si>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</si>
  <si>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</si>
  <si>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</si>
  <si>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</si>
  <si>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</si>
  <si>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</si>
  <si>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</si>
  <si>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</si>
  <si>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</si>
  <si>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</si>
  <si>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</si>
  <si>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</si>
  <si>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</si>
  <si>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</si>
  <si>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</si>
  <si>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</si>
  <si>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</si>
  <si>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</si>
  <si>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</si>
  <si>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</si>
  <si>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</si>
  <si>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</si>
  <si>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</si>
  <si>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</si>
  <si>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</si>
  <si>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</si>
  <si>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</si>
  <si>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</si>
  <si>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</si>
  <si>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</si>
  <si>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</si>
  <si>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</si>
  <si>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</si>
  <si>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</si>
  <si>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</si>
  <si>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</si>
  <si>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</si>
  <si>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</si>
  <si>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</si>
  <si>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</si>
  <si>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</si>
  <si>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</si>
  <si>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</si>
  <si>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</si>
  <si>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</si>
  <si>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</si>
  <si>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</si>
  <si>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</si>
  <si>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</si>
  <si>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</si>
  <si>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</si>
  <si>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</si>
  <si>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</si>
  <si>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</si>
  <si>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</si>
  <si>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</si>
  <si>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</si>
  <si>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</si>
  <si>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</si>
  <si>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</si>
  <si>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</si>
  <si>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</si>
  <si>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</si>
  <si>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</si>
  <si>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</si>
  <si>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</si>
  <si>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</si>
  <si>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</si>
  <si>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</si>
  <si>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</si>
  <si>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</si>
  <si>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</si>
  <si>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</si>
  <si>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</si>
  <si>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</si>
  <si>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</si>
  <si>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</si>
  <si>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</si>
  <si>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</si>
  <si>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</si>
  <si>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</si>
  <si>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</si>
  <si>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</si>
  <si>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</si>
  <si>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</si>
  <si>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</si>
  <si>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</si>
  <si>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</si>
  <si>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</si>
  <si>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</si>
  <si>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</si>
  <si>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</si>
  <si>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</si>
  <si>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</si>
  <si>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</si>
  <si>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</si>
  <si>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</si>
  <si>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</si>
  <si>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</si>
  <si>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</si>
  <si>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</si>
  <si>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</si>
  <si>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</si>
  <si>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</si>
  <si>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</si>
  <si>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</si>
  <si>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</si>
  <si>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</si>
  <si>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</si>
  <si>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</si>
  <si>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</si>
  <si>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</si>
  <si>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</si>
  <si>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</si>
  <si>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</si>
  <si>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</si>
  <si>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</si>
  <si>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</si>
  <si>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</si>
  <si>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</si>
  <si>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</si>
  <si>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</si>
  <si>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</si>
  <si>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</si>
  <si>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</si>
  <si>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</si>
  <si>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</si>
  <si>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</si>
  <si>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</si>
  <si>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</si>
  <si>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</si>
  <si>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</si>
  <si>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</si>
  <si>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</si>
  <si>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</si>
  <si>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</si>
  <si>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</si>
  <si>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</si>
  <si>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</si>
  <si>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</si>
  <si>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</si>
  <si>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</si>
  <si>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</si>
  <si>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</si>
  <si>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</si>
  <si>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</si>
  <si>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</si>
  <si>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</si>
  <si>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</si>
  <si>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</si>
  <si>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</si>
  <si>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</si>
  <si>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</si>
  <si>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</si>
  <si>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</si>
  <si>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</si>
  <si>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</si>
  <si>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</si>
  <si>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</si>
  <si>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</si>
  <si>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</si>
  <si>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</si>
  <si>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</si>
  <si>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</si>
  <si>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</si>
  <si>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</si>
  <si>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</si>
  <si>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</si>
  <si>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</si>
  <si>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</si>
  <si>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</si>
  <si>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</si>
  <si>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</si>
  <si>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</si>
  <si>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</si>
  <si>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</si>
  <si>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</si>
  <si>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</si>
  <si>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</si>
  <si>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</si>
  <si>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</si>
  <si>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</si>
  <si>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</si>
  <si>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</si>
  <si>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</si>
  <si>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</si>
  <si>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</si>
  <si>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</si>
  <si>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</si>
  <si>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</si>
  <si>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</si>
  <si>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</si>
  <si>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</si>
  <si>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</si>
  <si>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</si>
  <si>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</si>
  <si>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</si>
  <si>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</si>
  <si>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</si>
  <si>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</si>
  <si>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</si>
  <si>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</si>
  <si>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</si>
  <si>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</si>
  <si>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</si>
  <si>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</si>
  <si>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</si>
  <si>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</si>
  <si>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</si>
  <si>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</si>
  <si>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</si>
  <si>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</si>
  <si>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</si>
  <si>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</si>
  <si>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</si>
  <si>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</si>
  <si>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</si>
  <si>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</si>
  <si>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</si>
  <si>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</si>
  <si>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</si>
  <si>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</si>
  <si>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</si>
  <si>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</si>
  <si>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</si>
  <si>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</si>
  <si>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</si>
  <si>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</si>
  <si>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</si>
  <si>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</si>
  <si>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</si>
  <si>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</si>
  <si>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</si>
  <si>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</si>
  <si>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</si>
  <si>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</si>
  <si>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</si>
  <si>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</si>
  <si>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</si>
  <si>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</si>
  <si>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</si>
  <si>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</si>
  <si>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</si>
  <si>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</si>
  <si>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</si>
  <si>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</si>
  <si>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</si>
  <si>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</si>
  <si>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</si>
  <si>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</si>
  <si>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</si>
  <si>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</si>
  <si>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</si>
  <si>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</si>
  <si>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</si>
  <si>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</si>
  <si>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</si>
  <si>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</si>
  <si>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</si>
  <si>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</si>
  <si>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</si>
  <si>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</si>
  <si>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</si>
  <si>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</si>
  <si>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</si>
  <si>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</si>
  <si>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</si>
  <si>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</si>
  <si>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</si>
  <si>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</si>
  <si>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</si>
  <si>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</si>
  <si>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</si>
  <si>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</si>
  <si>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</si>
  <si>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</si>
  <si>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</si>
  <si>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</si>
  <si>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</si>
  <si>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</si>
  <si>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</si>
  <si>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</si>
  <si>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</si>
  <si>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</si>
  <si>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</si>
  <si>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</si>
  <si>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</si>
  <si>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</si>
  <si>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</si>
  <si>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</si>
  <si>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</si>
  <si>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</si>
  <si>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</si>
  <si>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</si>
  <si>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</si>
  <si>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</si>
  <si>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</si>
  <si>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</si>
  <si>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</si>
  <si>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</si>
  <si>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</si>
  <si>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</si>
  <si>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</si>
  <si>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</si>
  <si>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</si>
  <si>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</si>
  <si>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</si>
  <si>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</si>
  <si>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</si>
  <si>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</si>
  <si>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</si>
  <si>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</si>
  <si>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</si>
  <si>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</si>
  <si>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</si>
  <si>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</si>
  <si>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</si>
  <si>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</si>
  <si>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</si>
  <si>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</si>
  <si>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</si>
  <si>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</si>
  <si>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</si>
  <si>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</si>
  <si>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</si>
  <si>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</si>
  <si>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</si>
  <si>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</si>
  <si>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</si>
  <si>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</si>
  <si>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</si>
  <si>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</si>
  <si>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</si>
  <si>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</si>
  <si>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</si>
  <si>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</si>
  <si>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</si>
  <si>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</si>
  <si>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</si>
  <si>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</si>
  <si>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</si>
  <si>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</si>
  <si>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</si>
  <si>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</si>
  <si>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</si>
  <si>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</si>
  <si>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</si>
  <si>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</si>
  <si>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</si>
  <si>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</si>
  <si>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</si>
  <si>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</si>
  <si>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</si>
  <si>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</si>
  <si>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</si>
  <si>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</si>
  <si>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</si>
  <si>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</si>
  <si>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</si>
  <si>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</si>
  <si>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</si>
  <si>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</si>
  <si>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</si>
  <si>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</si>
  <si>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</si>
  <si>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</si>
  <si>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</si>
  <si>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</si>
  <si>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</si>
  <si>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</si>
  <si>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</si>
  <si>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</si>
  <si>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</si>
  <si>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</si>
  <si>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</si>
  <si>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</si>
  <si>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</si>
  <si>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</si>
  <si>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</si>
  <si>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</si>
  <si>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</si>
  <si>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</si>
  <si>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</si>
  <si>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</si>
  <si>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</si>
  <si>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</si>
  <si>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</si>
  <si>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</si>
  <si>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</si>
  <si>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</si>
  <si>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</si>
  <si>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</si>
  <si>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</si>
  <si>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</si>
  <si>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</si>
  <si>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</si>
  <si>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</si>
  <si>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</si>
  <si>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</si>
  <si>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</si>
  <si>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</si>
  <si>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</si>
  <si>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</si>
  <si>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</si>
  <si>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</si>
  <si>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</si>
  <si>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</si>
  <si>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</si>
  <si>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</si>
  <si>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</si>
  <si>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</si>
  <si>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</si>
  <si>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</si>
  <si>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</si>
  <si>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</si>
  <si>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</si>
  <si>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</si>
  <si>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</si>
  <si>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</si>
  <si>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</si>
  <si>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</si>
  <si>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</si>
  <si>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</si>
  <si>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</si>
  <si>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</si>
  <si>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</si>
  <si>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</si>
  <si>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</si>
  <si>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</si>
  <si>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</si>
  <si>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</si>
  <si>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</si>
  <si>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</si>
  <si>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</si>
  <si>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</si>
  <si>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</si>
  <si>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</si>
  <si>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</si>
  <si>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</si>
  <si>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</si>
  <si>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</si>
  <si>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</si>
  <si>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</si>
  <si>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</si>
  <si>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</si>
  <si>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</si>
  <si>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</si>
  <si>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</si>
  <si>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</si>
  <si>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</si>
  <si>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</si>
  <si>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</si>
  <si>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</si>
  <si>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</si>
  <si>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</si>
  <si>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</si>
  <si>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</si>
  <si>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</si>
  <si>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</si>
  <si>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</si>
  <si>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</si>
  <si>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</si>
  <si>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</si>
  <si>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</si>
  <si>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</si>
  <si>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</si>
  <si>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</si>
  <si>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</si>
  <si>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</si>
  <si>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</si>
  <si>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</si>
  <si>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</si>
  <si>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</si>
  <si>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</si>
  <si>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</si>
  <si>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</si>
  <si>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</si>
  <si>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</si>
  <si>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</si>
  <si>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</si>
  <si>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</si>
  <si>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</si>
  <si>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</si>
  <si>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</si>
  <si>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</si>
  <si>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</si>
  <si>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</si>
  <si>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</si>
  <si>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</si>
  <si>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</si>
  <si>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</si>
  <si>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</si>
  <si>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</si>
  <si>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</si>
  <si>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</si>
  <si>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</si>
  <si>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</si>
  <si>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</si>
  <si>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</si>
  <si>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</si>
  <si>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</si>
  <si>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</si>
  <si>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</si>
  <si>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</si>
  <si>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</si>
  <si>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</si>
  <si>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</si>
  <si>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</si>
  <si>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</si>
  <si>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</si>
  <si>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</si>
  <si>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</si>
  <si>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</si>
  <si>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</si>
  <si>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</si>
  <si>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</si>
  <si>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</si>
  <si>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</si>
  <si>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</si>
  <si>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</si>
  <si>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</si>
  <si>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</si>
  <si>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</si>
  <si>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</si>
  <si>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</si>
  <si>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</si>
  <si>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</si>
  <si>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</si>
  <si>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</si>
  <si>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</si>
  <si>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</si>
  <si>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</si>
  <si>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</si>
  <si>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</si>
  <si>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</si>
  <si>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</si>
  <si>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</si>
  <si>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</si>
  <si>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</si>
  <si>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</si>
  <si>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</si>
  <si>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</si>
  <si>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</si>
  <si>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</si>
  <si>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</si>
  <si>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</si>
  <si>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</si>
  <si>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</si>
  <si>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</si>
  <si>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</si>
  <si>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</si>
  <si>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</si>
  <si>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</si>
  <si>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</si>
  <si>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</si>
  <si>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</si>
  <si>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</si>
  <si>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</si>
  <si>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</si>
  <si>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</si>
  <si>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</si>
  <si>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</si>
  <si>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</si>
  <si>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</si>
  <si>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</si>
  <si>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</si>
  <si>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</si>
  <si>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</si>
  <si>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</si>
  <si>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</si>
  <si>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</si>
  <si>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</si>
  <si>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</si>
  <si>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</si>
  <si>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</si>
  <si>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</si>
  <si>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</si>
  <si>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</si>
  <si>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</si>
  <si>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</si>
  <si>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</si>
  <si>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</si>
  <si>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</si>
  <si>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</si>
  <si>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</si>
  <si>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</si>
  <si>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</si>
  <si>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</si>
  <si>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</si>
  <si>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</si>
  <si>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</si>
  <si>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</si>
  <si>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</si>
  <si>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</si>
  <si>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</si>
  <si>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</si>
  <si>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</si>
  <si>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</si>
  <si>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</si>
  <si>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</si>
  <si>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</si>
  <si>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</si>
  <si>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</si>
  <si>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</si>
  <si>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</si>
  <si>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</si>
  <si>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</si>
  <si>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</si>
  <si>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</si>
  <si>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</si>
  <si>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</si>
  <si>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</si>
  <si>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</si>
  <si>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</si>
  <si>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</si>
  <si>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</si>
  <si>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</si>
  <si>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</si>
  <si>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</si>
  <si>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</si>
  <si>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</si>
  <si>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</si>
  <si>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</si>
  <si>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</si>
  <si>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</si>
  <si>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</si>
  <si>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</si>
  <si>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</si>
  <si>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</si>
  <si>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</si>
  <si>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</si>
  <si>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</si>
  <si>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</si>
  <si>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</si>
  <si>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</si>
  <si>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</si>
  <si>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</si>
  <si>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</si>
  <si>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</si>
  <si>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</si>
  <si>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</si>
  <si>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</si>
  <si>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</si>
  <si>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</si>
  <si>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</si>
  <si>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</si>
  <si>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</si>
  <si>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</si>
  <si>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</si>
  <si>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</si>
  <si>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</si>
  <si>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</si>
  <si>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</si>
  <si>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</si>
  <si>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</si>
  <si>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</si>
  <si>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</si>
  <si>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</si>
  <si>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</si>
  <si>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</si>
  <si>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</si>
  <si>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</si>
  <si>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</si>
  <si>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</si>
  <si>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</si>
  <si>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</si>
  <si>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</si>
  <si>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</si>
  <si>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</si>
  <si>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</si>
  <si>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</si>
  <si>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</si>
  <si>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</si>
  <si>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</si>
  <si>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</si>
  <si>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</si>
  <si>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</si>
  <si>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</si>
  <si>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</si>
  <si>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</si>
  <si>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</si>
  <si>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</si>
  <si>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</si>
  <si>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</si>
  <si>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</si>
  <si>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</si>
  <si>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</si>
  <si>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</si>
  <si>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</si>
  <si>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</si>
  <si>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</si>
  <si>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</si>
  <si>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</si>
  <si>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</si>
  <si>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</si>
  <si>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</si>
  <si>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</si>
  <si>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</si>
  <si>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</si>
  <si>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</si>
  <si>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</si>
  <si>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</si>
  <si>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</si>
  <si>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</si>
  <si>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</si>
  <si>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</si>
  <si>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</si>
  <si>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</si>
  <si>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</si>
  <si>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</si>
  <si>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</si>
  <si>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</si>
  <si>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</si>
  <si>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</si>
  <si>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</si>
  <si>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</si>
  <si>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</si>
  <si>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</si>
  <si>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</si>
  <si>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</si>
  <si>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</si>
  <si>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</si>
  <si>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</si>
  <si>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</si>
  <si>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</si>
  <si>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</si>
  <si>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</si>
  <si>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</si>
  <si>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</si>
  <si>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</si>
  <si>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</si>
  <si>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</si>
  <si>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</si>
  <si>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</si>
  <si>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</si>
  <si>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</si>
  <si>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</si>
  <si>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</si>
  <si>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</si>
  <si>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</si>
  <si>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</si>
  <si>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</si>
  <si>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</si>
  <si>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</si>
  <si>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</si>
  <si>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</si>
  <si>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</si>
  <si>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</si>
  <si>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</si>
  <si>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</si>
  <si>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</si>
  <si>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</si>
  <si>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</si>
  <si>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</si>
  <si>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</si>
  <si>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</si>
  <si>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</si>
  <si>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</si>
  <si>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</si>
  <si>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</si>
  <si>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</si>
  <si>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</si>
  <si>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</si>
  <si>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</si>
  <si>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</si>
  <si>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</si>
  <si>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</si>
  <si>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</si>
  <si>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</si>
  <si>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</si>
  <si>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</si>
  <si>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</si>
  <si>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</si>
  <si>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</si>
  <si>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</si>
  <si>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</si>
  <si>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</si>
  <si>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</si>
  <si>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</si>
  <si>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</si>
  <si>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</si>
  <si>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</si>
  <si>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</si>
  <si>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</si>
  <si>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</si>
  <si>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</si>
  <si>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</si>
  <si>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</si>
  <si>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</si>
  <si>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</si>
  <si>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</si>
  <si>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</si>
  <si>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</si>
  <si>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</si>
  <si>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</si>
  <si>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</si>
  <si>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</si>
  <si>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</si>
  <si>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</si>
  <si>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</si>
  <si>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</si>
  <si>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</si>
  <si>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</si>
  <si>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</si>
  <si>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</si>
  <si>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</si>
  <si>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</si>
  <si>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</si>
  <si>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</si>
  <si>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</si>
  <si>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</si>
  <si>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</si>
  <si>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</si>
  <si>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</si>
  <si>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</si>
  <si>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</si>
  <si>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</si>
  <si>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</si>
  <si>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</si>
  <si>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</si>
  <si>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</si>
  <si>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</si>
  <si>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</si>
  <si>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</si>
  <si>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</si>
  <si>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</si>
  <si>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</si>
  <si>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</si>
  <si>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</si>
  <si>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</si>
  <si>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</si>
  <si>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</si>
  <si>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</si>
  <si>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</si>
  <si>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</si>
  <si>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</si>
  <si>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</si>
  <si>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</si>
  <si>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</si>
  <si>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</si>
  <si>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</si>
  <si>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</si>
  <si>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</si>
  <si>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</si>
  <si>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</si>
  <si>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</si>
  <si>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</si>
  <si>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</si>
  <si>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</si>
  <si>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</si>
  <si>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</si>
  <si>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</si>
  <si>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</si>
  <si>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</si>
  <si>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</si>
  <si>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</si>
  <si>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</si>
  <si>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</si>
  <si>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</si>
  <si>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</si>
  <si>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</si>
  <si>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</si>
  <si>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</si>
  <si>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</si>
  <si>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</si>
  <si>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</si>
  <si>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</si>
  <si>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</si>
  <si>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</si>
  <si>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</si>
  <si>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</si>
  <si>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</si>
  <si>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</si>
  <si>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</si>
  <si>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</si>
  <si>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</si>
  <si>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</si>
  <si>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</si>
  <si>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</si>
  <si>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</si>
  <si>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</si>
  <si>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</si>
  <si>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</si>
  <si>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</si>
  <si>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</si>
  <si>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</si>
  <si>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</si>
  <si>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</si>
  <si>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</si>
  <si>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</si>
  <si>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</si>
  <si>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</si>
  <si>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</si>
  <si>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</si>
  <si>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</si>
  <si>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</si>
  <si>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</si>
  <si>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</si>
  <si>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</si>
  <si>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</si>
  <si>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</si>
  <si>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</si>
  <si>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</si>
  <si>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</si>
  <si>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</si>
  <si>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</si>
  <si>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</si>
  <si>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</si>
  <si>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</si>
  <si>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</si>
  <si>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</si>
  <si>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</si>
  <si>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</si>
  <si>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</si>
  <si>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</si>
  <si>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</si>
  <si>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</si>
  <si>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</si>
  <si>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</si>
  <si>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</si>
  <si>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</si>
  <si>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</si>
  <si>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</si>
  <si>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</si>
  <si>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</si>
  <si>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</si>
  <si>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</si>
  <si>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</si>
  <si>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</si>
  <si>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</si>
  <si>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</si>
  <si>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</si>
  <si>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</si>
  <si>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</si>
  <si>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</si>
  <si>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</si>
  <si>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</si>
  <si>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</si>
  <si>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</si>
  <si>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</si>
  <si>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</si>
  <si>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</si>
  <si>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</si>
  <si>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</si>
  <si>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</si>
  <si>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</si>
  <si>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</si>
  <si>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</si>
  <si>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</si>
  <si>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</si>
  <si>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</si>
  <si>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</si>
  <si>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</si>
  <si>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</si>
  <si>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</si>
  <si>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</si>
  <si>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</si>
  <si>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</si>
  <si>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</si>
  <si>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</si>
  <si>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</si>
  <si>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</si>
  <si>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</si>
  <si>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</si>
  <si>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</si>
  <si>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</si>
  <si>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</si>
  <si>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</si>
  <si>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</si>
  <si>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</si>
  <si>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</si>
  <si>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</si>
  <si>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</si>
  <si>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</si>
  <si>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</si>
  <si>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</si>
  <si>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</si>
  <si>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</si>
  <si>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</si>
  <si>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</si>
  <si>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</si>
  <si>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</si>
  <si>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</si>
  <si>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</si>
  <si>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</si>
  <si>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</si>
  <si>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</si>
  <si>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</si>
  <si>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</si>
  <si>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</si>
  <si>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</si>
  <si>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</si>
  <si>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</si>
  <si>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</si>
  <si>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</si>
  <si>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</si>
  <si>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</si>
  <si>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</si>
  <si>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</si>
  <si>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</si>
  <si>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</si>
  <si>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</si>
  <si>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</si>
  <si>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</si>
  <si>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</si>
  <si>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</si>
  <si>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</si>
  <si>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</si>
  <si>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</si>
  <si>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</si>
  <si>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</si>
  <si>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</si>
  <si>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</si>
  <si>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</si>
  <si>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</si>
  <si>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</si>
  <si>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</si>
  <si>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</si>
  <si>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</si>
  <si>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</si>
  <si>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</si>
  <si>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</si>
  <si>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</si>
  <si>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</si>
  <si>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</si>
  <si>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</si>
  <si>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</si>
  <si>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</si>
  <si>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</si>
  <si>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</si>
  <si>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</si>
  <si>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</si>
  <si>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</si>
  <si>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</si>
  <si>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</si>
  <si>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</si>
  <si>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</si>
  <si>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</si>
  <si>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</si>
  <si>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</si>
  <si>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</si>
  <si>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</si>
  <si>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</si>
  <si>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</si>
  <si>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</si>
  <si>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</si>
  <si>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</si>
  <si>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</si>
  <si>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</si>
  <si>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</si>
  <si>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</si>
  <si>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</si>
  <si>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</si>
  <si>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</si>
  <si>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</si>
  <si>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</si>
  <si>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</si>
  <si>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</si>
  <si>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</si>
  <si>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</si>
  <si>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</si>
  <si>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</si>
  <si>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</si>
  <si>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</si>
  <si>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</si>
  <si>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</si>
  <si>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</si>
  <si>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</si>
  <si>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</si>
  <si>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</si>
  <si>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</si>
  <si>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</si>
  <si>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</si>
  <si>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</si>
  <si>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</si>
  <si>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</si>
  <si>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</si>
  <si>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</si>
  <si>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</si>
  <si>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</si>
  <si>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</si>
  <si>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</si>
  <si>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</si>
  <si>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</si>
  <si>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</si>
  <si>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</si>
  <si>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</si>
  <si>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</si>
  <si>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</si>
  <si>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</si>
  <si>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</si>
  <si>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</si>
  <si>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</si>
  <si>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</si>
  <si>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</si>
  <si>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</si>
  <si>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</si>
  <si>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</si>
  <si>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</si>
  <si>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</si>
  <si>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</si>
  <si>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</si>
  <si>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</si>
  <si>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</si>
  <si>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</si>
  <si>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</si>
  <si>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</si>
  <si>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</si>
  <si>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</si>
  <si>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</si>
  <si>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</si>
  <si>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</si>
  <si>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</si>
  <si>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</si>
  <si>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</si>
  <si>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</si>
  <si>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</si>
  <si>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</si>
  <si>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</si>
  <si>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</si>
  <si>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</si>
  <si>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</si>
  <si>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</si>
  <si>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</si>
  <si>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</si>
  <si>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</si>
  <si>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</si>
  <si>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</si>
  <si>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</si>
  <si>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</si>
  <si>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</si>
  <si>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</si>
  <si>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</si>
  <si>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</si>
  <si>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</si>
  <si>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</si>
  <si>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</si>
  <si>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</si>
  <si>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</si>
  <si>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</si>
  <si>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</si>
  <si>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</si>
  <si>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</si>
  <si>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</si>
  <si>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</si>
  <si>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</si>
  <si>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</si>
  <si>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</si>
  <si>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</si>
  <si>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</si>
  <si>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</si>
  <si>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</si>
  <si>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</si>
  <si>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</si>
  <si>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</si>
  <si>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</si>
  <si>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</si>
  <si>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</si>
  <si>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</si>
  <si>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</si>
  <si>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</si>
  <si>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</si>
  <si>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</si>
  <si>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</si>
  <si>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</si>
  <si>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</si>
  <si>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</si>
  <si>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</si>
  <si>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</si>
  <si>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</si>
  <si>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</si>
  <si>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</si>
  <si>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</si>
  <si>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</si>
  <si>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</si>
  <si>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</si>
  <si>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</si>
  <si>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</si>
  <si>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</si>
  <si>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</si>
  <si>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</si>
  <si>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</si>
  <si>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</si>
  <si>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</si>
  <si>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</si>
  <si>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</si>
  <si>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</si>
  <si>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</si>
  <si>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</si>
  <si>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</si>
  <si>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</si>
  <si>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</si>
  <si>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</si>
  <si>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</si>
  <si>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</si>
  <si>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</si>
  <si>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</si>
  <si>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</si>
  <si>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</si>
  <si>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</si>
  <si>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</si>
  <si>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</si>
  <si>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</si>
  <si>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</si>
  <si>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</si>
  <si>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</si>
  <si>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</si>
  <si>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</si>
  <si>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</si>
  <si>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</si>
  <si>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</si>
  <si>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</si>
  <si>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</si>
  <si>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</si>
  <si>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</si>
  <si>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</si>
  <si>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</si>
  <si>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</si>
  <si>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</si>
  <si>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</si>
  <si>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</si>
  <si>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</si>
  <si>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</si>
  <si>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</si>
  <si>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</si>
  <si>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</si>
  <si>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</si>
  <si>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</si>
  <si>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</si>
  <si>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</si>
  <si>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</si>
  <si>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</si>
  <si>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</si>
  <si>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</si>
  <si>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</si>
  <si>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</si>
  <si>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</si>
  <si>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</si>
  <si>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</si>
  <si>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</si>
  <si>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</si>
  <si>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</si>
  <si>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</si>
  <si>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</si>
  <si>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</si>
  <si>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</si>
  <si>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</si>
  <si>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</si>
  <si>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</si>
  <si>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</si>
  <si>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</si>
  <si>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</si>
  <si>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</si>
  <si>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</si>
  <si>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</si>
  <si>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</si>
  <si>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</si>
  <si>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</si>
  <si>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</si>
  <si>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</si>
  <si>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</si>
  <si>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</si>
  <si>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</si>
  <si>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</si>
  <si>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</si>
  <si>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</si>
  <si>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</si>
  <si>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</si>
  <si>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</si>
  <si>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</si>
  <si>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</si>
  <si>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</si>
  <si>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</si>
  <si>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</si>
  <si>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</si>
  <si>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</si>
  <si>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</si>
  <si>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</si>
  <si>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</si>
  <si>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</si>
  <si>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</si>
  <si>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</si>
  <si>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</si>
  <si>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</si>
  <si>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</si>
  <si>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</si>
  <si>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</si>
  <si>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</si>
  <si>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</si>
  <si>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</si>
  <si>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</si>
  <si>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</si>
  <si>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</si>
  <si>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</si>
  <si>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</si>
  <si>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</si>
  <si>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</si>
  <si>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</si>
  <si>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</si>
  <si>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</si>
  <si>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</si>
  <si>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</si>
  <si>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</si>
  <si>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</si>
  <si>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</si>
  <si>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</si>
  <si>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</si>
  <si>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</si>
  <si>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</si>
  <si>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</si>
  <si>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</si>
  <si>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</si>
  <si>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</si>
  <si>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</si>
  <si>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</si>
  <si>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</si>
  <si>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</si>
  <si>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</si>
  <si>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</si>
  <si>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</si>
  <si>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</si>
  <si>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</si>
  <si>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</si>
  <si>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</si>
  <si>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</si>
  <si>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</si>
  <si>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</si>
  <si>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</si>
  <si>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</si>
  <si>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</si>
  <si>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</si>
  <si>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</si>
  <si>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</si>
  <si>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</si>
  <si>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</si>
  <si>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</si>
  <si>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</si>
  <si>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</si>
  <si>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</si>
  <si>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</si>
  <si>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</si>
  <si>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</si>
  <si>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</si>
  <si>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</si>
  <si>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</si>
  <si>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</si>
  <si>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</si>
  <si>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</si>
  <si>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</si>
  <si>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</si>
  <si>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</si>
  <si>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</si>
  <si>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</si>
  <si>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</si>
  <si>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</si>
  <si>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</si>
  <si>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</si>
  <si>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</si>
  <si>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</si>
  <si>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</si>
  <si>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</si>
  <si>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</si>
  <si>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</si>
  <si>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</si>
  <si>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</si>
  <si>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</si>
  <si>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</si>
  <si>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</si>
  <si>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</si>
  <si>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</si>
  <si>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</si>
  <si>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</si>
  <si>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</si>
  <si>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</si>
  <si>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</si>
  <si>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</si>
  <si>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</si>
  <si>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</si>
  <si>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</si>
  <si>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</si>
  <si>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</si>
  <si>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</si>
  <si>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</si>
  <si>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</si>
  <si>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</si>
  <si>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</si>
  <si>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</si>
  <si>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</si>
  <si>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</si>
  <si>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</si>
  <si>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</si>
  <si>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</si>
  <si>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</si>
  <si>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</si>
  <si>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</si>
  <si>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</si>
  <si>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</si>
  <si>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</si>
  <si>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</si>
  <si>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</si>
  <si>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</si>
  <si>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</si>
  <si>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</si>
  <si>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</si>
  <si>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</si>
  <si>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</si>
  <si>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</si>
  <si>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</si>
  <si>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</si>
  <si>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</si>
  <si>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</si>
  <si>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</si>
  <si>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</si>
  <si>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</si>
  <si>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</si>
  <si>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</si>
  <si>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</si>
  <si>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</si>
  <si>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</si>
  <si>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</si>
  <si>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</si>
  <si>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</si>
  <si>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</si>
  <si>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</si>
  <si>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</si>
  <si>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</si>
  <si>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</si>
  <si>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</si>
  <si>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</si>
  <si>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</si>
  <si>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</si>
  <si>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</si>
  <si>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</si>
  <si>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</si>
  <si>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</si>
  <si>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</si>
  <si>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</si>
  <si>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</si>
  <si>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</si>
  <si>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</si>
  <si>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</si>
  <si>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</si>
  <si>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</si>
  <si>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</si>
  <si>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</si>
  <si>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</si>
  <si>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</si>
  <si>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</si>
  <si>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</si>
  <si>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</si>
  <si>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</si>
  <si>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</si>
  <si>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</si>
  <si>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</si>
  <si>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</si>
  <si>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</si>
  <si>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</si>
  <si>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</si>
  <si>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</si>
  <si>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</si>
  <si>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</si>
  <si>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</si>
  <si>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</si>
  <si>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</si>
  <si>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</si>
  <si>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</si>
  <si>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</si>
  <si>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</si>
  <si>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</si>
  <si>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</si>
  <si>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</si>
  <si>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</si>
  <si>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</si>
  <si>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</si>
  <si>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</si>
  <si>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</si>
  <si>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</si>
  <si>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</si>
  <si>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</si>
  <si>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</si>
  <si>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</si>
  <si>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</si>
  <si>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</si>
  <si>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</si>
  <si>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</si>
  <si>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</si>
  <si>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</si>
  <si>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</si>
  <si>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</si>
  <si>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</si>
  <si>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</si>
  <si>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</si>
  <si>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</si>
  <si>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</si>
  <si>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</si>
  <si>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</si>
  <si>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</si>
  <si>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</si>
  <si>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</si>
  <si>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</si>
  <si>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</si>
  <si>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</si>
  <si>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</si>
  <si>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</si>
  <si>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</si>
  <si>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</si>
  <si>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</si>
  <si>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</si>
  <si>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</si>
  <si>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</si>
  <si>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</si>
  <si>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</si>
  <si>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</si>
  <si>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</si>
  <si>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</si>
  <si>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</si>
  <si>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</si>
  <si>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</si>
  <si>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</si>
  <si>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</si>
  <si>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</si>
  <si>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</si>
  <si>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</si>
  <si>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</si>
  <si>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</si>
  <si>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</si>
  <si>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</si>
  <si>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</si>
  <si>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</si>
  <si>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</si>
  <si>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</si>
  <si>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</si>
  <si>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</si>
  <si>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</si>
  <si>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</si>
  <si>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</si>
  <si>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</si>
  <si>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</si>
  <si>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</si>
  <si>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</si>
  <si>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</si>
  <si>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</si>
  <si>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</si>
  <si>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</si>
  <si>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</si>
  <si>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</si>
  <si>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</si>
  <si>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</si>
  <si>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</si>
  <si>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</si>
  <si>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</si>
  <si>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</si>
  <si>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</si>
  <si>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</si>
  <si>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</si>
  <si>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</si>
  <si>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</si>
  <si>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</si>
  <si>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</si>
  <si>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</si>
  <si>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</si>
  <si>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</si>
  <si>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</si>
  <si>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</si>
  <si>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</si>
  <si>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</si>
  <si>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</si>
  <si>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</si>
  <si>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</si>
  <si>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</si>
  <si>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</si>
  <si>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</si>
  <si>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</si>
  <si>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</si>
  <si>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</si>
  <si>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</si>
  <si>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</si>
  <si>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</si>
  <si>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</si>
  <si>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</si>
  <si>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</si>
  <si>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</si>
  <si>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</si>
  <si>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</si>
  <si>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</si>
  <si>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</si>
  <si>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</si>
  <si>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</si>
  <si>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</si>
  <si>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</si>
  <si>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</si>
  <si>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</si>
  <si>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</si>
  <si>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</si>
  <si>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</si>
  <si>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</si>
  <si>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</si>
  <si>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</si>
  <si>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</si>
  <si>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</si>
  <si>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</si>
  <si>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</si>
  <si>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</si>
  <si>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</si>
  <si>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</si>
  <si>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</si>
  <si>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</si>
  <si>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</si>
  <si>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</si>
  <si>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</si>
  <si>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</si>
  <si>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</si>
  <si>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</si>
  <si>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</si>
  <si>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</si>
  <si>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</si>
  <si>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</si>
  <si>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</si>
  <si>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</si>
  <si>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</si>
  <si>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</si>
  <si>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</si>
  <si>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</si>
  <si>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</si>
  <si>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</si>
  <si>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</si>
  <si>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</si>
  <si>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</si>
  <si>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</si>
  <si>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</si>
  <si>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</si>
  <si>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</si>
  <si>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</si>
  <si>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</si>
  <si>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</si>
  <si>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</si>
  <si>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</si>
  <si>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</si>
  <si>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</si>
  <si>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</si>
  <si>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</si>
  <si>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</si>
  <si>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</si>
  <si>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</si>
  <si>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</si>
  <si>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</si>
  <si>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</si>
  <si>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</si>
  <si>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</si>
  <si>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</si>
  <si>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</si>
  <si>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</si>
  <si>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</si>
  <si>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</si>
  <si>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</si>
  <si>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</si>
  <si>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</si>
  <si>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</si>
  <si>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</si>
  <si>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</si>
  <si>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</si>
  <si>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</si>
  <si>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</si>
  <si>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</si>
  <si>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</si>
  <si>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</si>
  <si>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</si>
  <si>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</si>
  <si>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</si>
  <si>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</si>
  <si>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</si>
  <si>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</si>
  <si>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</si>
  <si>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</si>
  <si>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</si>
  <si>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</si>
  <si>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</si>
  <si>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</si>
  <si>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</si>
  <si>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</si>
  <si>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</si>
  <si>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</si>
  <si>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</si>
  <si>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</si>
  <si>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</si>
  <si>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</si>
  <si>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</si>
  <si>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</si>
  <si>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</si>
  <si>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</si>
  <si>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</si>
  <si>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</si>
  <si>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</si>
  <si>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</si>
  <si>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</si>
  <si>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</si>
  <si>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</si>
  <si>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</si>
  <si>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</si>
  <si>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</si>
  <si>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</si>
  <si>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</si>
  <si>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</si>
  <si>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</si>
  <si>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</si>
  <si>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</si>
  <si>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</si>
  <si>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</si>
  <si>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</si>
  <si>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</si>
  <si>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</si>
  <si>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</si>
  <si>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</si>
  <si>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</si>
  <si>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</si>
  <si>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</si>
  <si>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</si>
  <si>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</si>
  <si>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</si>
  <si>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</si>
  <si>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</si>
  <si>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</si>
  <si>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</si>
  <si>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</si>
  <si>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</si>
  <si>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</si>
  <si>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</si>
  <si>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</si>
  <si>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</si>
  <si>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</si>
  <si>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</si>
  <si>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</si>
  <si>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</si>
  <si>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</si>
  <si>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</si>
  <si>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</si>
  <si>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</si>
  <si>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</si>
  <si>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</si>
  <si>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</si>
  <si>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</si>
  <si>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</si>
  <si>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</si>
  <si>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</si>
  <si>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</si>
  <si>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</si>
  <si>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</si>
  <si>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</si>
  <si>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</si>
  <si>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</si>
  <si>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</si>
  <si>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</si>
  <si>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</si>
  <si>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</si>
  <si>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</si>
  <si>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</si>
  <si>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</si>
  <si>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</si>
  <si>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</si>
  <si>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</si>
  <si>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</si>
  <si>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</si>
  <si>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</si>
  <si>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</si>
  <si>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</si>
  <si>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</si>
  <si>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</si>
  <si>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</si>
  <si>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</si>
  <si>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</si>
  <si>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</si>
  <si>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</si>
  <si>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</si>
  <si>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</si>
  <si>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</si>
  <si>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</si>
  <si>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</si>
  <si>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</si>
  <si>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</si>
  <si>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</si>
  <si>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</si>
  <si>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</si>
  <si>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</si>
  <si>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</si>
  <si>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</si>
  <si>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</si>
  <si>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</si>
  <si>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</si>
  <si>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</si>
  <si>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</si>
  <si>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</si>
  <si>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</si>
  <si>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</si>
  <si>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</si>
  <si>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</si>
  <si>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</si>
  <si>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</si>
  <si>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</si>
  <si>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</si>
  <si>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</si>
  <si>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</si>
  <si>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</si>
  <si>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</si>
  <si>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</si>
  <si>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</si>
  <si>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</si>
  <si>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</si>
  <si>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</si>
  <si>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</si>
  <si>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</si>
  <si>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</si>
  <si>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</si>
  <si>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</si>
  <si>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</si>
  <si>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</si>
  <si>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</si>
  <si>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</si>
  <si>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</si>
  <si>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</si>
  <si>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</si>
  <si>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</si>
  <si>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</si>
  <si>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</si>
  <si>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</si>
  <si>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</si>
  <si>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</si>
  <si>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</si>
  <si>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</si>
  <si>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</si>
  <si>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</si>
  <si>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</si>
  <si>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</si>
  <si>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</si>
  <si>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</si>
  <si>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</si>
  <si>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</si>
  <si>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</si>
  <si>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</si>
  <si>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</si>
  <si>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</si>
  <si>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</si>
  <si>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</si>
  <si>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</si>
  <si>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</si>
  <si>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</si>
  <si>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</si>
  <si>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</si>
  <si>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</si>
  <si>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</si>
  <si>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</si>
  <si>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</si>
  <si>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</si>
  <si>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</si>
  <si>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</si>
  <si>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</si>
  <si>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</si>
  <si>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</si>
  <si>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</si>
  <si>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</si>
  <si>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</si>
  <si>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</si>
  <si>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</si>
  <si>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</si>
  <si>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</si>
  <si>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</si>
  <si>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</si>
  <si>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</si>
  <si>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</si>
  <si>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</si>
  <si>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</si>
  <si>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</si>
  <si>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</si>
  <si>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</si>
  <si>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</si>
  <si>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</si>
  <si>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</si>
  <si>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</si>
  <si>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</si>
  <si>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</si>
  <si>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</si>
  <si>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</si>
  <si>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</si>
  <si>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</si>
  <si>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</si>
  <si>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</si>
  <si>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</si>
  <si>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</si>
  <si>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</si>
  <si>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</si>
  <si>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</si>
  <si>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</si>
  <si>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</si>
  <si>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</si>
  <si>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</si>
  <si>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</si>
  <si>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</si>
  <si>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</si>
  <si>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</si>
  <si>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</si>
  <si>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</si>
  <si>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</si>
  <si>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</si>
  <si>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</si>
  <si>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</si>
  <si>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</si>
  <si>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</si>
  <si>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</si>
  <si>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</si>
  <si>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</si>
  <si>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</si>
  <si>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</si>
  <si>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</si>
  <si>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</si>
  <si>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</si>
  <si>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</si>
  <si>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</si>
  <si>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</si>
  <si>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</si>
  <si>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</si>
  <si>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</si>
  <si>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</si>
  <si>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</si>
  <si>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</si>
  <si>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</si>
  <si>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</si>
  <si>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</si>
  <si>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</si>
  <si>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</si>
  <si>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</si>
  <si>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</si>
  <si>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</si>
  <si>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</si>
  <si>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</si>
  <si>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</si>
  <si>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</si>
  <si>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</si>
  <si>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</si>
  <si>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</si>
  <si>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</si>
  <si>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</si>
  <si>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</si>
  <si>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</si>
  <si>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</si>
  <si>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</si>
  <si>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</si>
  <si>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</si>
  <si>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</si>
  <si>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</si>
  <si>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</si>
  <si>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</si>
  <si>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</si>
  <si>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</si>
  <si>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</si>
  <si>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</si>
  <si>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</si>
  <si>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</si>
  <si>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</si>
  <si>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</si>
  <si>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</si>
  <si>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</si>
  <si>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</si>
  <si>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</si>
  <si>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</si>
  <si>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</si>
  <si>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</si>
  <si>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</si>
  <si>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</si>
  <si>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</si>
  <si>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</si>
  <si>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</si>
  <si>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</si>
  <si>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</si>
  <si>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</si>
  <si>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</si>
  <si>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</si>
  <si>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</si>
  <si>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</si>
  <si>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</si>
  <si>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</si>
  <si>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</si>
  <si>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</si>
  <si>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</si>
  <si>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</si>
  <si>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</si>
  <si>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</si>
  <si>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</si>
  <si>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</si>
  <si>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</si>
  <si>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</si>
  <si>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</si>
  <si>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</si>
  <si>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</si>
  <si>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</si>
  <si>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</si>
  <si>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</si>
  <si>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</si>
  <si>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</si>
  <si>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</si>
  <si>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</si>
  <si>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</si>
  <si>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</si>
  <si>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</si>
  <si>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</si>
  <si>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</si>
  <si>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</si>
  <si>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</si>
  <si>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</si>
  <si>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</si>
  <si>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</si>
  <si>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</si>
  <si>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</si>
  <si>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</si>
  <si>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</si>
  <si>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</si>
  <si>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</si>
  <si>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</si>
  <si>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</si>
  <si>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</si>
  <si>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</si>
  <si>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</si>
  <si>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</si>
  <si>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</si>
  <si>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</si>
  <si>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</si>
  <si>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</si>
  <si>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</si>
  <si>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</si>
  <si>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</si>
  <si>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</si>
  <si>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</si>
  <si>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</si>
  <si>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</si>
  <si>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</si>
  <si>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</si>
  <si>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</si>
  <si>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</si>
  <si>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</si>
  <si>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</si>
  <si>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</si>
  <si>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</si>
  <si>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</si>
  <si>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</si>
  <si>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</si>
  <si>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</si>
  <si>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</si>
  <si>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</si>
  <si>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</si>
  <si>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</si>
  <si>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</si>
  <si>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</si>
  <si>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</si>
  <si>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</si>
  <si>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</si>
  <si>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</si>
  <si>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</si>
  <si>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</si>
  <si>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</si>
  <si>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</si>
  <si>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</si>
  <si>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</si>
  <si>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</si>
  <si>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</si>
  <si>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</si>
  <si>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</si>
  <si>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</si>
  <si>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</si>
  <si>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</si>
  <si>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</si>
  <si>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</si>
  <si>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</si>
  <si>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</si>
  <si>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</si>
  <si>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</si>
  <si>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</si>
  <si>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</si>
  <si>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</si>
  <si>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</si>
  <si>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</si>
  <si>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</si>
  <si>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</si>
  <si>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</si>
  <si>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</si>
  <si>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</si>
  <si>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</si>
  <si>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</si>
  <si>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</si>
  <si>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</si>
  <si>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</si>
  <si>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</si>
  <si>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</si>
  <si>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</si>
  <si>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</si>
  <si>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</si>
  <si>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</si>
  <si>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</si>
  <si>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</si>
  <si>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</si>
  <si>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</si>
  <si>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</si>
  <si>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</si>
  <si>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</si>
  <si>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</si>
  <si>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</si>
  <si>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</si>
  <si>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</si>
  <si>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</si>
  <si>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</si>
  <si>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</si>
  <si>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</si>
  <si>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</si>
  <si>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</si>
  <si>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</si>
  <si>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</si>
  <si>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</si>
  <si>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</si>
  <si>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</si>
  <si>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</si>
  <si>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</si>
  <si>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</si>
  <si>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</si>
  <si>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</si>
  <si>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</si>
  <si>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</si>
  <si>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</si>
  <si>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</si>
  <si>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</si>
  <si>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</si>
  <si>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</si>
  <si>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</si>
  <si>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</si>
  <si>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</si>
  <si>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</si>
  <si>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</si>
  <si>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</si>
  <si>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</si>
  <si>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</si>
  <si>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</si>
  <si>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</si>
  <si>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</si>
  <si>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</si>
  <si>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</si>
  <si>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</si>
  <si>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</si>
  <si>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</si>
  <si>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</si>
  <si>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</si>
  <si>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</si>
  <si>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</si>
  <si>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</si>
  <si>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</si>
  <si>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</si>
  <si>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</si>
  <si>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</si>
  <si>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</si>
  <si>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</si>
  <si>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</si>
  <si>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</si>
  <si>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</si>
  <si>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</si>
  <si>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</si>
  <si>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</si>
  <si>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</si>
  <si>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</si>
  <si>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</si>
  <si>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</si>
  <si>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</si>
  <si>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</si>
  <si>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</si>
  <si>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</si>
  <si>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</si>
  <si>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</si>
  <si>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</si>
  <si>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</si>
  <si>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</si>
  <si>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</si>
  <si>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</si>
  <si>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</si>
  <si>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</si>
  <si>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</si>
  <si>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</si>
  <si>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</si>
  <si>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</si>
  <si>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</si>
  <si>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</si>
  <si>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</si>
  <si>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</si>
  <si>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</si>
  <si>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</si>
  <si>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</si>
  <si>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</si>
  <si>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</si>
  <si>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</si>
  <si>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</si>
  <si>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</si>
  <si>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</si>
  <si>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</si>
  <si>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</si>
  <si>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</si>
  <si>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</si>
  <si>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</si>
  <si>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</si>
  <si>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</si>
  <si>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</si>
  <si>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</si>
  <si>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</si>
  <si>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</si>
  <si>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</si>
  <si>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</si>
  <si>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</si>
  <si>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</si>
  <si>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</si>
  <si>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</si>
  <si>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</si>
  <si>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</si>
  <si>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</si>
  <si>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</si>
  <si>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</si>
  <si>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</si>
  <si>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</si>
  <si>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</si>
  <si>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</si>
  <si>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</si>
  <si>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</si>
  <si>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</si>
  <si>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</si>
  <si>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</si>
  <si>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</si>
  <si>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</si>
  <si>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</si>
  <si>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</si>
  <si>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</si>
  <si>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</si>
  <si>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</si>
  <si>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</si>
  <si>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</si>
  <si>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</si>
  <si>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</si>
  <si>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</si>
  <si>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</si>
  <si>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</si>
  <si>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北京万年基业房地产开发有限公司</t>
    <phoneticPr fontId="6" type="noConversion"/>
  </si>
  <si>
    <t>华融资管北京分公司</t>
    <phoneticPr fontId="6" type="noConversion"/>
  </si>
  <si>
    <t>抵押</t>
  </si>
  <si>
    <t>房地产抵押价值</t>
  </si>
  <si>
    <t>北京市</t>
  </si>
  <si>
    <t>企业</t>
  </si>
  <si>
    <r>
      <rPr>
        <sz val="12"/>
        <color theme="9" tint="-0.249977111117893"/>
        <rFont val="宋体"/>
        <family val="3"/>
        <charset val="134"/>
      </rPr>
      <t>丰台区万兴路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</si>
  <si>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</si>
  <si>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</si>
  <si>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32.56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</si>
  <si>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478807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</si>
  <si>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00123</t>
    </r>
    <r>
      <rPr>
        <sz val="12"/>
        <color theme="9" tint="-0.249977111117893"/>
        <rFont val="宋体"/>
        <family val="3"/>
        <charset val="134"/>
      </rPr>
      <t>号</t>
    </r>
    <r>
      <rPr>
        <sz val="12"/>
        <color theme="9" tint="-0.249977111117893"/>
        <rFont val="Arial"/>
        <family val="2"/>
      </rPr>
      <t>]</t>
    </r>
    <phoneticPr fontId="6" type="noConversion"/>
  </si>
  <si>
    <t>否</t>
  </si>
  <si>
    <t>复印件</t>
  </si>
  <si>
    <t>商业项目</t>
  </si>
  <si>
    <t>无</t>
  </si>
  <si>
    <t>现房</t>
  </si>
  <si>
    <t>通路</t>
  </si>
  <si>
    <t>通电</t>
  </si>
  <si>
    <t>通讯</t>
  </si>
  <si>
    <t>通下水</t>
  </si>
  <si>
    <t>燃气</t>
  </si>
  <si>
    <t xml:space="preserve">序号  </t>
  </si>
  <si>
    <t xml:space="preserve">楼栋  </t>
  </si>
  <si>
    <t xml:space="preserve">房号  </t>
  </si>
  <si>
    <t xml:space="preserve">建筑面积    </t>
  </si>
  <si>
    <t xml:space="preserve">套内面积    </t>
  </si>
  <si>
    <t xml:space="preserve">结构  </t>
  </si>
  <si>
    <t xml:space="preserve">销售状态    </t>
  </si>
  <si>
    <t>承租人</t>
    <phoneticPr fontId="3" type="noConversion"/>
  </si>
  <si>
    <t>租赁期限</t>
    <phoneticPr fontId="3" type="noConversion"/>
  </si>
  <si>
    <t>免租期</t>
    <phoneticPr fontId="3" type="noConversion"/>
  </si>
  <si>
    <t>付款周期</t>
    <phoneticPr fontId="3" type="noConversion"/>
  </si>
  <si>
    <t>租金递增比例</t>
    <phoneticPr fontId="3" type="noConversion"/>
  </si>
  <si>
    <t>2017年租金（应收）</t>
    <phoneticPr fontId="3" type="noConversion"/>
  </si>
  <si>
    <t>2018年租金</t>
    <phoneticPr fontId="3" type="noConversion"/>
  </si>
  <si>
    <t>租赁期</t>
    <phoneticPr fontId="3" type="noConversion"/>
  </si>
  <si>
    <t>起租日</t>
    <phoneticPr fontId="3" type="noConversion"/>
  </si>
  <si>
    <t>届满日</t>
    <phoneticPr fontId="3" type="noConversion"/>
  </si>
  <si>
    <t>租赁装修期</t>
    <phoneticPr fontId="3" type="noConversion"/>
  </si>
  <si>
    <t>租赁装修期起止日期</t>
    <phoneticPr fontId="3" type="noConversion"/>
  </si>
  <si>
    <t xml:space="preserve">商业1号楼     </t>
  </si>
  <si>
    <t xml:space="preserve">101   </t>
  </si>
  <si>
    <t xml:space="preserve">底商  </t>
  </si>
  <si>
    <t>租赁</t>
    <phoneticPr fontId="3" type="noConversion"/>
  </si>
  <si>
    <t>王景花</t>
    <phoneticPr fontId="3" type="noConversion"/>
  </si>
  <si>
    <r>
      <t>8</t>
    </r>
    <r>
      <rPr>
        <sz val="9"/>
        <rFont val="宋体"/>
        <family val="3"/>
        <charset val="134"/>
      </rPr>
      <t>年</t>
    </r>
    <phoneticPr fontId="3" type="noConversion"/>
  </si>
  <si>
    <t>2017.06.15</t>
    <phoneticPr fontId="3" type="noConversion"/>
  </si>
  <si>
    <t>2025.06.14</t>
    <phoneticPr fontId="3" type="noConversion"/>
  </si>
  <si>
    <r>
      <t>90</t>
    </r>
    <r>
      <rPr>
        <sz val="9"/>
        <rFont val="宋体"/>
        <family val="3"/>
        <charset val="134"/>
      </rPr>
      <t>天</t>
    </r>
    <phoneticPr fontId="3" type="noConversion"/>
  </si>
  <si>
    <t>2017.06.15-2017.09.14</t>
    <phoneticPr fontId="3" type="noConversion"/>
  </si>
  <si>
    <t>季付</t>
    <phoneticPr fontId="3" type="noConversion"/>
  </si>
  <si>
    <t>第2年起，5%环比递增</t>
    <phoneticPr fontId="3" type="noConversion"/>
  </si>
  <si>
    <t xml:space="preserve">102   </t>
  </si>
  <si>
    <r>
      <rPr>
        <sz val="9"/>
        <rFont val="宋体"/>
        <family val="3"/>
        <charset val="134"/>
      </rPr>
      <t>第</t>
    </r>
    <r>
      <rPr>
        <sz val="9"/>
        <color theme="1"/>
        <rFont val="宋体"/>
        <family val="2"/>
        <charset val="134"/>
        <scheme val="minor"/>
      </rPr>
      <t>2</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</si>
  <si>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103   </t>
  </si>
  <si>
    <t>租赁</t>
    <phoneticPr fontId="3" type="noConversion"/>
  </si>
  <si>
    <t>许磊</t>
    <phoneticPr fontId="3" type="noConversion"/>
  </si>
  <si>
    <t>6.3年</t>
    <phoneticPr fontId="3" type="noConversion"/>
  </si>
  <si>
    <t>2017.10.20</t>
    <phoneticPr fontId="3" type="noConversion"/>
  </si>
  <si>
    <t>2024.01.19</t>
    <phoneticPr fontId="3" type="noConversion"/>
  </si>
  <si>
    <r>
      <t>90</t>
    </r>
    <r>
      <rPr>
        <sz val="9"/>
        <rFont val="宋体"/>
        <family val="3"/>
        <charset val="134"/>
      </rPr>
      <t>天</t>
    </r>
    <phoneticPr fontId="3" type="noConversion"/>
  </si>
  <si>
    <t>2017.10.20-2018.01.19</t>
    <phoneticPr fontId="3" type="noConversion"/>
  </si>
  <si>
    <t>半年付</t>
    <phoneticPr fontId="3" type="noConversion"/>
  </si>
  <si>
    <r>
      <rPr>
        <sz val="9"/>
        <rFont val="宋体"/>
        <family val="3"/>
        <charset val="134"/>
      </rPr>
      <t>第</t>
    </r>
    <r>
      <rPr>
        <sz val="9"/>
        <color theme="1"/>
        <rFont val="宋体"/>
        <family val="2"/>
        <charset val="134"/>
        <scheme val="minor"/>
      </rPr>
      <t>3</t>
    </r>
    <r>
      <rPr>
        <sz val="9"/>
        <rFont val="宋体"/>
        <family val="3"/>
        <charset val="134"/>
      </rPr>
      <t>年期，</t>
    </r>
    <r>
      <rPr>
        <sz val="9"/>
        <color theme="1"/>
        <rFont val="宋体"/>
        <family val="2"/>
        <charset val="134"/>
        <scheme val="minor"/>
      </rPr>
      <t>5%</t>
    </r>
    <r>
      <rPr>
        <sz val="9"/>
        <rFont val="宋体"/>
        <family val="3"/>
        <charset val="134"/>
      </rPr>
      <t>环比递增</t>
    </r>
    <phoneticPr fontId="3" type="noConversion"/>
  </si>
  <si>
    <t xml:space="preserve">110   </t>
  </si>
  <si>
    <t>石增喜</t>
    <phoneticPr fontId="3" type="noConversion"/>
  </si>
  <si>
    <r>
      <t>5</t>
    </r>
    <r>
      <rPr>
        <sz val="9"/>
        <rFont val="宋体"/>
        <family val="3"/>
        <charset val="134"/>
      </rPr>
      <t>年</t>
    </r>
    <phoneticPr fontId="3" type="noConversion"/>
  </si>
  <si>
    <t>2017.06.15</t>
    <phoneticPr fontId="3" type="noConversion"/>
  </si>
  <si>
    <t>2022.06.14</t>
    <phoneticPr fontId="3" type="noConversion"/>
  </si>
  <si>
    <t>2017.06.15-2017.09.14</t>
    <phoneticPr fontId="3" type="noConversion"/>
  </si>
  <si>
    <r>
      <rPr>
        <sz val="9"/>
        <rFont val="宋体"/>
        <family val="3"/>
        <charset val="134"/>
      </rPr>
      <t>第</t>
    </r>
    <r>
      <rPr>
        <sz val="9"/>
        <color theme="1"/>
        <rFont val="宋体"/>
        <family val="2"/>
        <charset val="134"/>
        <scheme val="minor"/>
      </rPr>
      <t>2</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</si>
  <si>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111   </t>
  </si>
  <si>
    <t>童炯炯</t>
    <phoneticPr fontId="3" type="noConversion"/>
  </si>
  <si>
    <t>2017.08.01</t>
    <phoneticPr fontId="3" type="noConversion"/>
  </si>
  <si>
    <t>2022.07.31</t>
    <phoneticPr fontId="3" type="noConversion"/>
  </si>
  <si>
    <t>2017.08.01-2017.10.31</t>
    <phoneticPr fontId="3" type="noConversion"/>
  </si>
  <si>
    <r>
      <rPr>
        <sz val="9"/>
        <rFont val="宋体"/>
        <family val="3"/>
        <charset val="134"/>
      </rPr>
      <t>第</t>
    </r>
    <r>
      <rPr>
        <sz val="9"/>
        <color theme="1"/>
        <rFont val="宋体"/>
        <family val="2"/>
        <charset val="134"/>
        <scheme val="minor"/>
      </rPr>
      <t>3</t>
    </r>
    <r>
      <rPr>
        <sz val="9"/>
        <rFont val="宋体"/>
        <family val="3"/>
        <charset val="134"/>
      </rPr>
      <t>年起，</t>
    </r>
    <r>
      <rPr>
        <sz val="9"/>
        <color theme="1"/>
        <rFont val="宋体"/>
        <family val="2"/>
        <charset val="134"/>
        <scheme val="minor"/>
      </rPr>
      <t>5%</t>
    </r>
    <r>
      <rPr>
        <sz val="9"/>
        <rFont val="宋体"/>
        <family val="3"/>
        <charset val="134"/>
      </rPr>
      <t>环比递增</t>
    </r>
    <phoneticPr fontId="3" type="noConversion"/>
  </si>
  <si>
    <t xml:space="preserve">112   </t>
  </si>
  <si>
    <t>童炯炯</t>
    <phoneticPr fontId="3" type="noConversion"/>
  </si>
  <si>
    <r>
      <t>5</t>
    </r>
    <r>
      <rPr>
        <sz val="9"/>
        <rFont val="宋体"/>
        <family val="3"/>
        <charset val="134"/>
      </rPr>
      <t>年</t>
    </r>
    <phoneticPr fontId="3" type="noConversion"/>
  </si>
  <si>
    <t xml:space="preserve">113   </t>
  </si>
  <si>
    <t>孙朋朋</t>
    <phoneticPr fontId="3" type="noConversion"/>
  </si>
  <si>
    <t>2017.12.1</t>
    <phoneticPr fontId="3" type="noConversion"/>
  </si>
  <si>
    <t>2023.2.28</t>
    <phoneticPr fontId="3" type="noConversion"/>
  </si>
  <si>
    <t>2017.12.1-2018.2.28</t>
    <phoneticPr fontId="3" type="noConversion"/>
  </si>
  <si>
    <t>半年付</t>
    <phoneticPr fontId="3" type="noConversion"/>
  </si>
  <si>
    <t xml:space="preserve">114   </t>
  </si>
  <si>
    <t>待租（已交定金）</t>
    <phoneticPr fontId="3" type="noConversion"/>
  </si>
  <si>
    <t>张嘉颖</t>
    <phoneticPr fontId="257" type="noConversion"/>
  </si>
  <si>
    <r>
      <t>5.3</t>
    </r>
    <r>
      <rPr>
        <sz val="9"/>
        <rFont val="宋体"/>
        <family val="3"/>
        <charset val="134"/>
      </rPr>
      <t>年</t>
    </r>
    <phoneticPr fontId="257" type="noConversion"/>
  </si>
  <si>
    <t>2018.7.1</t>
    <phoneticPr fontId="257" type="noConversion"/>
  </si>
  <si>
    <t>2023.9.30</t>
    <phoneticPr fontId="257" type="noConversion"/>
  </si>
  <si>
    <r>
      <t>90</t>
    </r>
    <r>
      <rPr>
        <sz val="9"/>
        <rFont val="宋体"/>
        <family val="3"/>
        <charset val="134"/>
      </rPr>
      <t>天</t>
    </r>
    <phoneticPr fontId="257" type="noConversion"/>
  </si>
  <si>
    <t>2018.7.1-2018.9.30</t>
    <phoneticPr fontId="257" type="noConversion"/>
  </si>
  <si>
    <t>半年付</t>
    <phoneticPr fontId="257" type="noConversion"/>
  </si>
  <si>
    <r>
      <rPr>
        <sz val="9"/>
        <color theme="1"/>
        <rFont val="宋体"/>
        <family val="3"/>
        <charset val="134"/>
      </rPr>
      <t>商业</t>
    </r>
    <r>
      <rPr>
        <sz val="9"/>
        <color theme="1"/>
        <rFont val="宋体  "/>
        <family val="2"/>
      </rPr>
      <t>1</t>
    </r>
    <r>
      <rPr>
        <sz val="9"/>
        <color theme="1"/>
        <rFont val="宋体"/>
        <family val="3"/>
        <charset val="134"/>
      </rPr>
      <t>号楼</t>
    </r>
    <r>
      <rPr>
        <sz val="9"/>
        <color theme="1"/>
        <rFont val="宋体  "/>
        <family val="2"/>
      </rPr>
      <t xml:space="preserve">     </t>
    </r>
    <phoneticPr fontId="3" type="noConversion"/>
  </si>
  <si>
    <t>2018.8.23-2018.12.31</t>
    <phoneticPr fontId="143" type="noConversion"/>
  </si>
  <si>
    <t>2019.1.1-2019.12.31</t>
    <phoneticPr fontId="143" type="noConversion"/>
  </si>
  <si>
    <t>2020.1.1-2020.12.31</t>
    <phoneticPr fontId="143" type="noConversion"/>
  </si>
  <si>
    <t>2021.1.1-2021.12.31</t>
    <phoneticPr fontId="143" type="noConversion"/>
  </si>
  <si>
    <t>2022.1.1-2022.12.31</t>
    <phoneticPr fontId="143" type="noConversion"/>
  </si>
  <si>
    <t>2023.1.1-2023.12.31</t>
    <phoneticPr fontId="143" type="noConversion"/>
  </si>
  <si>
    <t>2024.1.1-2024.12.31</t>
    <phoneticPr fontId="143" type="noConversion"/>
  </si>
  <si>
    <t>2025.1.1-2025.6.14</t>
    <phoneticPr fontId="143" type="noConversion"/>
  </si>
  <si>
    <t>年</t>
    <phoneticPr fontId="143" type="noConversion"/>
  </si>
  <si>
    <t>合计</t>
    <phoneticPr fontId="143" type="noConversion"/>
  </si>
  <si>
    <t>土地使用权证号</t>
  </si>
  <si>
    <t>工程规划证号/房产证</t>
  </si>
  <si>
    <t>建设内容/楼号</t>
  </si>
  <si>
    <t>分摊土地面积</t>
  </si>
  <si>
    <t>建筑面积</t>
  </si>
  <si>
    <t>住宅</t>
  </si>
  <si>
    <t>住宅、储藏室</t>
  </si>
  <si>
    <t>京丰国用（2012出）第00123号</t>
    <phoneticPr fontId="143" type="noConversion"/>
  </si>
  <si>
    <t>B53</t>
    <phoneticPr fontId="143" type="noConversion"/>
  </si>
  <si>
    <t>4号楼</t>
  </si>
  <si>
    <t>5号楼</t>
  </si>
  <si>
    <t>8号楼</t>
  </si>
  <si>
    <t>9号楼</t>
  </si>
  <si>
    <t>10号楼</t>
  </si>
  <si>
    <t>11号楼</t>
  </si>
  <si>
    <t>B54</t>
  </si>
  <si>
    <t>1号楼</t>
  </si>
  <si>
    <t>2号楼</t>
  </si>
  <si>
    <t>3号楼</t>
  </si>
  <si>
    <t>4号楼</t>
    <phoneticPr fontId="3" type="noConversion"/>
  </si>
  <si>
    <t>总计</t>
    <phoneticPr fontId="143" type="noConversion"/>
  </si>
  <si>
    <t>总建筑面积</t>
    <phoneticPr fontId="143" type="noConversion"/>
  </si>
  <si>
    <t>本次评估</t>
    <phoneticPr fontId="143" type="noConversion"/>
  </si>
  <si>
    <t>分摊土地面积</t>
    <phoneticPr fontId="143" type="noConversion"/>
  </si>
  <si>
    <t>地上</t>
  </si>
  <si>
    <t>是</t>
  </si>
  <si>
    <t>商业</t>
    <phoneticPr fontId="7" type="noConversion"/>
  </si>
  <si>
    <t>成新度</t>
  </si>
  <si>
    <t>市场租金</t>
    <phoneticPr fontId="3" type="noConversion"/>
  </si>
  <si>
    <t>收益法</t>
  </si>
  <si>
    <t>钢混</t>
  </si>
  <si>
    <t>非生产用房</t>
  </si>
  <si>
    <t>按租金收入计税</t>
  </si>
  <si>
    <t>押一</t>
  </si>
  <si>
    <t>比较法-商业租金</t>
  </si>
  <si>
    <t>售价</t>
  </si>
  <si>
    <t>园博派</t>
    <phoneticPr fontId="3" type="noConversion"/>
  </si>
  <si>
    <t>万兴路1号院1号楼</t>
    <phoneticPr fontId="3" type="noConversion"/>
  </si>
  <si>
    <t>商业</t>
    <phoneticPr fontId="143" type="noConversion"/>
  </si>
  <si>
    <t>30-40（含）</t>
  </si>
  <si>
    <t>估价对象位于万兴路，周边商业氛围较不成熟，周边无大型购物场所，人流量一般，商业繁华一般。</t>
    <phoneticPr fontId="25" type="noConversion"/>
  </si>
  <si>
    <t>估价对象所在区域基础设施水平达到“七通”。</t>
    <phoneticPr fontId="25" type="noConversion"/>
  </si>
  <si>
    <t>区域自然环境：休闲公园；人文环境：北京园博园；综合评价环境状况一般。</t>
    <phoneticPr fontId="41" type="noConversion"/>
  </si>
  <si>
    <t>估价对象所在区域周边1.5公里范围内有：银行（北京市农村商业银行、交通银行），购物（家和超市、华联超市），医院（张郭庄村社区卫生服务站），学校（张郭庄幼儿园、槐树岭学校）等，公共配套设施齐备情况较好。</t>
    <phoneticPr fontId="41" type="noConversion"/>
  </si>
  <si>
    <t>城市次干道——园博西二路</t>
    <phoneticPr fontId="25" type="noConversion"/>
  </si>
  <si>
    <t>双面临街</t>
  </si>
  <si>
    <t>区域内多为住宅用地，零星分布商业用地，区域土地利用方向一致度一般。</t>
    <phoneticPr fontId="25" type="noConversion"/>
  </si>
  <si>
    <t>租金</t>
  </si>
  <si>
    <t>商业</t>
    <phoneticPr fontId="31" type="noConversion"/>
  </si>
  <si>
    <t>一般</t>
  </si>
  <si>
    <t>较好</t>
  </si>
  <si>
    <t>马家堡西路角门14号，公益西桥北200米</t>
    <phoneticPr fontId="3" type="noConversion"/>
  </si>
  <si>
    <t>万兴路1号院1号楼</t>
    <phoneticPr fontId="3" type="noConversion"/>
  </si>
  <si>
    <t>丰台体育中心西侧</t>
    <phoneticPr fontId="3" type="noConversion"/>
  </si>
  <si>
    <t>丰体时代花园商铺</t>
    <phoneticPr fontId="3" type="noConversion"/>
  </si>
  <si>
    <t>东亚三环底商商铺</t>
    <phoneticPr fontId="3" type="noConversion"/>
  </si>
  <si>
    <t>丰台区丰科路6号万达广场</t>
    <phoneticPr fontId="3" type="noConversion"/>
  </si>
  <si>
    <t>丰台科技园商铺</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</si>
  <si>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</si>
  <si>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</si>
  <si>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</si>
  <si>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</si>
  <si>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</si>
  <si>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</si>
  <si>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phoneticPr fontId="31" type="noConversion"/>
  </si>
  <si>
    <t>一般</t>
    <phoneticPr fontId="31" type="noConversion"/>
  </si>
  <si>
    <t>较小</t>
    <phoneticPr fontId="31" type="noConversion"/>
  </si>
  <si>
    <t>小</t>
    <phoneticPr fontId="31" type="noConversion"/>
  </si>
  <si>
    <t>好</t>
    <phoneticPr fontId="31" type="noConversion"/>
  </si>
  <si>
    <t>较好</t>
    <phoneticPr fontId="31" type="noConversion"/>
  </si>
  <si>
    <t>较差</t>
    <phoneticPr fontId="31" type="noConversion"/>
  </si>
  <si>
    <t>差</t>
    <phoneticPr fontId="31" type="noConversion"/>
  </si>
  <si>
    <t>七通</t>
  </si>
  <si>
    <t>估价对象周边路网密集程度一般，公共交通通达情况较好，有310、565路及地铁14号线等公共交通，停车便捷程度较好，综合评价交通便捷度较好。</t>
    <phoneticPr fontId="41" type="noConversion"/>
  </si>
  <si>
    <r>
      <rPr>
        <sz val="11"/>
        <rFont val="宋体"/>
        <family val="3"/>
        <charset val="134"/>
      </rPr>
      <t>周边路网较密集，公共交通通达情况较好，有</t>
    </r>
    <r>
      <rPr>
        <sz val="11"/>
        <rFont val="Arial"/>
        <family val="2"/>
      </rPr>
      <t>377</t>
    </r>
    <r>
      <rPr>
        <sz val="11"/>
        <rFont val="宋体"/>
        <family val="3"/>
        <charset val="134"/>
      </rPr>
      <t>、</t>
    </r>
    <r>
      <rPr>
        <sz val="11"/>
        <rFont val="Arial"/>
        <family val="2"/>
      </rPr>
      <t>474</t>
    </r>
    <r>
      <rPr>
        <sz val="11"/>
        <rFont val="宋体"/>
        <family val="3"/>
        <charset val="134"/>
      </rPr>
      <t>路及地铁</t>
    </r>
    <r>
      <rPr>
        <sz val="11"/>
        <rFont val="Arial"/>
        <family val="2"/>
      </rPr>
      <t>4</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</si>
  <si>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</si>
  <si>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</si>
  <si>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1-2层</t>
  </si>
  <si>
    <t>1层</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</si>
  <si>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</si>
  <si>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区域自然环境：嘉园三里公园；人文环境：国家级非物质文化遗产博物馆；综合评价环境状况一般。</t>
    <phoneticPr fontId="31" type="noConversion"/>
  </si>
  <si>
    <t>写字楼底商</t>
  </si>
  <si>
    <t>写字楼底商</t>
    <phoneticPr fontId="31" type="noConversion"/>
  </si>
  <si>
    <t>住宅底商</t>
  </si>
  <si>
    <t>住宅底商</t>
    <phoneticPr fontId="31" type="noConversion"/>
  </si>
  <si>
    <t>可餐饮</t>
  </si>
  <si>
    <t>可餐饮</t>
    <phoneticPr fontId="31" type="noConversion"/>
  </si>
  <si>
    <t>不可餐饮</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</si>
  <si>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</si>
  <si>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</si>
  <si>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</si>
  <si>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</si>
  <si>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</si>
  <si>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</si>
  <si>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位于马家堡西路，周边商业氛围较成熟，以住宅配套商业为主，有元沃天地地铁商城等商业项目，人流量较大，商业繁华较好。</t>
    <phoneticPr fontId="31" type="noConversion"/>
  </si>
  <si>
    <t>位于丰体南路，周边商业氛围成熟度一般，以住宅配套商业为主，人流量一般，商业繁华一般。</t>
    <phoneticPr fontId="31" type="noConversion"/>
  </si>
  <si>
    <r>
      <rPr>
        <sz val="11"/>
        <rFont val="宋体"/>
        <family val="3"/>
        <charset val="134"/>
      </rPr>
      <t>周边路网较密集，公共交通通达情况较好，有</t>
    </r>
    <r>
      <rPr>
        <sz val="11"/>
        <rFont val="Arial"/>
        <family val="2"/>
      </rPr>
      <t>96</t>
    </r>
    <r>
      <rPr>
        <sz val="11"/>
        <rFont val="宋体"/>
        <family val="3"/>
        <charset val="134"/>
      </rPr>
      <t>、</t>
    </r>
    <r>
      <rPr>
        <sz val="11"/>
        <rFont val="Arial"/>
        <family val="2"/>
      </rPr>
      <t>458</t>
    </r>
    <r>
      <rPr>
        <sz val="11"/>
        <rFont val="宋体"/>
        <family val="3"/>
        <charset val="134"/>
      </rPr>
      <t>路及地铁</t>
    </r>
    <r>
      <rPr>
        <sz val="11"/>
        <rFont val="Arial"/>
        <family val="2"/>
      </rPr>
      <t>14</t>
    </r>
    <r>
      <rPr>
        <sz val="11"/>
        <rFont val="宋体"/>
        <family val="3"/>
        <charset val="134"/>
      </rPr>
      <t>号线等公共交通，停车便捷程度较好，综合评价交通便捷度较好。</t>
    </r>
    <phoneticPr fontId="31" type="noConversion"/>
  </si>
  <si>
    <r>
      <rPr>
        <sz val="11"/>
        <rFont val="宋体"/>
        <family val="3"/>
        <charset val="134"/>
      </rPr>
      <t>所在区域周边</t>
    </r>
    <r>
      <rPr>
        <sz val="11"/>
        <rFont val="Arial"/>
        <family val="2"/>
      </rPr>
      <t>1.5</t>
    </r>
    <r>
      <rPr>
        <sz val="11"/>
        <rFont val="宋体"/>
        <family val="3"/>
        <charset val="134"/>
      </rPr>
      <t>公里范围内有：银行（北京市农村商业银行、中国建设银行），购物（物美超市、金王府超市），医院（北京丰台华山医院），学校（六一幼儿园、丰体时代小学）等，公共配套设施齐备情况较好。</t>
    </r>
    <phoneticPr fontId="31" type="noConversion"/>
  </si>
  <si>
    <t>区域自然环境：丰台花园、天元公园；人文环境：世纪京华酒文化博物馆；综合评价环境状况一般。</t>
    <phoneticPr fontId="31" type="noConversion"/>
  </si>
  <si>
    <r>
      <rPr>
        <sz val="11"/>
        <rFont val="宋体"/>
        <family val="3"/>
        <charset val="134"/>
      </rPr>
      <t>所在区域周边</t>
    </r>
    <r>
      <rPr>
        <sz val="11"/>
        <rFont val="Arial"/>
        <family val="2"/>
      </rPr>
      <t>1.5</t>
    </r>
    <r>
      <rPr>
        <sz val="11"/>
        <rFont val="宋体"/>
        <family val="3"/>
        <charset val="134"/>
      </rPr>
      <t>公里范围内有：银行（中国工商银行、中国光大银行），购物（物美超市、北京华联公益西桥购物中心），医院（北京汇安中西医结合医院），学校（糖果双语幼儿园、西马金润小学）等，公共配套设施齐备情况较好。</t>
    </r>
    <phoneticPr fontId="31" type="noConversion"/>
  </si>
  <si>
    <t>位于丰科路，周边商业氛围较成熟，有万达广场、永旺梦乐城等等商业项目，人流量较大，商业繁华较好。</t>
    <phoneticPr fontId="31" type="noConversion"/>
  </si>
  <si>
    <r>
      <rPr>
        <sz val="11"/>
        <rFont val="宋体"/>
        <family val="3"/>
        <charset val="134"/>
      </rPr>
      <t>周边路网较密集，公共交通通达情况较好，有</t>
    </r>
    <r>
      <rPr>
        <sz val="11"/>
        <rFont val="Arial"/>
        <family val="2"/>
      </rPr>
      <t>470</t>
    </r>
    <r>
      <rPr>
        <sz val="11"/>
        <rFont val="宋体"/>
        <family val="3"/>
        <charset val="134"/>
      </rPr>
      <t>、专</t>
    </r>
    <r>
      <rPr>
        <sz val="11"/>
        <rFont val="Arial"/>
        <family val="2"/>
      </rPr>
      <t>63</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1" type="noConversion"/>
  </si>
  <si>
    <r>
      <rPr>
        <sz val="11"/>
        <rFont val="宋体"/>
        <family val="3"/>
        <charset val="134"/>
      </rPr>
      <t>所在区域周边</t>
    </r>
    <r>
      <rPr>
        <sz val="11"/>
        <rFont val="Arial"/>
        <family val="2"/>
      </rPr>
      <t>1.5</t>
    </r>
    <r>
      <rPr>
        <sz val="11"/>
        <rFont val="宋体"/>
        <family val="3"/>
        <charset val="134"/>
      </rPr>
      <t>公里范围内有：银行（中国银行、中国光大银行），购物（永辉超市、万达广场），医院（北京丰台花乡四合庄社区卫生服务站），学校（二十一世纪幼儿园、丰台八中）等，公共配套设施齐备情况较好。</t>
    </r>
    <phoneticPr fontId="31" type="noConversion"/>
  </si>
  <si>
    <t>区域自然环境：科丰公园；人文环境：北京汽车博物馆；综合评价环境状况一般。</t>
    <phoneticPr fontId="31" type="noConversion"/>
  </si>
  <si>
    <t>典型户型修正</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</si>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</sst>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宋体  "/>
      <family val="2"/>
    </font>
    <font>
      <sz val="9"/>
      <color theme="1"/>
      <name val="宋体"/>
      <family val="2"/>
      <charset val="134"/>
      <scheme val="minor"/>
    </font>
    <font>
      <sz val="9"/>
      <name val="宋体  "/>
      <family val="2"/>
    </font>
    <font>
      <sz val="9"/>
      <name val="宋体"/>
      <family val="2"/>
      <charset val="134"/>
      <scheme val="minor"/>
    </font>
    <font>
      <sz val="9"/>
      <color theme="1"/>
      <name val="宋体  "/>
      <family val="2"/>
    </font>
    <font>
      <sz val="9"/>
      <color theme="1"/>
      <name val="宋体"/>
      <family val="3"/>
      <charset val="134"/>
    </font>
    <font>
      <sz val="8"/>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55" fillId="0" borderId="0" xfId="0" applyFont="1">
      <alignment vertical="center"/>
    </xf>
    <xf numFmtId="0" fontId="3" fillId="0" borderId="1" xfId="0" applyFont="1" applyBorder="1" applyAlignment="1">
      <alignment horizontal="center" vertical="center"/>
    </xf>
    <xf numFmtId="0" fontId="254" fillId="3" borderId="23" xfId="0" applyFont="1" applyFill="1" applyBorder="1" applyAlignment="1">
      <alignment horizontal="center" vertical="center"/>
    </xf>
    <xf numFmtId="0" fontId="254" fillId="3" borderId="1" xfId="0" applyFont="1" applyFill="1" applyBorder="1" applyAlignment="1">
      <alignment horizontal="center" vertical="center"/>
    </xf>
    <xf numFmtId="4" fontId="254" fillId="3" borderId="1" xfId="0" applyNumberFormat="1" applyFont="1" applyFill="1" applyBorder="1" applyAlignment="1">
      <alignment horizontal="center" vertical="center"/>
    </xf>
    <xf numFmtId="0" fontId="240" fillId="5" borderId="1" xfId="0" applyFont="1" applyFill="1" applyBorder="1" applyAlignment="1">
      <alignment horizontal="center" vertical="center"/>
    </xf>
    <xf numFmtId="0" fontId="240" fillId="3" borderId="1" xfId="0" applyFont="1" applyFill="1" applyBorder="1" applyAlignment="1">
      <alignment horizontal="center" vertical="center"/>
    </xf>
    <xf numFmtId="0" fontId="255" fillId="0" borderId="1" xfId="0" applyFont="1" applyBorder="1" applyAlignment="1">
      <alignment horizontal="center" vertical="center"/>
    </xf>
    <xf numFmtId="9" fontId="3" fillId="0" borderId="1" xfId="0" applyNumberFormat="1" applyFont="1" applyBorder="1" applyAlignment="1">
      <alignment horizontal="center" vertical="center"/>
    </xf>
    <xf numFmtId="43" fontId="3" fillId="0" borderId="1" xfId="0" applyNumberFormat="1" applyFont="1" applyBorder="1" applyAlignment="1">
      <alignment horizontal="center" vertical="center"/>
    </xf>
    <xf numFmtId="43" fontId="3" fillId="0" borderId="24" xfId="0" applyNumberFormat="1" applyFont="1" applyBorder="1" applyAlignment="1">
      <alignment horizontal="center" vertical="center"/>
    </xf>
    <xf numFmtId="43" fontId="255" fillId="0" borderId="0" xfId="0" applyNumberFormat="1" applyFont="1">
      <alignment vertical="center"/>
    </xf>
    <xf numFmtId="0" fontId="256" fillId="0" borderId="1" xfId="0" applyFont="1" applyBorder="1" applyAlignment="1">
      <alignment horizontal="center" vertical="center"/>
    </xf>
    <xf numFmtId="43" fontId="256" fillId="0" borderId="1" xfId="0" applyNumberFormat="1" applyFont="1" applyBorder="1" applyAlignment="1">
      <alignment horizontal="center" vertical="center"/>
    </xf>
    <xf numFmtId="43" fontId="256" fillId="0" borderId="24" xfId="0" applyNumberFormat="1" applyFont="1" applyBorder="1" applyAlignment="1">
      <alignment horizontal="center" vertical="center"/>
    </xf>
    <xf numFmtId="0" fontId="254" fillId="0" borderId="23" xfId="0" applyFont="1" applyFill="1" applyBorder="1" applyAlignment="1">
      <alignment horizontal="center" vertical="center"/>
    </xf>
    <xf numFmtId="0" fontId="254" fillId="0" borderId="1" xfId="0" applyFont="1" applyFill="1" applyBorder="1" applyAlignment="1">
      <alignment horizontal="center" vertical="center"/>
    </xf>
    <xf numFmtId="4" fontId="254" fillId="0" borderId="1" xfId="0" applyNumberFormat="1" applyFont="1" applyFill="1" applyBorder="1" applyAlignment="1">
      <alignment horizontal="center" vertical="center"/>
    </xf>
    <xf numFmtId="0" fontId="240" fillId="0" borderId="1" xfId="0" applyFont="1" applyFill="1" applyBorder="1" applyAlignment="1">
      <alignment horizontal="center" vertical="center"/>
    </xf>
    <xf numFmtId="0" fontId="256" fillId="0" borderId="1" xfId="0" applyFont="1" applyFill="1" applyBorder="1" applyAlignment="1">
      <alignment horizontal="center" vertical="center"/>
    </xf>
    <xf numFmtId="0" fontId="3" fillId="0" borderId="1" xfId="0" applyFont="1" applyFill="1" applyBorder="1" applyAlignment="1">
      <alignment horizontal="center" vertical="center"/>
    </xf>
    <xf numFmtId="43" fontId="256" fillId="0" borderId="1" xfId="0" applyNumberFormat="1" applyFont="1" applyFill="1" applyBorder="1" applyAlignment="1">
      <alignment horizontal="center" vertical="center"/>
    </xf>
    <xf numFmtId="43" fontId="255" fillId="0" borderId="0" xfId="0" applyNumberFormat="1" applyFont="1" applyFill="1">
      <alignment vertical="center"/>
    </xf>
    <xf numFmtId="0" fontId="255" fillId="0" borderId="0" xfId="0" applyFont="1" applyFill="1">
      <alignment vertical="center"/>
    </xf>
    <xf numFmtId="3" fontId="258" fillId="17" borderId="32" xfId="0" applyNumberFormat="1" applyFont="1" applyFill="1" applyBorder="1" applyAlignment="1">
      <alignment horizontal="center" vertical="center"/>
    </xf>
    <xf numFmtId="4" fontId="258" fillId="17" borderId="32" xfId="0" applyNumberFormat="1" applyFont="1" applyFill="1" applyBorder="1" applyAlignment="1">
      <alignment horizontal="center" vertical="center"/>
    </xf>
    <xf numFmtId="0" fontId="258" fillId="17" borderId="32" xfId="0" applyFont="1" applyFill="1" applyBorder="1" applyAlignment="1">
      <alignment horizontal="center" vertical="center"/>
    </xf>
    <xf numFmtId="43" fontId="258" fillId="17" borderId="32" xfId="0" applyNumberFormat="1" applyFont="1" applyFill="1" applyBorder="1" applyAlignment="1">
      <alignment horizontal="center" vertical="center"/>
    </xf>
    <xf numFmtId="43" fontId="258" fillId="17" borderId="49" xfId="0" applyNumberFormat="1" applyFont="1" applyFill="1" applyBorder="1" applyAlignment="1">
      <alignment horizontal="center" vertical="center"/>
    </xf>
    <xf numFmtId="0" fontId="255" fillId="0" borderId="0" xfId="0" applyFont="1" applyAlignment="1">
      <alignment horizontal="center" vertical="center"/>
    </xf>
    <xf numFmtId="0" fontId="255" fillId="0" borderId="0" xfId="0" applyFont="1" applyAlignment="1">
      <alignment horizontal="center" vertical="center" wrapText="1"/>
    </xf>
    <xf numFmtId="4" fontId="255" fillId="0" borderId="0" xfId="0" applyNumberFormat="1" applyFont="1" applyAlignment="1">
      <alignment horizontal="center" vertical="center"/>
    </xf>
    <xf numFmtId="4" fontId="255" fillId="0" borderId="0" xfId="0" applyNumberFormat="1" applyFont="1">
      <alignment vertical="center"/>
    </xf>
    <xf numFmtId="43" fontId="255" fillId="0" borderId="0" xfId="0" applyNumberFormat="1" applyFont="1" applyAlignment="1">
      <alignment horizontal="center" vertical="center"/>
    </xf>
    <xf numFmtId="43" fontId="255" fillId="0" borderId="0" xfId="0" applyNumberFormat="1" applyFont="1" applyAlignment="1">
      <alignment vertical="center"/>
    </xf>
    <xf numFmtId="0" fontId="255" fillId="18" borderId="1" xfId="0" applyFont="1" applyFill="1" applyBorder="1" applyAlignment="1">
      <alignment horizontal="center" vertical="center"/>
    </xf>
    <xf numFmtId="197" fontId="255" fillId="0" borderId="0" xfId="0" applyNumberFormat="1" applyFont="1">
      <alignment vertical="center"/>
    </xf>
    <xf numFmtId="179" fontId="124" fillId="0" borderId="1" xfId="0" applyNumberFormat="1" applyFont="1" applyBorder="1" applyAlignment="1">
      <alignment horizontal="center" vertical="center"/>
    </xf>
    <xf numFmtId="0" fontId="156" fillId="0" borderId="1" xfId="0" applyFont="1" applyBorder="1" applyAlignment="1">
      <alignment horizontal="center" vertical="center"/>
    </xf>
    <xf numFmtId="179" fontId="156" fillId="0" borderId="1" xfId="0" applyNumberFormat="1" applyFont="1" applyBorder="1" applyAlignment="1">
      <alignment horizontal="center" vertical="center"/>
    </xf>
    <xf numFmtId="0" fontId="0" fillId="0" borderId="3" xfId="0" applyBorder="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22" xfId="0" applyBorder="1">
      <alignment vertical="center"/>
    </xf>
    <xf numFmtId="0" fontId="113" fillId="5" borderId="5" xfId="0" applyFont="1" applyFill="1" applyBorder="1" applyAlignment="1">
      <alignment vertical="center" wrapText="1"/>
    </xf>
    <xf numFmtId="0" fontId="113" fillId="5" borderId="54" xfId="0" applyFont="1" applyFill="1" applyBorder="1" applyAlignment="1">
      <alignment vertical="center" wrapText="1"/>
    </xf>
    <xf numFmtId="0" fontId="113" fillId="5" borderId="3" xfId="0" applyFont="1" applyFill="1" applyBorder="1" applyAlignment="1">
      <alignment horizontal="center" vertical="center"/>
    </xf>
    <xf numFmtId="0" fontId="156" fillId="5" borderId="3" xfId="0" applyFont="1" applyFill="1" applyBorder="1" applyAlignment="1">
      <alignment horizontal="center" vertical="center"/>
    </xf>
    <xf numFmtId="179" fontId="156" fillId="5" borderId="1" xfId="0" applyNumberFormat="1" applyFont="1" applyFill="1" applyBorder="1" applyAlignment="1">
      <alignment horizontal="center" vertical="center"/>
    </xf>
    <xf numFmtId="0" fontId="156" fillId="5" borderId="1" xfId="0" applyFont="1" applyFill="1" applyBorder="1" applyAlignment="1">
      <alignment horizontal="center" vertical="center"/>
    </xf>
    <xf numFmtId="0" fontId="99" fillId="0" borderId="0" xfId="0" applyFont="1">
      <alignment vertical="center"/>
    </xf>
    <xf numFmtId="4"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43" fontId="47" fillId="0" borderId="23" xfId="0" applyNumberFormat="1" applyFont="1" applyBorder="1" applyAlignment="1" applyProtection="1">
      <alignment vertical="center"/>
      <protection locked="0"/>
    </xf>
    <xf numFmtId="0" fontId="80"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 fillId="0" borderId="9" xfId="0" applyFont="1" applyBorder="1" applyAlignment="1">
      <alignment horizontal="center" vertical="center"/>
    </xf>
    <xf numFmtId="0" fontId="3" fillId="0" borderId="1" xfId="0" applyFont="1" applyBorder="1" applyAlignment="1">
      <alignment horizontal="center" vertical="center"/>
    </xf>
    <xf numFmtId="0" fontId="3" fillId="0" borderId="10" xfId="0" applyFont="1" applyBorder="1" applyAlignment="1">
      <alignment horizontal="center" vertical="center"/>
    </xf>
    <xf numFmtId="0" fontId="3" fillId="0" borderId="24" xfId="0" applyFont="1" applyBorder="1" applyAlignment="1">
      <alignment horizontal="center" vertical="center"/>
    </xf>
    <xf numFmtId="0" fontId="258" fillId="17" borderId="25" xfId="0" applyFont="1" applyFill="1" applyBorder="1" applyAlignment="1">
      <alignment horizontal="center" vertical="center"/>
    </xf>
    <xf numFmtId="0" fontId="258" fillId="17" borderId="32" xfId="0" applyFont="1" applyFill="1" applyBorder="1" applyAlignment="1">
      <alignment horizontal="center" vertical="center"/>
    </xf>
    <xf numFmtId="0" fontId="254" fillId="3" borderId="9" xfId="0" applyFont="1" applyFill="1" applyBorder="1" applyAlignment="1">
      <alignment horizontal="center" vertical="center"/>
    </xf>
    <xf numFmtId="0" fontId="254" fillId="3" borderId="1" xfId="0" applyFont="1" applyFill="1" applyBorder="1" applyAlignment="1">
      <alignment horizontal="center" vertical="center"/>
    </xf>
    <xf numFmtId="0" fontId="240" fillId="3" borderId="9" xfId="0" applyFont="1" applyFill="1" applyBorder="1" applyAlignment="1">
      <alignment horizontal="center" vertical="center"/>
    </xf>
    <xf numFmtId="0" fontId="240" fillId="3" borderId="1" xfId="0" applyFont="1" applyFill="1" applyBorder="1" applyAlignment="1">
      <alignment horizontal="center" vertical="center"/>
    </xf>
    <xf numFmtId="0" fontId="254" fillId="3" borderId="6" xfId="0" applyFont="1" applyFill="1" applyBorder="1" applyAlignment="1">
      <alignment horizontal="center" vertical="center"/>
    </xf>
    <xf numFmtId="0" fontId="254" fillId="3" borderId="23" xfId="0" applyFont="1" applyFill="1" applyBorder="1" applyAlignment="1">
      <alignment horizontal="center" vertical="center"/>
    </xf>
    <xf numFmtId="0" fontId="124" fillId="0" borderId="13" xfId="0" applyFont="1" applyBorder="1" applyAlignment="1">
      <alignment horizontal="center" vertical="center" wrapText="1"/>
    </xf>
    <xf numFmtId="0" fontId="124" fillId="0" borderId="15" xfId="0" applyFont="1" applyBorder="1" applyAlignment="1">
      <alignment horizontal="center" vertical="center" wrapText="1"/>
    </xf>
    <xf numFmtId="0" fontId="124" fillId="0" borderId="2" xfId="0" applyFont="1" applyBorder="1" applyAlignment="1">
      <alignment horizontal="center" vertical="center" wrapText="1"/>
    </xf>
    <xf numFmtId="0" fontId="124" fillId="0" borderId="5" xfId="0" applyFont="1" applyBorder="1" applyAlignment="1">
      <alignment horizontal="center" vertical="center"/>
    </xf>
    <xf numFmtId="0" fontId="124" fillId="0" borderId="54" xfId="0" applyFont="1" applyBorder="1" applyAlignment="1">
      <alignment horizontal="center" vertical="center"/>
    </xf>
    <xf numFmtId="0" fontId="124" fillId="0" borderId="13" xfId="0" applyFont="1" applyBorder="1" applyAlignment="1">
      <alignment horizontal="center" vertical="center"/>
    </xf>
    <xf numFmtId="0" fontId="124" fillId="0" borderId="2" xfId="0" applyFont="1" applyBorder="1" applyAlignment="1">
      <alignment horizontal="center" vertical="center"/>
    </xf>
    <xf numFmtId="179" fontId="124" fillId="0" borderId="5" xfId="0" applyNumberFormat="1" applyFont="1" applyBorder="1" applyAlignment="1">
      <alignment horizontal="center" vertical="center"/>
    </xf>
    <xf numFmtId="179" fontId="124" fillId="0" borderId="54" xfId="0" applyNumberFormat="1" applyFont="1" applyBorder="1" applyAlignment="1">
      <alignment horizontal="center" vertical="center"/>
    </xf>
    <xf numFmtId="179" fontId="124" fillId="0" borderId="3" xfId="0" applyNumberFormat="1" applyFont="1" applyBorder="1" applyAlignment="1">
      <alignment horizontal="center" vertical="center"/>
    </xf>
    <xf numFmtId="0" fontId="260" fillId="0" borderId="13" xfId="0" applyFont="1" applyBorder="1" applyAlignment="1">
      <alignment horizontal="center" vertical="center" wrapText="1"/>
    </xf>
    <xf numFmtId="0" fontId="260" fillId="0" borderId="15" xfId="0" applyFont="1" applyBorder="1" applyAlignment="1">
      <alignment horizontal="center" vertical="center" wrapText="1"/>
    </xf>
    <xf numFmtId="0" fontId="156" fillId="0" borderId="13" xfId="0" applyFont="1" applyBorder="1" applyAlignment="1">
      <alignment horizontal="center" vertical="center"/>
    </xf>
    <xf numFmtId="0" fontId="156" fillId="0" borderId="15" xfId="0" applyFont="1" applyBorder="1" applyAlignment="1">
      <alignment horizontal="center" vertical="center"/>
    </xf>
    <xf numFmtId="0" fontId="156" fillId="7" borderId="13" xfId="0" applyFont="1" applyFill="1" applyBorder="1" applyAlignment="1">
      <alignment horizontal="center" vertical="center"/>
    </xf>
    <xf numFmtId="0" fontId="156" fillId="7" borderId="15" xfId="0"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323851</xdr:colOff>
      <xdr:row>27</xdr:row>
      <xdr:rowOff>35058</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496050" cy="4664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0</xdr:rowOff>
    </xdr:from>
    <xdr:to>
      <xdr:col>12</xdr:col>
      <xdr:colOff>385868</xdr:colOff>
      <xdr:row>49</xdr:row>
      <xdr:rowOff>76200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29150"/>
          <a:ext cx="8615468"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38101</xdr:rowOff>
    </xdr:from>
    <xdr:to>
      <xdr:col>12</xdr:col>
      <xdr:colOff>447675</xdr:colOff>
      <xdr:row>71</xdr:row>
      <xdr:rowOff>118797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439151"/>
          <a:ext cx="8677275" cy="3852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85725</xdr:rowOff>
    </xdr:from>
    <xdr:to>
      <xdr:col>12</xdr:col>
      <xdr:colOff>447675</xdr:colOff>
      <xdr:row>94</xdr:row>
      <xdr:rowOff>5300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258675"/>
          <a:ext cx="8677275" cy="386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北京市丰台区万兴路1号院1号楼房地产抵押价值预评估</v>
      </c>
    </row>
    <row r="3" spans="1:2" s="1596" customFormat="1">
      <c r="A3" s="1594" t="s">
        <v>1221</v>
      </c>
      <c r="B3" s="1595" t="str">
        <f>'预评函-封皮'!B40</f>
        <v>北京万年基业房地产开发有限公司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受贵公司委托，我公司对北京市丰台区万兴路1号院1号楼房地产抵押价值进行了预评估。</v>
      </c>
    </row>
    <row r="7" spans="1:2" s="1596" customFormat="1">
      <c r="A7" s="1594" t="s">
        <v>1264</v>
      </c>
      <c r="B7" s="1595" t="str">
        <f>'预评函-1'!A7</f>
        <v>估价对象为北京市丰台区万兴路1号院1号楼房地产，为北京万年基业房地产开发有限公司所有。根据《国有土地使用证》[京丰国用（2012出）第00123号]，估价对象（分摊）出让国有建设用地使用权面积为1281.4平方米。根据《房屋所有权证》[X京房权证丰字第478807号]，估价对象建筑面积为1398.73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丰台区万兴路1号院1号楼房地产,属北京万年基业房地产开发有限公司开发建设的商业项目，该项目尚在开发建设中。根据《国有土地使用证》[京丰国用（2012出）第00123号]，估价对象（分摊）出让国有建设用地使用权面积为1281.4平方米。根据《房屋所有权证》[X京房权证丰字第478807号]，估价对象规划建筑面积为1398.73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为估价委托人在向华融资管北京分公司办理贷款手续过程中，确定房地产抵押贷款额度提供参考依据而评估房地产抵押价值。</v>
      </c>
    </row>
    <row r="12" spans="1:2" s="1596" customFormat="1">
      <c r="A12" s="1594" t="s">
        <v>1226</v>
      </c>
      <c r="B12" s="1595" t="str">
        <f>'预评函-1'!A15</f>
        <v>2018年8月23日（评估专业人员实地查勘之日）</v>
      </c>
    </row>
    <row r="13" spans="1:2" s="1596" customFormat="1">
      <c r="A13" s="1594" t="s">
        <v>1227</v>
      </c>
      <c r="B13" s="1595" t="str">
        <f>'预评函-1'!A18</f>
        <v>本次估价的“房地产价值”是指在正常市场情况下，在价值时点2018年8月23日，估价对象规划用途为商业，土地取得方式为出让，出让国有建设用地使用权剩余土地使用年限为商业32.56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讯、通下水、燃气、）、红线内场地平整条件下，剩余土地使用年限为商业32.56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本次评估采用的主估价方法为基准地价系数修正法和收益法。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4479</v>
      </c>
    </row>
    <row r="21" spans="1:2" s="1596" customFormat="1">
      <c r="A21" s="1594" t="s">
        <v>1235</v>
      </c>
      <c r="B21" s="1595">
        <f ca="1">'预评函-2'!D7</f>
        <v>32022</v>
      </c>
    </row>
    <row r="22" spans="1:2" s="1596" customFormat="1">
      <c r="A22" s="1594" t="s">
        <v>1236</v>
      </c>
      <c r="B22" s="1595" t="str">
        <f ca="1">'预评函-2'!D6</f>
        <v>肆仟肆佰柒拾玖万元整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4479</v>
      </c>
    </row>
    <row r="31" spans="1:2" s="1596" customFormat="1">
      <c r="A31" s="1594" t="s">
        <v>1274</v>
      </c>
      <c r="B31" s="1595">
        <f ca="1">'预评函-2'!D15</f>
        <v>32022</v>
      </c>
    </row>
    <row r="32" spans="1:2" s="1596" customFormat="1">
      <c r="A32" s="1594" t="s">
        <v>1241</v>
      </c>
      <c r="B32" s="1595" t="str">
        <f ca="1">'预评函-2'!D14</f>
        <v>肆仟肆佰柒拾玖万元整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北京市丰台区万兴路1号院1号楼房地产</v>
      </c>
    </row>
    <row r="42" spans="1:2" s="1596" customFormat="1">
      <c r="A42" s="1594" t="s">
        <v>1288</v>
      </c>
      <c r="B42" s="1595" t="str">
        <f>'预评函-3'!B2</f>
        <v>建筑面积</v>
      </c>
    </row>
    <row r="43" spans="1:2" s="1596" customFormat="1">
      <c r="A43" s="1594" t="s">
        <v>1289</v>
      </c>
      <c r="B43" s="1595">
        <f>'预评函-3'!B4</f>
        <v>1398.7300000000002</v>
      </c>
    </row>
    <row r="44" spans="1:2" s="1596" customFormat="1">
      <c r="A44" s="1594" t="s">
        <v>1273</v>
      </c>
      <c r="B44" s="1595" t="str">
        <f>'预评函-3'!C2</f>
        <v>(分摊)土地面积</v>
      </c>
    </row>
    <row r="45" spans="1:2" s="1596" customFormat="1">
      <c r="A45" s="1594" t="s">
        <v>1245</v>
      </c>
      <c r="B45" s="1595">
        <f>'预评函-3'!C4</f>
        <v>1281.4000000000001</v>
      </c>
    </row>
    <row r="46" spans="1:2" s="1596" customFormat="1">
      <c r="A46" s="1594" t="s">
        <v>1271</v>
      </c>
      <c r="B46" s="1595" t="str">
        <f>'预评函-3'!D2</f>
        <v>出让国有建设用地使用权价值</v>
      </c>
    </row>
    <row r="47" spans="1:2" s="1596" customFormat="1">
      <c r="A47" s="1594" t="s">
        <v>1246</v>
      </c>
      <c r="B47" s="1595">
        <f ca="1">'预评函-3'!D4</f>
        <v>3489</v>
      </c>
    </row>
    <row r="48" spans="1:2" s="1596" customFormat="1">
      <c r="A48" s="1594" t="s">
        <v>1247</v>
      </c>
      <c r="B48" s="1595">
        <f ca="1">'预评函-3'!E4</f>
        <v>24944</v>
      </c>
    </row>
    <row r="49" spans="1:2" s="1596" customFormat="1">
      <c r="A49" s="1594" t="s">
        <v>1248</v>
      </c>
      <c r="B49" s="1595" t="str">
        <f ca="1">'预评函-3'!D5</f>
        <v>叁仟肆佰捌拾玖万元整</v>
      </c>
    </row>
    <row r="50" spans="1:2" s="1596" customFormat="1">
      <c r="A50" s="1594" t="s">
        <v>1272</v>
      </c>
      <c r="B50" s="1595" t="str">
        <f>'预评函-3'!F2</f>
        <v>在建建筑物价值</v>
      </c>
    </row>
    <row r="51" spans="1:2" s="1596" customFormat="1">
      <c r="A51" s="1594" t="s">
        <v>1249</v>
      </c>
      <c r="B51" s="1595">
        <f ca="1">'预评函-3'!F4</f>
        <v>990</v>
      </c>
    </row>
    <row r="52" spans="1:2" s="1596" customFormat="1">
      <c r="A52" s="1594" t="s">
        <v>1250</v>
      </c>
      <c r="B52" s="1595">
        <f ca="1">'预评函-3'!G4</f>
        <v>7078</v>
      </c>
    </row>
    <row r="53" spans="1:2" s="1596" customFormat="1">
      <c r="A53" s="1594" t="s">
        <v>1278</v>
      </c>
      <c r="B53" s="1595" t="str">
        <f ca="1">'预评函-3'!F5</f>
        <v>玖佰玖拾万元整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3187</v>
      </c>
      <c r="C17" s="2018"/>
    </row>
    <row r="18" spans="1:3">
      <c r="A18" s="2017" t="s">
        <v>1766</v>
      </c>
      <c r="B18" s="2017" t="s">
        <v>3257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为估价委托人在向华融资管北京分公司办理贷款手续过程中，确定房地产抵押贷款额度提供参考依据而评估房地产抵押价值。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年基业房地产开发有限公司拟使用北京市丰台区万兴路1号院1号楼房地产作为抵押担保物，向华融资管北京分公司办理贷款手续。华融资管北京分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63"/>
      <c r="B54" s="2025" t="s">
        <v>864</v>
      </c>
      <c r="C54" s="2022" t="s">
        <v>1281</v>
      </c>
    </row>
    <row r="55" spans="1:4">
      <c r="A55" s="3063"/>
      <c r="B55" s="2025" t="s">
        <v>865</v>
      </c>
      <c r="C55" s="2022" t="s">
        <v>1282</v>
      </c>
    </row>
    <row r="56" spans="1:4">
      <c r="A56" s="3063"/>
      <c r="B56" s="2025" t="s">
        <v>866</v>
      </c>
      <c r="C56" s="2022" t="s">
        <v>1286</v>
      </c>
    </row>
    <row r="57" spans="1:4">
      <c r="A57" s="306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L34" sqref="L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1775</v>
      </c>
      <c r="B1" s="3072" t="str">
        <f>IF(B10="北京市","北京市",C10)&amp;F10&amp;IF(结果表!G1="在建","出让国有建设用地使用权及在建建筑物",IF(结果表!G1="土地","出让国有建设用地使用权",))&amp;B9&amp;"预评估"</f>
        <v>北京市丰台区万兴路1号院1号楼房地产抵押价值预评估</v>
      </c>
      <c r="C1" s="3073"/>
      <c r="D1" s="3073"/>
      <c r="E1" s="3073"/>
      <c r="F1" s="3073"/>
      <c r="G1" s="3073"/>
      <c r="H1" s="3073"/>
      <c r="I1" s="307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北京市丰台区万兴路1号院1号楼房地产抵押价值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北京市丰台区万兴路1号院1号楼房地产</v>
      </c>
    </row>
    <row r="3" spans="1:19" ht="18" customHeight="1">
      <c r="A3" s="2038" t="s">
        <v>1777</v>
      </c>
      <c r="B3" s="2039">
        <v>43335</v>
      </c>
      <c r="C3" s="2040" t="s">
        <v>1778</v>
      </c>
      <c r="D3" s="2039">
        <v>43335</v>
      </c>
      <c r="E3" s="2029"/>
      <c r="F3" s="2029"/>
      <c r="G3" s="2029"/>
      <c r="H3" s="2029"/>
      <c r="I3" s="2029"/>
      <c r="J3" s="2029"/>
      <c r="K3" s="2030"/>
      <c r="L3" s="2031"/>
      <c r="M3" s="2031"/>
      <c r="N3" s="2032"/>
      <c r="O3" s="2033"/>
      <c r="P3" s="2032"/>
      <c r="Q3" s="2032"/>
      <c r="R3" s="2032"/>
      <c r="S3" s="2034"/>
    </row>
    <row r="4" spans="1:19" ht="18" customHeight="1" thickBot="1">
      <c r="A4" s="2041" t="s">
        <v>1779</v>
      </c>
      <c r="B4" s="2042" t="s">
        <v>3044</v>
      </c>
      <c r="C4" s="1040">
        <f ca="1">SUMIF(注册房地产估价师,B4,估价师及机构信息!B3:B24)</f>
        <v>1120050019</v>
      </c>
      <c r="D4" s="2042" t="s">
        <v>3045</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1780</v>
      </c>
      <c r="B5" s="2952"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1781</v>
      </c>
      <c r="B6" s="2953"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1782</v>
      </c>
      <c r="B7" s="2952" t="s">
        <v>3046</v>
      </c>
      <c r="C7" s="2051"/>
      <c r="D7" s="2052"/>
      <c r="E7" s="2037"/>
      <c r="F7" s="2045"/>
      <c r="G7" s="2045"/>
      <c r="H7" s="2045"/>
      <c r="I7" s="2045"/>
      <c r="J7" s="2045"/>
      <c r="K7" s="2054"/>
      <c r="L7" s="2031"/>
      <c r="M7" s="2031"/>
      <c r="N7" s="2032"/>
      <c r="O7" s="2033"/>
      <c r="P7" s="2032"/>
      <c r="Q7" s="2032"/>
      <c r="R7" s="2032"/>
    </row>
    <row r="8" spans="1:19" ht="18" customHeight="1">
      <c r="A8" s="2050" t="s">
        <v>1783</v>
      </c>
      <c r="B8" s="2055" t="s">
        <v>3048</v>
      </c>
      <c r="C8" s="2056"/>
      <c r="D8" s="3075" t="s">
        <v>1784</v>
      </c>
      <c r="E8" s="2057" t="s">
        <v>3049</v>
      </c>
      <c r="F8" s="2058"/>
      <c r="G8" s="2029"/>
      <c r="H8" s="2029"/>
      <c r="I8" s="2029"/>
      <c r="J8" s="2045"/>
      <c r="K8" s="2046"/>
      <c r="L8" s="2031"/>
      <c r="M8" s="2031"/>
      <c r="N8" s="2032"/>
      <c r="O8" s="2033"/>
      <c r="P8" s="2032"/>
      <c r="Q8" s="2032"/>
      <c r="R8" s="2032"/>
    </row>
    <row r="9" spans="1:19" ht="18" customHeight="1" thickBot="1">
      <c r="A9" s="2043" t="s">
        <v>1785</v>
      </c>
      <c r="B9" s="2059" t="s">
        <v>3049</v>
      </c>
      <c r="C9" s="2060"/>
      <c r="D9" s="3076"/>
      <c r="E9" s="2059"/>
      <c r="F9" s="2061"/>
      <c r="G9" s="2062"/>
      <c r="H9" s="2062"/>
      <c r="I9" s="2062"/>
      <c r="J9" s="2045"/>
      <c r="K9" s="2054"/>
      <c r="L9" s="2031"/>
      <c r="M9" s="2031"/>
      <c r="N9" s="2032"/>
      <c r="O9" s="2033"/>
      <c r="P9" s="2032"/>
      <c r="Q9" s="2032"/>
      <c r="R9" s="2032"/>
    </row>
    <row r="10" spans="1:19" ht="18" customHeight="1" thickTop="1" thickBot="1">
      <c r="A10" s="2063" t="s">
        <v>1786</v>
      </c>
      <c r="B10" s="2064" t="s">
        <v>3050</v>
      </c>
      <c r="C10" s="2065"/>
      <c r="D10" s="2049"/>
      <c r="E10" s="2066" t="s">
        <v>1787</v>
      </c>
      <c r="F10" s="2067" t="s">
        <v>3052</v>
      </c>
      <c r="G10" s="2068"/>
      <c r="H10" s="2069"/>
      <c r="I10" s="2049"/>
      <c r="J10" s="2045"/>
      <c r="K10" s="2054"/>
      <c r="L10" s="2031"/>
      <c r="M10" s="2031"/>
      <c r="N10" s="2032"/>
      <c r="O10" s="2033"/>
      <c r="P10" s="2032"/>
      <c r="Q10" s="2032"/>
      <c r="R10" s="2032"/>
    </row>
    <row r="11" spans="1:19" ht="18" customHeight="1" thickTop="1">
      <c r="A11" s="2070" t="s">
        <v>1788</v>
      </c>
      <c r="B11" s="2071" t="s">
        <v>3051</v>
      </c>
      <c r="C11" s="2952" t="s">
        <v>3046</v>
      </c>
      <c r="D11" s="2072"/>
      <c r="E11" s="2045"/>
      <c r="F11" s="2045"/>
      <c r="G11" s="2045"/>
      <c r="H11" s="2045"/>
      <c r="I11" s="2045"/>
      <c r="J11" s="2045"/>
      <c r="K11" s="2054"/>
      <c r="L11" s="2031"/>
      <c r="M11" s="2031"/>
      <c r="N11" s="2032"/>
      <c r="O11" s="2033"/>
      <c r="P11" s="2032"/>
      <c r="Q11" s="2032"/>
      <c r="R11" s="2032"/>
    </row>
    <row r="12" spans="1:19" ht="18" customHeight="1">
      <c r="A12" s="2073" t="s">
        <v>1789</v>
      </c>
      <c r="B12" s="2071" t="s">
        <v>3053</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c r="E13" s="2079">
        <v>55220</v>
      </c>
      <c r="F13" s="2079"/>
      <c r="G13" s="2079"/>
      <c r="H13" s="2079"/>
      <c r="I13" s="1050"/>
      <c r="J13" s="2045"/>
      <c r="K13" s="2054"/>
      <c r="L13" s="2031"/>
      <c r="M13" s="2031"/>
      <c r="N13" s="2032"/>
      <c r="O13" s="2033"/>
      <c r="P13" s="2032"/>
      <c r="Q13" s="2032"/>
      <c r="R13" s="2032"/>
    </row>
    <row r="14" spans="1:19" ht="18" customHeight="1">
      <c r="A14" s="2076"/>
      <c r="B14" s="2077"/>
      <c r="C14" s="2078" t="s">
        <v>1798</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1799</v>
      </c>
      <c r="D15" s="1052" t="str">
        <f>IF(B12="出让",IF(D13="","",ROUNDDOWN(MIN((D13-$D$3)/365,D14),2)),D14)</f>
        <v/>
      </c>
      <c r="E15" s="1052">
        <f>IF(B12="出让",IF(E13="","",ROUNDDOWN(MIN((E13-$D$3)/365,E14),2)),E14)</f>
        <v>32.56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082" t="s">
        <v>3054</v>
      </c>
      <c r="C16" s="3083"/>
      <c r="D16" s="3084"/>
      <c r="E16" s="2085" t="s">
        <v>1801</v>
      </c>
      <c r="F16" s="3085" t="s">
        <v>3055</v>
      </c>
      <c r="G16" s="3086"/>
      <c r="H16" s="3086"/>
      <c r="I16" s="3087"/>
      <c r="J16" s="2032"/>
      <c r="K16" s="2082"/>
      <c r="L16" s="2083"/>
      <c r="M16" s="2083"/>
      <c r="N16" s="2084"/>
      <c r="O16" s="2083"/>
      <c r="P16" s="2084"/>
      <c r="Q16" s="2032"/>
      <c r="R16" s="2032"/>
    </row>
    <row r="17" spans="1:22" ht="18" customHeight="1">
      <c r="A17" s="2086" t="s">
        <v>1802</v>
      </c>
      <c r="B17" s="2038" t="s">
        <v>1803</v>
      </c>
      <c r="C17" s="1057">
        <f>'数据-汇总表'!E3</f>
        <v>1398.7300000000002</v>
      </c>
      <c r="D17" s="2087" t="s">
        <v>1804</v>
      </c>
      <c r="E17" s="3088" t="s">
        <v>3056</v>
      </c>
      <c r="F17" s="3089"/>
      <c r="G17" s="3089"/>
      <c r="H17" s="3089"/>
      <c r="I17" s="3090"/>
      <c r="J17" s="2032"/>
      <c r="K17" s="2088"/>
      <c r="L17" s="2083"/>
      <c r="M17" s="2083"/>
      <c r="N17" s="2084"/>
      <c r="O17" s="2083"/>
      <c r="P17" s="2084"/>
      <c r="Q17" s="2032"/>
      <c r="R17" s="2032"/>
      <c r="S17" s="2032"/>
      <c r="T17" s="2032"/>
      <c r="U17" s="2032"/>
      <c r="V17" s="2032"/>
    </row>
    <row r="18" spans="1:22" ht="36" customHeight="1" thickBot="1">
      <c r="A18" s="2089" t="s">
        <v>70</v>
      </c>
      <c r="B18" s="2041" t="s">
        <v>1805</v>
      </c>
      <c r="C18" s="1447">
        <f>'数据-汇总表'!D3</f>
        <v>1281.4000000000001</v>
      </c>
      <c r="D18" s="2090" t="s">
        <v>1804</v>
      </c>
      <c r="E18" s="3091" t="s">
        <v>3057</v>
      </c>
      <c r="F18" s="3092"/>
      <c r="G18" s="3092"/>
      <c r="H18" s="3092"/>
      <c r="I18" s="3093"/>
      <c r="J18" s="2032"/>
      <c r="K18" s="2088"/>
      <c r="L18" s="2083"/>
      <c r="M18" s="2083"/>
      <c r="N18" s="2084"/>
      <c r="O18" s="2083"/>
      <c r="P18" s="2084"/>
      <c r="Q18" s="2032"/>
      <c r="R18" s="2032"/>
      <c r="S18" s="2032"/>
      <c r="T18" s="2032"/>
      <c r="U18" s="2032"/>
      <c r="V18" s="2032"/>
    </row>
    <row r="19" spans="1:22" ht="37.5" customHeight="1" thickTop="1" thickBot="1">
      <c r="A19" s="373" t="s">
        <v>1806</v>
      </c>
      <c r="B19" s="352" t="s">
        <v>1807</v>
      </c>
      <c r="C19" s="2091" t="s">
        <v>3058</v>
      </c>
      <c r="D19" s="2092" t="s">
        <v>1808</v>
      </c>
      <c r="E19" s="2093" t="s">
        <v>3058</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1809</v>
      </c>
      <c r="B20" s="3078" t="s">
        <v>1810</v>
      </c>
      <c r="C20" s="3079"/>
      <c r="D20" s="3080" t="s">
        <v>1811</v>
      </c>
      <c r="E20" s="3081"/>
      <c r="F20" s="2097" t="s">
        <v>1812</v>
      </c>
      <c r="G20" s="2045"/>
      <c r="H20" s="2045"/>
      <c r="I20" s="2045"/>
      <c r="J20" s="2045"/>
      <c r="K20" s="3077"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1814</v>
      </c>
      <c r="C21" s="2099" t="s">
        <v>3059</v>
      </c>
      <c r="D21" s="2100" t="s">
        <v>1816</v>
      </c>
      <c r="E21" s="2101" t="s">
        <v>1815</v>
      </c>
      <c r="F21" s="2102"/>
      <c r="G21" s="2045"/>
      <c r="H21" s="2045"/>
      <c r="I21" s="2045"/>
      <c r="J21" s="2045"/>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1817</v>
      </c>
      <c r="C22" s="2099" t="s">
        <v>1818</v>
      </c>
      <c r="D22" s="2029"/>
      <c r="E22" s="2029"/>
      <c r="F22" s="2104"/>
      <c r="G22" s="2045"/>
      <c r="H22" s="2045"/>
      <c r="I22" s="2045"/>
      <c r="J22" s="2045"/>
      <c r="K22" s="307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65" t="s">
        <v>1825</v>
      </c>
      <c r="B27" s="2063" t="s">
        <v>1826</v>
      </c>
      <c r="C27" s="2119" t="s">
        <v>3060</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65"/>
      <c r="B28" s="2038" t="s">
        <v>1827</v>
      </c>
      <c r="C28" s="2121" t="s">
        <v>3061</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65"/>
      <c r="B29" s="2038" t="s">
        <v>1828</v>
      </c>
      <c r="C29" s="2124" t="s">
        <v>3058</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66"/>
      <c r="B30" s="2038" t="s">
        <v>1829</v>
      </c>
      <c r="C30" s="3067"/>
      <c r="D30" s="3068"/>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69" t="s">
        <v>1830</v>
      </c>
      <c r="B31" s="2126" t="s">
        <v>3062</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70"/>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70"/>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3063</v>
      </c>
      <c r="C34" s="2133" t="s">
        <v>3064</v>
      </c>
      <c r="D34" s="2133" t="s">
        <v>3065</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3064" t="s">
        <v>1839</v>
      </c>
      <c r="T34" s="2134" t="str">
        <f>NUMBERSTRING(7-K34,1)&amp;"通"</f>
        <v>七通</v>
      </c>
      <c r="U34" s="2032"/>
      <c r="V34" s="2032"/>
    </row>
    <row r="35" spans="1:22" ht="18" customHeight="1">
      <c r="A35" s="2135"/>
      <c r="B35" s="3071" t="s">
        <v>1840</v>
      </c>
      <c r="C35" s="3071"/>
      <c r="D35" s="3071"/>
      <c r="E35" s="3071"/>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通路、通电、通讯、通讯</v>
      </c>
      <c r="P35" s="48" t="str">
        <f>B34&amp;"、"&amp;C34&amp;"、"&amp;D34&amp;"、"&amp;E34&amp;"、"&amp;F34</f>
        <v>通路、通电、通讯、通讯、通下水</v>
      </c>
      <c r="Q35" s="48" t="str">
        <f>B34&amp;"、"&amp;C34&amp;"、"&amp;D34&amp;"、"&amp;E34&amp;"、"&amp;F34&amp;"、"&amp;G34</f>
        <v>通路、通电、通讯、通讯、通下水、燃气</v>
      </c>
      <c r="R35" s="48" t="str">
        <f>B34&amp;"、"&amp;C34&amp;"、"&amp;D34&amp;"、"&amp;E34&amp;"、"&amp;F34&amp;"、"&amp;G34&amp;"、"&amp;H34</f>
        <v>通路、通电、通讯、通讯、通下水、燃气、</v>
      </c>
      <c r="S35" s="3064"/>
      <c r="T35" s="48" t="str">
        <f>IF(T34="一通",L35,IF(T34="二通",M35,IF(T34="三通",N35,IF(T34="四通",O35,IF(T34="五通",P35,IF(T34="六通",Q35,R35))))))</f>
        <v>通路、通电、通讯、通讯、通下水、燃气、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分摊土地面积计算!E20</f>
        <v>1281.4000000000001</v>
      </c>
      <c r="B3" s="14">
        <f>IF(C3="否",G5-AT5,G5)</f>
        <v>1398.7300000000002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1398.7300000000002</v>
      </c>
      <c r="H5" s="16">
        <f t="shared" ref="H5:AT5" si="0">SUM(H13:H656)</f>
        <v>1398.7300000000002</v>
      </c>
      <c r="I5" s="16">
        <f t="shared" si="0"/>
        <v>1398.7300000000002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1398.7300000000002</v>
      </c>
      <c r="BA5" s="18">
        <f t="shared" si="1"/>
        <v>1398.7300000000002</v>
      </c>
      <c r="BB5" s="18">
        <f t="shared" si="1"/>
        <v>1398.7300000000002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1281.4000000000001</v>
      </c>
      <c r="F6" s="16" t="s">
        <v>1</v>
      </c>
      <c r="G6" s="16" t="s">
        <v>2</v>
      </c>
      <c r="H6" s="20">
        <f>SUMIF(I$12:AB$12,"总值",I6:AB6)</f>
        <v>1281.4000000000001</v>
      </c>
      <c r="I6" s="16">
        <f t="shared" ref="I6:AB6" si="2">ROUND($A$3*I5/$B$3,2)</f>
        <v>1281.4000000000001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1281.4000000000001</v>
      </c>
      <c r="AZ6" s="16" t="s">
        <v>3</v>
      </c>
      <c r="BA6" s="16">
        <f>ROUND($AY$6*BA5/$AZ$5,2)</f>
        <v>1281.4000000000001</v>
      </c>
      <c r="BB6" s="16">
        <f>ROUND($AY$6*BB5/$AZ$5,2)</f>
        <v>1281.4000000000001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3177</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tr">
        <f>租约整理!C4</f>
        <v xml:space="preserve">101   </v>
      </c>
      <c r="D13" s="2213" t="s">
        <v>3178</v>
      </c>
      <c r="E13" s="16">
        <f>IF($C$3="是",ROUND($A$3*G13/$B$3,2),ROUND($A$3*(G13-AT13)/$B$3,2))</f>
        <v>267.82</v>
      </c>
      <c r="F13" s="32"/>
      <c r="G13" s="33">
        <f>H13+AC13+AT13</f>
        <v>292.33999999999997</v>
      </c>
      <c r="H13" s="20">
        <f>SUMIF(I$12:AB$12,"总值",I13:AB13)</f>
        <v>292.33999999999997</v>
      </c>
      <c r="I13" s="2214">
        <f>租约整理!D4</f>
        <v>292.33999999999997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 xml:space="preserve">101   </v>
      </c>
      <c r="AY13" s="1809">
        <f>ROUND($AY$6*AZ13/$AZ$5,2)</f>
        <v>267.82</v>
      </c>
      <c r="AZ13" s="16">
        <f>BA13+BL13</f>
        <v>292.33999999999997</v>
      </c>
      <c r="BA13" s="16">
        <f>SUM(BB13:BK13)</f>
        <v>292.33999999999997</v>
      </c>
      <c r="BB13" s="16">
        <f>IF($D13="是",I13-J13,0)</f>
        <v>292.33999999999997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v>102</v>
      </c>
      <c r="D14" s="2213" t="s">
        <v>3178</v>
      </c>
      <c r="E14" s="16">
        <f>IF($C$3="是",ROUND($A$3*G14/$B$3,2),ROUND($A$3*(G14-AT14)/$B$3,2))</f>
        <v>143.76</v>
      </c>
      <c r="F14" s="32"/>
      <c r="G14" s="33">
        <f>H14+AC14+AT14</f>
        <v>156.91999999999999</v>
      </c>
      <c r="H14" s="20">
        <f>SUMIF(I$12:AB$12,"总值",I14:AB14)</f>
        <v>156.91999999999999</v>
      </c>
      <c r="I14" s="2214">
        <f>租约整理!D5</f>
        <v>156.91999999999999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102</v>
      </c>
      <c r="AY14" s="1809">
        <f>ROUND($AY$6*AZ14/$AZ$5,2)</f>
        <v>143.76</v>
      </c>
      <c r="AZ14" s="16">
        <f>BA14+BL14</f>
        <v>156.91999999999999</v>
      </c>
      <c r="BA14" s="16">
        <f>SUM(BB14:BK14)</f>
        <v>156.91999999999999</v>
      </c>
      <c r="BB14" s="16">
        <f>IF($D14="是",I14-J14,0)</f>
        <v>156.91999999999999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v>103</v>
      </c>
      <c r="D15" s="2213" t="s">
        <v>3178</v>
      </c>
      <c r="E15" s="16">
        <f>IF($C$3="是",ROUND($A$3*G15/$B$3,2),ROUND($A$3*(G15-AT15)/$B$3,2))</f>
        <v>132.77000000000001</v>
      </c>
      <c r="F15" s="32"/>
      <c r="G15" s="33">
        <f>H15+AC15+AT15</f>
        <v>144.93</v>
      </c>
      <c r="H15" s="20">
        <f>SUMIF(I$12:AB$12,"总值",I15:AB15)</f>
        <v>144.93</v>
      </c>
      <c r="I15" s="2214">
        <f>租约整理!D6</f>
        <v>144.93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103</v>
      </c>
      <c r="AY15" s="1809">
        <f>ROUND($AY$6*AZ15/$AZ$5,2)</f>
        <v>132.77000000000001</v>
      </c>
      <c r="AZ15" s="16">
        <f>BA15+BL15</f>
        <v>144.93</v>
      </c>
      <c r="BA15" s="16">
        <f>SUM(BB15:BK15)</f>
        <v>144.93</v>
      </c>
      <c r="BB15" s="16">
        <f>IF($D15="是",I15-J15,0)</f>
        <v>144.93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v>110</v>
      </c>
      <c r="D16" s="2213" t="s">
        <v>3178</v>
      </c>
      <c r="E16" s="16">
        <f>IF($C$3="是",ROUND($A$3*G16/$B$3,2),ROUND($A$3*(G16-AT16)/$B$3,2))</f>
        <v>109.57</v>
      </c>
      <c r="F16" s="32"/>
      <c r="G16" s="33">
        <f>H16+AC16+AT16</f>
        <v>119.6</v>
      </c>
      <c r="H16" s="20">
        <f>SUMIF(I$12:AB$12,"总值",I16:AB16)</f>
        <v>119.6</v>
      </c>
      <c r="I16" s="2214">
        <f>租约整理!D7</f>
        <v>119.6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110</v>
      </c>
      <c r="AY16" s="1809">
        <f>ROUND($AY$6*AZ16/$AZ$5,2)</f>
        <v>109.57</v>
      </c>
      <c r="AZ16" s="16">
        <f>BA16+BL16</f>
        <v>119.6</v>
      </c>
      <c r="BA16" s="16">
        <f>SUM(BB16:BK16)</f>
        <v>119.6</v>
      </c>
      <c r="BB16" s="16">
        <f>IF($D16="是",I16-J16,0)</f>
        <v>119.6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v>111</v>
      </c>
      <c r="D17" s="2213" t="s">
        <v>3178</v>
      </c>
      <c r="E17" s="16">
        <f>IF($C$3="是",ROUND($A$3*G17/$B$3,2),ROUND($A$3*(G17-AT17)/$B$3,2))</f>
        <v>120.92</v>
      </c>
      <c r="F17" s="32"/>
      <c r="G17" s="33">
        <f>H17+AC17+AT17</f>
        <v>131.99</v>
      </c>
      <c r="H17" s="20">
        <f>SUMIF(I$12:AB$12,"总值",I17:AB17)</f>
        <v>131.99</v>
      </c>
      <c r="I17" s="2214">
        <f>租约整理!D8</f>
        <v>131.99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111</v>
      </c>
      <c r="AY17" s="1809">
        <f>ROUND($AY$6*AZ17/$AZ$5,2)</f>
        <v>120.92</v>
      </c>
      <c r="AZ17" s="16">
        <f>BA17+BL17</f>
        <v>131.99</v>
      </c>
      <c r="BA17" s="16">
        <f>SUM(BB17:BK17)</f>
        <v>131.99</v>
      </c>
      <c r="BB17" s="16">
        <f>IF($D17="是",I17-J17,0)</f>
        <v>131.99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v>112</v>
      </c>
      <c r="D18" s="2218" t="s">
        <v>3178</v>
      </c>
      <c r="E18" s="35">
        <f t="shared" ref="E18:E112" si="7">IF($C$3="是",ROUND($A$3*G18/$B$3,2),ROUND($A$3*(G18-AT18)/$B$3,2))</f>
        <v>120.92</v>
      </c>
      <c r="F18" s="36"/>
      <c r="G18" s="37">
        <f t="shared" ref="G18:G109" si="8">H18+AC18+AT18</f>
        <v>131.99</v>
      </c>
      <c r="H18" s="38">
        <f t="shared" ref="H18:H109" si="9">SUMIF(I$12:AB$12,"总值",I18:AB18)</f>
        <v>131.99</v>
      </c>
      <c r="I18" s="2214">
        <f>租约整理!D9</f>
        <v>131.99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112</v>
      </c>
      <c r="AY18" s="42">
        <f t="shared" ref="AY18:AY109" si="14">ROUND($AY$6*AZ18/$AZ$5,2)</f>
        <v>120.92</v>
      </c>
      <c r="AZ18" s="35">
        <f t="shared" ref="AZ18:AZ109" si="15">BA18+BL18</f>
        <v>131.99</v>
      </c>
      <c r="BA18" s="35">
        <f t="shared" ref="BA18:BA109" si="16">SUM(BB18:BK18)</f>
        <v>131.99</v>
      </c>
      <c r="BB18" s="35">
        <f t="shared" ref="BB18:BB109" si="17">IF($D18="是",I18-J18,0)</f>
        <v>131.99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v>113</v>
      </c>
      <c r="D19" s="2218" t="s">
        <v>3178</v>
      </c>
      <c r="E19" s="35">
        <f t="shared" si="7"/>
        <v>120.92</v>
      </c>
      <c r="F19" s="36"/>
      <c r="G19" s="37">
        <f t="shared" si="8"/>
        <v>131.99</v>
      </c>
      <c r="H19" s="38">
        <f t="shared" si="9"/>
        <v>131.99</v>
      </c>
      <c r="I19" s="2214">
        <f>租约整理!D10</f>
        <v>131.99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113</v>
      </c>
      <c r="AY19" s="42">
        <f t="shared" si="14"/>
        <v>120.92</v>
      </c>
      <c r="AZ19" s="35">
        <f t="shared" si="15"/>
        <v>131.99</v>
      </c>
      <c r="BA19" s="35">
        <f t="shared" si="16"/>
        <v>131.99</v>
      </c>
      <c r="BB19" s="35">
        <f t="shared" si="17"/>
        <v>131.99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v>114</v>
      </c>
      <c r="D20" s="2218" t="s">
        <v>3178</v>
      </c>
      <c r="E20" s="35">
        <f t="shared" si="7"/>
        <v>148.97</v>
      </c>
      <c r="F20" s="36"/>
      <c r="G20" s="37">
        <f t="shared" si="8"/>
        <v>162.61000000000001</v>
      </c>
      <c r="H20" s="38">
        <f t="shared" si="9"/>
        <v>162.61000000000001</v>
      </c>
      <c r="I20" s="2214">
        <f>租约整理!D11</f>
        <v>162.61000000000001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114</v>
      </c>
      <c r="AY20" s="42">
        <f t="shared" si="14"/>
        <v>148.97</v>
      </c>
      <c r="AZ20" s="35">
        <f t="shared" si="15"/>
        <v>162.61000000000001</v>
      </c>
      <c r="BA20" s="35">
        <f t="shared" si="16"/>
        <v>162.61000000000001</v>
      </c>
      <c r="BB20" s="35">
        <f t="shared" si="17"/>
        <v>162.61000000000001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v>107</v>
      </c>
      <c r="D21" s="2218" t="s">
        <v>3178</v>
      </c>
      <c r="E21" s="35">
        <f t="shared" si="7"/>
        <v>115.76</v>
      </c>
      <c r="F21" s="36"/>
      <c r="G21" s="37">
        <f t="shared" si="8"/>
        <v>126.36</v>
      </c>
      <c r="H21" s="38">
        <f t="shared" si="9"/>
        <v>126.36</v>
      </c>
      <c r="I21" s="2214">
        <f>租约整理!D12</f>
        <v>126.36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107</v>
      </c>
      <c r="AY21" s="42">
        <f t="shared" si="14"/>
        <v>115.76</v>
      </c>
      <c r="AZ21" s="35">
        <f t="shared" si="15"/>
        <v>126.36</v>
      </c>
      <c r="BA21" s="35">
        <f t="shared" si="16"/>
        <v>126.36</v>
      </c>
      <c r="BB21" s="35">
        <f t="shared" si="17"/>
        <v>126.36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8"/>
      <c r="E22" s="35">
        <f t="shared" si="7"/>
        <v>0</v>
      </c>
      <c r="F22" s="36"/>
      <c r="G22" s="37">
        <f t="shared" si="8"/>
        <v>0</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105" t="s">
        <v>1936</v>
      </c>
      <c r="B2" s="3105"/>
      <c r="C2" s="3105"/>
      <c r="D2" s="970" t="s">
        <v>1912</v>
      </c>
      <c r="E2" s="2227" t="s">
        <v>1913</v>
      </c>
      <c r="F2" s="1395"/>
      <c r="G2" s="2228"/>
      <c r="H2" s="2229"/>
      <c r="I2" s="2230" t="s">
        <v>1937</v>
      </c>
      <c r="J2" s="1395"/>
      <c r="K2" s="1395"/>
      <c r="L2" s="1395"/>
      <c r="M2" s="1395"/>
      <c r="N2" s="1430"/>
      <c r="O2" s="1395"/>
      <c r="P2" s="1395"/>
    </row>
    <row r="3" spans="1:16" ht="15.75" thickBot="1">
      <c r="A3" s="3106" t="s">
        <v>1910</v>
      </c>
      <c r="B3" s="3106"/>
      <c r="C3" s="3106"/>
      <c r="D3" s="46">
        <f>'数据-基础表'!AY6</f>
        <v>1281.4000000000001</v>
      </c>
      <c r="E3" s="46">
        <f>'数据-基础表'!AZ5</f>
        <v>1398.7300000000002</v>
      </c>
      <c r="F3" s="1395"/>
      <c r="G3" s="1402"/>
      <c r="H3" s="1250" t="s">
        <v>1911</v>
      </c>
      <c r="I3" s="55">
        <f>ROUND('数据-基础表'!B3/'数据-基础表'!A3,2)</f>
        <v>1.0900000000000001</v>
      </c>
      <c r="J3" s="1395"/>
      <c r="K3" s="1395"/>
      <c r="L3" s="1395"/>
      <c r="M3" s="1395"/>
      <c r="N3" s="1430"/>
      <c r="O3" s="1395"/>
      <c r="P3" s="1395"/>
    </row>
    <row r="4" spans="1:16" ht="15">
      <c r="A4" s="3107"/>
      <c r="B4" s="3108"/>
      <c r="C4" s="3109"/>
      <c r="D4" s="2231" t="s">
        <v>1912</v>
      </c>
      <c r="E4" s="2232" t="s">
        <v>1913</v>
      </c>
      <c r="F4" s="1395"/>
      <c r="G4" s="2233" t="s">
        <v>1938</v>
      </c>
      <c r="H4" s="1250" t="s">
        <v>1918</v>
      </c>
      <c r="I4" s="55">
        <f>ROUND(SUMIF('数据-基础表'!I9:AS9,"地上",'数据-基础表'!I5:AS5)/'数据-基础表'!A3,2)</f>
        <v>1.0900000000000001</v>
      </c>
      <c r="J4" s="1395"/>
      <c r="K4" s="1395"/>
      <c r="L4" s="1395"/>
      <c r="M4" s="1395"/>
      <c r="N4" s="1430"/>
      <c r="O4" s="1395"/>
      <c r="P4" s="1395"/>
    </row>
    <row r="5" spans="1:16">
      <c r="A5" s="47" t="s">
        <v>1914</v>
      </c>
      <c r="B5" s="3110" t="s">
        <v>1915</v>
      </c>
      <c r="C5" s="3110"/>
      <c r="D5" s="48">
        <f>ROUND($D$3*E5/$E$3,2)</f>
        <v>0</v>
      </c>
      <c r="E5" s="49">
        <f>SUMIF('数据-基础表'!$11:$11,"住宅",'数据-基础表'!$5:$5)</f>
        <v>0</v>
      </c>
      <c r="F5" s="1395"/>
      <c r="G5" s="1402"/>
      <c r="H5" s="1250" t="s">
        <v>1911</v>
      </c>
      <c r="I5" s="55">
        <f>ROUND(E31/D31,2)</f>
        <v>1.0900000000000001</v>
      </c>
      <c r="J5" s="1395"/>
      <c r="K5" s="1395"/>
      <c r="L5" s="1395"/>
      <c r="M5" s="1395"/>
      <c r="N5" s="1395"/>
      <c r="O5" s="1395"/>
      <c r="P5" s="1395"/>
    </row>
    <row r="6" spans="1:16" ht="15" thickBot="1">
      <c r="A6" s="2234"/>
      <c r="B6" s="3110" t="s">
        <v>1916</v>
      </c>
      <c r="C6" s="3110"/>
      <c r="D6" s="48">
        <f>ROUND($D$3*E6/$E$3,2)</f>
        <v>1281.4000000000001</v>
      </c>
      <c r="E6" s="49">
        <f>E3-E5</f>
        <v>1398.7300000000002</v>
      </c>
      <c r="F6" s="1395"/>
      <c r="G6" s="2235" t="s">
        <v>1917</v>
      </c>
      <c r="H6" s="1402" t="s">
        <v>1918</v>
      </c>
      <c r="I6" s="942">
        <f>ROUND(F31/D31,2)</f>
        <v>1.0900000000000001</v>
      </c>
      <c r="J6" s="1395"/>
      <c r="K6" s="1395"/>
      <c r="L6" s="1395"/>
      <c r="M6" s="1395"/>
      <c r="N6" s="1395"/>
      <c r="O6" s="1395"/>
      <c r="P6" s="1395"/>
    </row>
    <row r="7" spans="1:16" ht="15">
      <c r="A7" s="3102"/>
      <c r="B7" s="3103"/>
      <c r="C7" s="3104"/>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1281.4000000000001</v>
      </c>
      <c r="E8" s="51">
        <f>SUMIF('数据-基础表'!BB10:BK10,"地上",'数据-基础表'!BB5:BK5)</f>
        <v>1398.7300000000002</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1281.4000000000001</v>
      </c>
      <c r="E16" s="53">
        <f>SUM(E8:E15)</f>
        <v>1398.7300000000002</v>
      </c>
      <c r="F16" s="1395"/>
      <c r="G16" s="2237"/>
      <c r="H16" s="2240" t="s">
        <v>1940</v>
      </c>
      <c r="I16" s="2241"/>
      <c r="J16" s="1395"/>
      <c r="K16" s="3099" t="s">
        <v>1940</v>
      </c>
      <c r="L16" s="3100"/>
      <c r="M16" s="3100"/>
      <c r="N16" s="3100"/>
      <c r="O16" s="3100"/>
      <c r="P16" s="3101"/>
    </row>
    <row r="17" spans="1:19" ht="15">
      <c r="A17" s="2242" t="s">
        <v>1941</v>
      </c>
      <c r="B17" s="2243" t="s">
        <v>1942</v>
      </c>
      <c r="C17" s="2244" t="s">
        <v>1943</v>
      </c>
      <c r="D17" s="2245" t="s">
        <v>1931</v>
      </c>
      <c r="E17" s="2246" t="s">
        <v>1932</v>
      </c>
      <c r="F17" s="2247"/>
      <c r="G17" s="2248"/>
      <c r="H17" s="2249" t="s">
        <v>1944</v>
      </c>
      <c r="I17" s="2250" t="s">
        <v>1929</v>
      </c>
      <c r="J17" s="1395"/>
      <c r="K17" s="3096" t="s">
        <v>1945</v>
      </c>
      <c r="L17" s="3097"/>
      <c r="M17" s="3098"/>
      <c r="N17" s="3096" t="s">
        <v>1946</v>
      </c>
      <c r="O17" s="3097"/>
      <c r="P17" s="3098"/>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3006" t="s">
        <v>3179</v>
      </c>
      <c r="D19" s="48">
        <f>ROUND($D$3*E19/$E$3,2)</f>
        <v>1281.4000000000001</v>
      </c>
      <c r="E19" s="56">
        <f t="shared" ref="E19:E26" si="1">SUM(F19:G19)</f>
        <v>1398.7300000000002</v>
      </c>
      <c r="F19" s="57">
        <f>SUM('数据-基础表'!I13:I21)</f>
        <v>1398.7300000000002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1281.4000000000001</v>
      </c>
      <c r="S19" s="1251">
        <f t="shared" si="5"/>
        <v>1398.7300000000002</v>
      </c>
    </row>
    <row r="20" spans="1:19">
      <c r="A20" s="2263"/>
      <c r="B20" s="50" t="s">
        <v>1958</v>
      </c>
      <c r="C20" s="300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1281.4000000000001</v>
      </c>
      <c r="E27" s="1397">
        <f>IF(SUM(E19:E26)='数据-基础表'!BA5,SUM(E19:E26),IF(F27="地上面积有误","面积有误","地下面积有误"))</f>
        <v>1398.7300000000002</v>
      </c>
      <c r="F27" s="1396">
        <f>IF(SUM(F19:F26)=E8,SUM(F19:F26),"地上面积有误")</f>
        <v>1398.7300000000002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1281.4000000000001</v>
      </c>
      <c r="S27" s="1250">
        <f>IF(SUM(S19:S26)=$E$3,SUM(S19:S26),SUM(S19:S26)&amp;"误差"&amp;ROUND(SUM(S19:S26)-E3,2))</f>
        <v>1398.7300000000002</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1281.4000000000001</v>
      </c>
      <c r="E31" s="729">
        <f>E27+E30</f>
        <v>1398.7300000000002</v>
      </c>
      <c r="F31" s="730">
        <f>F27+F30</f>
        <v>1398.7300000000002</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19" sqref="L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43335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3180</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商业</v>
      </c>
      <c r="B6" s="2307" t="str">
        <f>IF(A6=0,"","经营性")</f>
        <v>经营性</v>
      </c>
      <c r="C6" s="2308" t="s">
        <v>1377</v>
      </c>
      <c r="D6" s="1054">
        <f>SUMIF(项目基本情况!D$12:I$12,C6,项目基本情况!D$14:I$14)</f>
        <v>40</v>
      </c>
      <c r="E6" s="1051">
        <f>IF(B6="","",SUMIF(项目基本情况!D$12:I$12,C6,项目基本情况!D$13:I$13))</f>
        <v>55220</v>
      </c>
      <c r="F6" s="72">
        <f>SUMIF(项目基本情况!D$12:I$12,C6,项目基本情况!D$15:I$15)</f>
        <v>32.56</v>
      </c>
      <c r="G6" s="73">
        <f>IF(ISERROR(ROUND(POWER(1+H6,D6-F6)*(POWER(1+H6,F6)-1)/(POWER(1+H6,D6)-1),3)),0,ROUND(POWER(1+H6,D6-F6)*(POWER(1+H6,F6)-1)/(POWER(1+H6,D6)-1),3))</f>
        <v>0.92800000000000005</v>
      </c>
      <c r="H6" s="802">
        <v>0.05</v>
      </c>
      <c r="I6" s="802">
        <v>5.5E-2</v>
      </c>
      <c r="J6" s="74">
        <v>8.5000000000000006E-2</v>
      </c>
      <c r="K6" s="1254">
        <f>SUMIF('数据-汇总表'!C$19:C$33,A6,'数据-汇总表'!E$19:E$33)</f>
        <v>1398.7300000000002</v>
      </c>
      <c r="L6" s="803">
        <v>2800</v>
      </c>
      <c r="M6" s="75">
        <f t="shared" ref="M6:M14" si="0">ROUND(K6*L6/10000,0)</f>
        <v>392</v>
      </c>
      <c r="N6" s="801">
        <f>ROUND((60-(2018-2014))/60,2)</f>
        <v>0.93</v>
      </c>
      <c r="O6" s="75" t="str">
        <f>IF($N$5="成新度","——",ROUND(M6*N6,0))</f>
        <v>——</v>
      </c>
      <c r="P6" s="76" t="str">
        <f>IF($N$5="成新度","——",M6-O6)</f>
        <v>——</v>
      </c>
      <c r="Q6" s="804">
        <v>0.2</v>
      </c>
      <c r="R6" s="77">
        <f ca="1">SUMIF('数据-汇总表'!C$19:C$33,A6,'数据-汇总表'!R$19:R$27)</f>
        <v>1281.4000000000001</v>
      </c>
      <c r="S6" s="54">
        <f>IF('数据-汇总表'!$I$17="按面积比例",SUMIF('数据-汇总表'!C$19:C$33,A6,'数据-汇总表'!K$19:K$33),SUMIF('数据-汇总表'!C$19:C$33,A6,'数据-汇总表'!N$19:N$33))</f>
        <v>0</v>
      </c>
      <c r="T6" s="1446">
        <f>ROUND($L$14*S6/10000,0)</f>
        <v>0</v>
      </c>
      <c r="U6" s="3007">
        <f>ROUND(租约整理!M36,2)</f>
        <v>5.43</v>
      </c>
      <c r="V6" s="79">
        <v>0</v>
      </c>
      <c r="W6" s="79">
        <v>0</v>
      </c>
      <c r="X6" s="1264"/>
      <c r="Y6" s="80">
        <f>N6</f>
        <v>0.93</v>
      </c>
      <c r="Z6" s="81">
        <f>ROUND(Z19*(1+AA6)^AF6,2)</f>
        <v>6.11</v>
      </c>
      <c r="AA6" s="74">
        <v>0.03</v>
      </c>
      <c r="AB6" s="74">
        <v>0.1</v>
      </c>
      <c r="AC6" s="1264"/>
      <c r="AD6" s="82">
        <f>ROUND((60-(2025-2018))/60,2)</f>
        <v>0.88</v>
      </c>
      <c r="AE6" s="1265">
        <f ca="1">IF(AN6="",0,SUMIF(INDIRECT("'"&amp;AN6&amp;"'"&amp;"!E:E"),$AE$5,INDIRECT("'"&amp;AN6&amp;"'"&amp;"!F:F")))</f>
        <v>32.56</v>
      </c>
      <c r="AF6" s="1807">
        <f>租约整理!M16</f>
        <v>6.79</v>
      </c>
      <c r="AG6" s="147">
        <f ca="1">IF(AF6="",0,AE6-AF6)</f>
        <v>25.770000000000003</v>
      </c>
      <c r="AH6" s="83"/>
      <c r="AI6" s="85">
        <v>365</v>
      </c>
      <c r="AJ6" s="86"/>
      <c r="AK6" s="87">
        <v>1.4999999999999999E-2</v>
      </c>
      <c r="AL6" s="88">
        <v>1.5E-3</v>
      </c>
      <c r="AM6" s="89">
        <v>0.02</v>
      </c>
      <c r="AN6" s="2309" t="s">
        <v>3182</v>
      </c>
      <c r="AO6" s="55">
        <f ca="1">SUMIF(INDIRECT("'"&amp;AN6&amp;"'"&amp;"!A:A"),"总价",INDIRECT("'"&amp;AN6&amp;"'"&amp;"!B:B"))</f>
        <v>3976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0.92800000000000005</v>
      </c>
      <c r="H16" s="99">
        <f>ROUND(SUMPRODUCT(H6:H13,K6:K13)/SUMPRODUCT((H6:H13&gt;0)*(K6:K13)),3)</f>
        <v>0.05</v>
      </c>
      <c r="I16" s="100"/>
      <c r="J16" s="100"/>
      <c r="K16" s="101">
        <f>SUM(K6:K15)</f>
        <v>1398.7300000000002</v>
      </c>
      <c r="L16" s="102">
        <f>ROUND(M16*10000/SUM(K6:K14),0)</f>
        <v>2803</v>
      </c>
      <c r="M16" s="102">
        <f>SUM(M6:M14)</f>
        <v>392</v>
      </c>
      <c r="N16" s="103">
        <f>ROUND(SUMPRODUCT(M6:M14,N6:N14)/M16,3)</f>
        <v>0.93</v>
      </c>
      <c r="O16" s="102">
        <f>SUM(O6:O14)</f>
        <v>0</v>
      </c>
      <c r="P16" s="102">
        <f>SUM(P6:P14)</f>
        <v>0</v>
      </c>
      <c r="Q16" s="104">
        <f>ROUND(SUMPRODUCT(Q6:Q13,K6:K13)/SUMPRODUCT((Q6:Q13&gt;0)*(K6:K13)),2)</f>
        <v>0.2</v>
      </c>
      <c r="R16" s="1258">
        <f ca="1">SUM(R6:R13)</f>
        <v>1281.4000000000001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3008" t="s">
        <v>3181</v>
      </c>
      <c r="Z19" s="1584">
        <v>5</v>
      </c>
      <c r="AA19" s="1584"/>
      <c r="AB19" s="1584"/>
      <c r="AC19" s="1584"/>
      <c r="AD19" s="1584"/>
      <c r="AE19" s="1584"/>
      <c r="AF19" s="1584"/>
      <c r="AG19" s="1584"/>
      <c r="AH19" s="1584"/>
      <c r="AI19" s="1584"/>
      <c r="AJ19" s="1584"/>
      <c r="AK19" s="1584"/>
      <c r="AL19" s="1584"/>
      <c r="AM19" s="1584"/>
    </row>
    <row r="20" spans="1:67" ht="14.25">
      <c r="A20" s="2317" t="s">
        <v>2018</v>
      </c>
      <c r="B20" s="113">
        <v>1</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1</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1</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1</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4.3499999999999997E-2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523</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111" t="s">
        <v>2081</v>
      </c>
      <c r="B1" s="3112"/>
      <c r="C1" s="3112"/>
      <c r="D1" s="3112"/>
      <c r="E1" s="3112"/>
      <c r="F1" s="3112"/>
      <c r="G1" s="311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42.75">
      <c r="A3" s="415" t="s">
        <v>2084</v>
      </c>
      <c r="B3" s="1271" t="s">
        <v>2085</v>
      </c>
      <c r="C3" s="2370"/>
      <c r="D3" s="2371"/>
      <c r="E3" s="431" t="s">
        <v>2084</v>
      </c>
      <c r="F3" s="2372" t="s">
        <v>2086</v>
      </c>
      <c r="G3" s="2373" t="s">
        <v>2087</v>
      </c>
      <c r="H3" s="2368"/>
      <c r="I3" s="2368"/>
      <c r="J3" s="2368"/>
      <c r="K3" s="2368"/>
      <c r="L3" s="2368"/>
      <c r="M3" s="2368"/>
      <c r="N3" s="2368"/>
      <c r="O3" s="2368"/>
      <c r="P3" s="2368"/>
      <c r="Q3" s="2368"/>
      <c r="R3" s="2368"/>
    </row>
    <row r="4" spans="1:29" ht="54">
      <c r="A4" s="431"/>
      <c r="B4" s="1798" t="s">
        <v>2088</v>
      </c>
      <c r="C4" s="3010" t="s">
        <v>3193</v>
      </c>
      <c r="D4" s="2371"/>
      <c r="E4" s="2375"/>
      <c r="F4" s="42" t="s">
        <v>2089</v>
      </c>
      <c r="G4" s="2376" t="s">
        <v>2090</v>
      </c>
      <c r="H4" s="2368"/>
      <c r="I4" s="2368"/>
      <c r="J4" s="2368"/>
      <c r="K4" s="2368"/>
      <c r="L4" s="2368"/>
      <c r="M4" s="2368"/>
      <c r="N4" s="2368"/>
      <c r="O4" s="2368"/>
      <c r="P4" s="2368"/>
      <c r="Q4" s="2368"/>
      <c r="R4" s="2368"/>
    </row>
    <row r="5" spans="1:29" ht="27">
      <c r="A5" s="431"/>
      <c r="B5" s="1798" t="s">
        <v>2091</v>
      </c>
      <c r="C5" s="2374"/>
      <c r="D5" s="2371"/>
      <c r="E5" s="2375"/>
      <c r="F5" s="1798" t="s">
        <v>2092</v>
      </c>
      <c r="G5" s="2376" t="s">
        <v>2093</v>
      </c>
      <c r="H5" s="2368"/>
      <c r="I5" s="2368"/>
      <c r="J5" s="2368"/>
      <c r="K5" s="2368"/>
      <c r="L5" s="2368"/>
      <c r="M5" s="2368"/>
      <c r="N5" s="2368"/>
      <c r="O5" s="2368"/>
      <c r="P5" s="2368"/>
      <c r="Q5" s="2368"/>
      <c r="R5" s="2368"/>
    </row>
    <row r="6" spans="1:29" ht="81">
      <c r="A6" s="431"/>
      <c r="B6" s="1798" t="s">
        <v>2094</v>
      </c>
      <c r="C6" s="3011" t="s">
        <v>3226</v>
      </c>
      <c r="D6" s="2371"/>
      <c r="E6" s="2375"/>
      <c r="F6" s="1798" t="s">
        <v>2095</v>
      </c>
      <c r="G6" s="2376" t="s">
        <v>2096</v>
      </c>
      <c r="H6" s="2368"/>
      <c r="I6" s="2368"/>
      <c r="J6" s="2368"/>
      <c r="K6" s="2368"/>
      <c r="L6" s="2368"/>
      <c r="M6" s="2368"/>
      <c r="N6" s="2368"/>
      <c r="O6" s="2368"/>
      <c r="P6" s="2368"/>
      <c r="Q6" s="2368"/>
      <c r="R6" s="2368"/>
    </row>
    <row r="7" spans="1:29" ht="122.25" thickBot="1">
      <c r="A7" s="431"/>
      <c r="B7" s="1798" t="s">
        <v>2092</v>
      </c>
      <c r="C7" s="3011" t="s">
        <v>3196</v>
      </c>
      <c r="D7" s="2377"/>
      <c r="E7" s="2378"/>
      <c r="F7" s="2379" t="s">
        <v>2097</v>
      </c>
      <c r="G7" s="2380" t="s">
        <v>2098</v>
      </c>
      <c r="H7" s="2368"/>
      <c r="I7" s="2368"/>
      <c r="J7" s="2368"/>
      <c r="K7" s="2368"/>
      <c r="L7" s="2368"/>
      <c r="M7" s="2368"/>
      <c r="N7" s="2368"/>
      <c r="O7" s="2368"/>
      <c r="P7" s="2368"/>
      <c r="Q7" s="2368"/>
      <c r="R7" s="2368"/>
    </row>
    <row r="8" spans="1:29" ht="27">
      <c r="A8" s="431"/>
      <c r="B8" s="1798" t="s">
        <v>2095</v>
      </c>
      <c r="C8" s="3011" t="s">
        <v>3194</v>
      </c>
      <c r="D8" s="2377"/>
      <c r="E8" s="2377"/>
      <c r="F8" s="1136"/>
      <c r="G8" s="1136"/>
      <c r="H8" s="2368"/>
      <c r="I8" s="2368"/>
      <c r="J8" s="2368"/>
      <c r="K8" s="2368"/>
      <c r="L8" s="2368"/>
      <c r="M8" s="2368"/>
      <c r="N8" s="2368"/>
      <c r="O8" s="2368"/>
      <c r="P8" s="2368"/>
      <c r="Q8" s="2368"/>
      <c r="R8" s="2368"/>
    </row>
    <row r="9" spans="1:29" ht="40.5">
      <c r="A9" s="431"/>
      <c r="B9" s="1798" t="s">
        <v>2099</v>
      </c>
      <c r="C9" s="3010" t="s">
        <v>3195</v>
      </c>
      <c r="D9" s="2371"/>
      <c r="E9" s="2377"/>
      <c r="F9" s="1136"/>
      <c r="G9" s="1136"/>
      <c r="H9" s="2368"/>
      <c r="I9" s="2368"/>
      <c r="J9" s="2368"/>
      <c r="K9" s="2368"/>
      <c r="L9" s="2368"/>
      <c r="M9" s="2368"/>
      <c r="N9" s="2368"/>
      <c r="O9" s="2368"/>
      <c r="P9" s="2368"/>
      <c r="Q9" s="2368"/>
      <c r="R9" s="2368"/>
    </row>
    <row r="10" spans="1:29" s="117" customFormat="1" ht="15.75" thickBot="1">
      <c r="A10" s="2381"/>
      <c r="B10" s="2382" t="s">
        <v>2100</v>
      </c>
      <c r="C10" s="3012" t="s">
        <v>3197</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2101</v>
      </c>
      <c r="B13" s="2387"/>
      <c r="C13" s="2387"/>
      <c r="D13" s="2394"/>
      <c r="E13" s="2387"/>
      <c r="F13" s="2387"/>
      <c r="G13" s="2387"/>
    </row>
    <row r="14" spans="1:29" ht="15.75" thickBot="1">
      <c r="A14" s="2398"/>
      <c r="B14" s="2399"/>
      <c r="C14" s="2400" t="s">
        <v>2102</v>
      </c>
      <c r="D14" s="2371"/>
      <c r="E14" s="2401"/>
      <c r="F14" s="2401"/>
      <c r="G14" s="2365" t="s">
        <v>2103</v>
      </c>
    </row>
    <row r="15" spans="1:29" ht="42.75">
      <c r="A15" s="68" t="s">
        <v>2104</v>
      </c>
      <c r="B15" s="1270" t="s">
        <v>2085</v>
      </c>
      <c r="C15" s="2402">
        <f>C3</f>
        <v>0</v>
      </c>
      <c r="D15" s="2371"/>
      <c r="E15" s="2403" t="s">
        <v>2105</v>
      </c>
      <c r="F15" s="1270" t="s">
        <v>2106</v>
      </c>
      <c r="G15" s="135" t="str">
        <f>G3</f>
        <v>估价对象位于XX开发区，园区建设成熟度XX，产业集聚程度XX</v>
      </c>
    </row>
    <row r="16" spans="1:29" ht="57">
      <c r="A16" s="645"/>
      <c r="B16" s="2404" t="s">
        <v>2088</v>
      </c>
      <c r="C16" s="2405" t="str">
        <f>C4</f>
        <v>估价对象位于万兴路，周边商业氛围较不成熟，周边无大型购物场所，人流量一般，商业繁华一般。</v>
      </c>
      <c r="D16" s="2371"/>
      <c r="E16" s="2406"/>
      <c r="F16" s="2407" t="s">
        <v>2089</v>
      </c>
      <c r="G16" s="136" t="str">
        <f>G4</f>
        <v>估价对象周边道路状况、公共交通通达情况、停车便捷程度，综合评价交通便捷度较好</v>
      </c>
    </row>
    <row r="17" spans="1:18" ht="15">
      <c r="A17" s="645"/>
      <c r="B17" s="2404" t="s">
        <v>2091</v>
      </c>
      <c r="C17" s="2405">
        <f>C5</f>
        <v>0</v>
      </c>
      <c r="D17" s="2377"/>
      <c r="E17" s="2406"/>
      <c r="F17" s="2407" t="s">
        <v>2107</v>
      </c>
      <c r="G17" s="1572"/>
    </row>
    <row r="18" spans="1:18" ht="85.5">
      <c r="A18" s="645"/>
      <c r="B18" s="2407" t="s">
        <v>2094</v>
      </c>
      <c r="C18" s="136" t="str">
        <f>C6</f>
        <v>估价对象周边路网密集程度一般，公共交通通达情况较好，有310、565路及地铁14号线等公共交通，停车便捷程度较好，综合评价交通便捷度较好。</v>
      </c>
      <c r="D18" s="2377"/>
      <c r="E18" s="2406"/>
      <c r="F18" s="2407" t="s">
        <v>2097</v>
      </c>
      <c r="G18" s="136" t="str">
        <f>G7</f>
        <v>该园区内是否有污染型企业，绿化情况，卫生条件，整体环境状况判断</v>
      </c>
    </row>
    <row r="19" spans="1:18" ht="40.5">
      <c r="A19" s="645"/>
      <c r="B19" s="2407" t="s">
        <v>2108</v>
      </c>
      <c r="C19" s="3013" t="s">
        <v>3199</v>
      </c>
      <c r="D19" s="2371"/>
      <c r="E19" s="2406"/>
      <c r="F19" s="1798" t="s">
        <v>2092</v>
      </c>
      <c r="G19" s="136" t="str">
        <f>G5</f>
        <v>估价对象所在区域公共配套设施齐备情况</v>
      </c>
    </row>
    <row r="20" spans="1:18" ht="42.75">
      <c r="A20" s="645"/>
      <c r="B20" s="2407" t="s">
        <v>2109</v>
      </c>
      <c r="C20" s="2405" t="str">
        <f>C9</f>
        <v>区域自然环境：休闲公园；人文环境：北京园博园；综合评价环境状况一般。</v>
      </c>
      <c r="D20" s="2377"/>
      <c r="E20" s="2406"/>
      <c r="F20" s="1798" t="s">
        <v>2110</v>
      </c>
      <c r="G20" s="136" t="str">
        <f>G6</f>
        <v>估价对象所在区域基础设施水平</v>
      </c>
    </row>
    <row r="21" spans="1:18" ht="128.25">
      <c r="A21" s="645"/>
      <c r="B21" s="1798" t="s">
        <v>2092</v>
      </c>
      <c r="C21" s="136" t="str">
        <f>C7</f>
        <v>估价对象所在区域周边1.5公里范围内有：银行（北京市农村商业银行、交通银行），购物（家和超市、华联超市），医院（张郭庄村社区卫生服务站），学校（张郭庄幼儿园、槐树岭学校）等，公共配套设施齐备情况较好。</v>
      </c>
      <c r="D21" s="2371"/>
      <c r="E21" s="2406"/>
      <c r="F21" s="2407" t="s">
        <v>2111</v>
      </c>
      <c r="G21" s="2408"/>
    </row>
    <row r="22" spans="1:18" ht="13.5" customHeight="1">
      <c r="A22" s="645"/>
      <c r="B22" s="1798" t="s">
        <v>2095</v>
      </c>
      <c r="C22" s="136" t="str">
        <f>C8</f>
        <v>估价对象所在区域基础设施水平达到“七通”。</v>
      </c>
      <c r="D22" s="2371"/>
      <c r="E22" s="2406"/>
      <c r="F22" s="2407" t="s">
        <v>2100</v>
      </c>
      <c r="G22" s="1572"/>
    </row>
    <row r="23" spans="1:18" s="2368" customFormat="1" ht="15.75" thickBot="1">
      <c r="A23" s="645"/>
      <c r="B23" s="2407" t="s">
        <v>2111</v>
      </c>
      <c r="C23" s="2408" t="s">
        <v>3198</v>
      </c>
      <c r="D23" s="2395"/>
      <c r="E23" s="2409"/>
      <c r="F23" s="2410" t="s">
        <v>2112</v>
      </c>
      <c r="G23" s="2411"/>
      <c r="H23" s="2395"/>
      <c r="I23" s="2396"/>
      <c r="J23" s="2395"/>
      <c r="K23" s="2395"/>
      <c r="L23" s="2396"/>
      <c r="M23" s="2395"/>
      <c r="N23" s="2395"/>
      <c r="O23" s="2396"/>
      <c r="P23" s="2395"/>
      <c r="Q23" s="2395"/>
      <c r="R23" s="2397"/>
    </row>
    <row r="24" spans="1:18" s="2368" customFormat="1" ht="15.75" thickBot="1">
      <c r="A24" s="2412"/>
      <c r="B24" s="2410" t="s">
        <v>2113</v>
      </c>
      <c r="C24" s="137" t="str">
        <f>C10</f>
        <v>城市次干道——园博西二路</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1398.7300000000002</v>
      </c>
      <c r="C1" s="1745"/>
      <c r="D1" s="1745"/>
      <c r="E1" s="1745"/>
      <c r="F1" s="1745"/>
      <c r="G1" s="1743"/>
    </row>
    <row r="2" spans="1:10" ht="16.5">
      <c r="A2" s="1746" t="s">
        <v>1353</v>
      </c>
      <c r="B2" s="1746">
        <f>SUM(C14:C23)</f>
        <v>1281.4000000000001</v>
      </c>
      <c r="C2" s="1745"/>
      <c r="D2" s="1745"/>
      <c r="E2" s="1745"/>
      <c r="F2" s="1745"/>
      <c r="G2" s="1743"/>
    </row>
    <row r="3" spans="1:10" ht="16.5">
      <c r="A3" s="1746" t="s">
        <v>1362</v>
      </c>
      <c r="B3" s="1747">
        <f>项目基本情况!D3</f>
        <v>43335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4479</v>
      </c>
      <c r="C5" s="1746">
        <f ca="1">ROUND(B5*10000/$B$1,0)</f>
        <v>32022</v>
      </c>
      <c r="D5" s="1746">
        <f ca="1">ROUND(B5*10000/$B$2,0)</f>
        <v>34954</v>
      </c>
      <c r="E5" s="1745"/>
      <c r="F5" s="1743"/>
      <c r="G5" s="1743"/>
    </row>
    <row r="6" spans="1:10" ht="16.5">
      <c r="A6" s="1746" t="s">
        <v>1356</v>
      </c>
      <c r="B6" s="1746">
        <f ca="1">SUM(G14:G23)</f>
        <v>4479</v>
      </c>
      <c r="C6" s="1746">
        <f ca="1">ROUND(B6*10000/$B$1,0)</f>
        <v>32022</v>
      </c>
      <c r="D6" s="1746">
        <f ca="1">ROUND(B6*10000/$B$2,0)</f>
        <v>34954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1398.7300000000002</v>
      </c>
      <c r="C14" s="1744">
        <f>结果表!C118</f>
        <v>1281.4000000000001</v>
      </c>
      <c r="D14" s="1744">
        <f ca="1">结果表!H118</f>
        <v>4479</v>
      </c>
      <c r="E14" s="1744">
        <f ca="1">ROUND(D14*10000/B14,0)</f>
        <v>32022</v>
      </c>
      <c r="F14" s="1744">
        <f ca="1">ROUND(D14*10000/C14,0)</f>
        <v>34954</v>
      </c>
      <c r="G14" s="1744">
        <f ca="1">结果表!D122</f>
        <v>4479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18" sqref="D118:I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2114</v>
      </c>
      <c r="B1" s="2418"/>
      <c r="C1" s="2419"/>
      <c r="D1" s="2418"/>
      <c r="E1" s="2418"/>
      <c r="F1" s="2420" t="s">
        <v>2115</v>
      </c>
      <c r="G1" s="2071" t="s">
        <v>3062</v>
      </c>
      <c r="H1" s="2421" t="str">
        <f>IF(G1="现房","——","估价对象范围")</f>
        <v>——</v>
      </c>
      <c r="I1" s="2422"/>
    </row>
    <row r="2" spans="1:12" ht="21.75" customHeight="1" thickBot="1">
      <c r="A2" s="3146" t="str">
        <f>项目基本情况!S2</f>
        <v>北京市丰台区万兴路1号院1号楼房地产</v>
      </c>
      <c r="B2" s="3147"/>
      <c r="C2" s="3147"/>
      <c r="D2" s="3147"/>
      <c r="E2" s="3147"/>
      <c r="F2" s="3147"/>
      <c r="G2" s="3147"/>
      <c r="H2" s="3147"/>
      <c r="I2" s="3148"/>
    </row>
    <row r="3" spans="1:12" ht="12.75">
      <c r="A3" s="3150" t="s">
        <v>2116</v>
      </c>
      <c r="B3" s="3151"/>
      <c r="C3" s="3151"/>
      <c r="D3" s="3151"/>
      <c r="E3" s="3151"/>
      <c r="F3" s="3151"/>
      <c r="G3" s="3151"/>
      <c r="H3" s="3151"/>
      <c r="I3" s="3151"/>
    </row>
    <row r="4" spans="1:12" ht="14.25">
      <c r="A4" s="2425" t="s">
        <v>2117</v>
      </c>
      <c r="B4" s="2426" t="s">
        <v>2118</v>
      </c>
      <c r="C4" s="2427" t="s">
        <v>3257</v>
      </c>
      <c r="D4" s="2427" t="s">
        <v>3182</v>
      </c>
      <c r="E4" s="3143" t="s">
        <v>2119</v>
      </c>
      <c r="F4" s="3144"/>
      <c r="G4" s="3144"/>
      <c r="H4" s="3144"/>
      <c r="I4" s="3152"/>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6" t="s">
        <v>2120</v>
      </c>
      <c r="B5" s="3064">
        <v>25</v>
      </c>
      <c r="C5" s="3129"/>
      <c r="D5" s="3149"/>
      <c r="E5" s="140" t="s">
        <v>2121</v>
      </c>
      <c r="F5" s="2429"/>
      <c r="G5" s="2429"/>
      <c r="H5" s="2429"/>
      <c r="I5" s="1834"/>
    </row>
    <row r="6" spans="1:12" ht="12.75">
      <c r="A6" s="3126"/>
      <c r="B6" s="3064"/>
      <c r="C6" s="3130"/>
      <c r="D6" s="3149"/>
      <c r="E6" s="140" t="s">
        <v>2122</v>
      </c>
      <c r="F6" s="2429"/>
      <c r="G6" s="2429"/>
      <c r="H6" s="2429"/>
      <c r="I6" s="1834"/>
    </row>
    <row r="7" spans="1:12" ht="12.75">
      <c r="A7" s="3126"/>
      <c r="B7" s="3064"/>
      <c r="C7" s="3131"/>
      <c r="D7" s="3149"/>
      <c r="E7" s="140" t="s">
        <v>2123</v>
      </c>
      <c r="F7" s="2429"/>
      <c r="G7" s="2429"/>
      <c r="H7" s="2429"/>
      <c r="I7" s="1834"/>
    </row>
    <row r="8" spans="1:12" ht="12.75">
      <c r="A8" s="3126" t="s">
        <v>2124</v>
      </c>
      <c r="B8" s="3064">
        <v>15</v>
      </c>
      <c r="C8" s="3129"/>
      <c r="D8" s="3149"/>
      <c r="E8" s="140" t="s">
        <v>2125</v>
      </c>
      <c r="F8" s="2429"/>
      <c r="G8" s="2429"/>
      <c r="H8" s="2429"/>
      <c r="I8" s="1834"/>
    </row>
    <row r="9" spans="1:12" ht="12.75">
      <c r="A9" s="3126"/>
      <c r="B9" s="3064"/>
      <c r="C9" s="3131"/>
      <c r="D9" s="3149"/>
      <c r="E9" s="140" t="s">
        <v>2126</v>
      </c>
      <c r="F9" s="2429"/>
      <c r="G9" s="2429"/>
      <c r="H9" s="2429"/>
      <c r="I9" s="1834"/>
    </row>
    <row r="10" spans="1:12" ht="12.75">
      <c r="A10" s="3126" t="s">
        <v>2127</v>
      </c>
      <c r="B10" s="3064">
        <v>15</v>
      </c>
      <c r="C10" s="3129"/>
      <c r="D10" s="3149"/>
      <c r="E10" s="140" t="s">
        <v>2128</v>
      </c>
      <c r="F10" s="2429"/>
      <c r="G10" s="2429"/>
      <c r="H10" s="2429"/>
      <c r="I10" s="1834"/>
    </row>
    <row r="11" spans="1:12" ht="12.75">
      <c r="A11" s="3126"/>
      <c r="B11" s="3064"/>
      <c r="C11" s="3131"/>
      <c r="D11" s="3149"/>
      <c r="E11" s="140" t="s">
        <v>2129</v>
      </c>
      <c r="F11" s="2429"/>
      <c r="G11" s="2429"/>
      <c r="H11" s="2429"/>
      <c r="I11" s="1834"/>
    </row>
    <row r="12" spans="1:12" ht="12.75">
      <c r="A12" s="3126" t="s">
        <v>2130</v>
      </c>
      <c r="B12" s="3064">
        <v>15</v>
      </c>
      <c r="C12" s="3129"/>
      <c r="D12" s="3149"/>
      <c r="E12" s="140" t="s">
        <v>2131</v>
      </c>
      <c r="F12" s="2429"/>
      <c r="G12" s="2429"/>
      <c r="H12" s="2429"/>
      <c r="I12" s="1834"/>
    </row>
    <row r="13" spans="1:12" ht="12.75">
      <c r="A13" s="3126"/>
      <c r="B13" s="3064"/>
      <c r="C13" s="3131"/>
      <c r="D13" s="3149"/>
      <c r="E13" s="140" t="s">
        <v>2132</v>
      </c>
      <c r="F13" s="2429"/>
      <c r="G13" s="2429"/>
      <c r="H13" s="2429"/>
      <c r="I13" s="1834"/>
    </row>
    <row r="14" spans="1:12" ht="12.75">
      <c r="A14" s="3126" t="s">
        <v>2133</v>
      </c>
      <c r="B14" s="3064">
        <v>30</v>
      </c>
      <c r="C14" s="3129">
        <v>5</v>
      </c>
      <c r="D14" s="3149">
        <v>5</v>
      </c>
      <c r="E14" s="140" t="s">
        <v>2134</v>
      </c>
      <c r="F14" s="2429"/>
      <c r="G14" s="2429"/>
      <c r="H14" s="2429"/>
      <c r="I14" s="1834"/>
    </row>
    <row r="15" spans="1:12" ht="12.75">
      <c r="A15" s="3126"/>
      <c r="B15" s="3064"/>
      <c r="C15" s="3130"/>
      <c r="D15" s="3149"/>
      <c r="E15" s="140" t="s">
        <v>2135</v>
      </c>
      <c r="F15" s="2429"/>
      <c r="G15" s="2429"/>
      <c r="H15" s="2429"/>
      <c r="I15" s="1834"/>
    </row>
    <row r="16" spans="1:12" ht="12.75">
      <c r="A16" s="3126"/>
      <c r="B16" s="3064"/>
      <c r="C16" s="3131"/>
      <c r="D16" s="3149"/>
      <c r="E16" s="140" t="s">
        <v>2136</v>
      </c>
      <c r="F16" s="2429"/>
      <c r="G16" s="2429"/>
      <c r="H16" s="2429"/>
      <c r="I16" s="1834"/>
    </row>
    <row r="17" spans="1:35" ht="15">
      <c r="A17" s="2430" t="s">
        <v>2137</v>
      </c>
      <c r="B17" s="64"/>
      <c r="C17" s="141">
        <f>SUM(C5:C16)</f>
        <v>5</v>
      </c>
      <c r="D17" s="141">
        <f>SUM(D5:D16)</f>
        <v>5</v>
      </c>
      <c r="E17" s="138"/>
      <c r="F17" s="138"/>
      <c r="G17" s="138"/>
      <c r="H17" s="138"/>
      <c r="I17" s="138"/>
      <c r="K17" s="2428"/>
      <c r="L17" s="2431" t="s">
        <v>2138</v>
      </c>
      <c r="M17" s="2431" t="s">
        <v>2139</v>
      </c>
    </row>
    <row r="18" spans="1:35" ht="15.75" thickBot="1">
      <c r="A18" s="2432" t="s">
        <v>2140</v>
      </c>
      <c r="B18" s="2433"/>
      <c r="C18" s="142">
        <f>ROUND(C17/SUM(C17:D17),2)</f>
        <v>0.5</v>
      </c>
      <c r="D18" s="142">
        <f>1-C18</f>
        <v>0.5</v>
      </c>
      <c r="E18" s="138"/>
      <c r="F18" s="138"/>
      <c r="G18" s="138"/>
      <c r="H18" s="138"/>
      <c r="I18" s="138"/>
      <c r="K18" s="2428" t="s">
        <v>2141</v>
      </c>
      <c r="L18" s="2428">
        <f>IF(C1="",'数据-汇总表'!E3,SUMIF(项目类型,C1,'数据-汇总表'!E17:E26)+SUMIF(项目类型,C1,'数据-汇总表'!I17:I26))</f>
        <v>1398.7300000000002</v>
      </c>
      <c r="M18" s="2428">
        <f>IF(C1="",'数据-汇总表'!E3,SUMIF(项目类型,C1,'数据-汇总表'!E17:E26))</f>
        <v>1398.7300000000002</v>
      </c>
    </row>
    <row r="19" spans="1:35" ht="15">
      <c r="A19" s="2434" t="s">
        <v>2142</v>
      </c>
      <c r="B19" s="2435" t="s">
        <v>2143</v>
      </c>
      <c r="C19" s="143">
        <f ca="1">SUMIF(INDIRECT("'"&amp;C4&amp;"'"&amp;"!A:A"),结果表!B19,INDIRECT("'"&amp;C4&amp;"'"&amp;"!B:B"))</f>
        <v>4982</v>
      </c>
      <c r="D19" s="144">
        <f ca="1">SUMIF(INDIRECT("'"&amp;D4&amp;"'"&amp;"!A:A"),结果表!B19,INDIRECT("'"&amp;D4&amp;"'"&amp;"!B:B"))</f>
        <v>3976</v>
      </c>
      <c r="E19" s="2434" t="s">
        <v>2144</v>
      </c>
      <c r="F19" s="2435" t="s">
        <v>2143</v>
      </c>
      <c r="G19" s="145">
        <f ca="1">ROUND(C19*$C$18+D19*$D$18,0)</f>
        <v>4479</v>
      </c>
      <c r="H19" s="2436" t="s">
        <v>2145</v>
      </c>
      <c r="I19" s="138"/>
      <c r="K19" s="2428" t="s">
        <v>2146</v>
      </c>
      <c r="L19" s="2428">
        <f>IF(C1="",'数据-汇总表'!D3,SUMIF(项目类型,C1,'数据-汇总表'!D17:D26)+SUMIF(项目类型,C1,'数据-汇总表'!H17:H27))</f>
        <v>1281.4000000000001</v>
      </c>
      <c r="M19" s="2428">
        <f>IF(C1="",'数据-汇总表'!D3,SUMIF(项目类型,C1,'数据-汇总表'!D17:D26))</f>
        <v>1281.4000000000001</v>
      </c>
    </row>
    <row r="20" spans="1:35" ht="15">
      <c r="A20" s="2437"/>
      <c r="B20" s="1250" t="s">
        <v>2147</v>
      </c>
      <c r="C20" s="146">
        <f ca="1">SUMIF(INDIRECT("'"&amp;C4&amp;"'"&amp;"!A:A"),结果表!B20,INDIRECT("'"&amp;C4&amp;"'"&amp;"!B:B"))</f>
        <v>35618</v>
      </c>
      <c r="D20" s="147">
        <f ca="1">SUMIF(INDIRECT("'"&amp;D4&amp;"'"&amp;"!A:A"),结果表!B20,INDIRECT("'"&amp;D4&amp;"'"&amp;"!B:B"))</f>
        <v>28426</v>
      </c>
      <c r="E20" s="2437"/>
      <c r="F20" s="1250" t="s">
        <v>2147</v>
      </c>
      <c r="G20" s="148">
        <f ca="1">ROUND(C20*$C$18+D20*$D$18,0)</f>
        <v>32022</v>
      </c>
      <c r="H20" s="983" t="s">
        <v>2148</v>
      </c>
      <c r="I20" s="138"/>
    </row>
    <row r="21" spans="1:35" ht="15" customHeight="1" thickBot="1">
      <c r="A21" s="1003"/>
      <c r="B21" s="2438" t="s">
        <v>2149</v>
      </c>
      <c r="C21" s="789">
        <f ca="1">ROUND(C19*10000/L19,0)</f>
        <v>38879</v>
      </c>
      <c r="D21" s="790">
        <f ca="1">ROUND(D19*10000/L19,0)</f>
        <v>31029</v>
      </c>
      <c r="E21" s="1003"/>
      <c r="F21" s="2438" t="s">
        <v>2149</v>
      </c>
      <c r="G21" s="149">
        <f ca="1">ROUND(G19*10000/L19,0)</f>
        <v>34954</v>
      </c>
      <c r="H21" s="2439" t="s">
        <v>2148</v>
      </c>
      <c r="I21" s="138"/>
    </row>
    <row r="22" spans="1:35" ht="15" thickBot="1">
      <c r="A22" s="2281" t="s">
        <v>2150</v>
      </c>
      <c r="B22" s="2440"/>
      <c r="C22" s="2441"/>
      <c r="D22" s="791">
        <f ca="1">IF(C19&lt;D19,D19/C19-1,C19/D19-1)</f>
        <v>0.25301810865191143</v>
      </c>
      <c r="E22" s="138"/>
      <c r="F22" s="138"/>
      <c r="G22" s="138"/>
      <c r="H22" s="138"/>
      <c r="I22" s="138"/>
    </row>
    <row r="23" spans="1:35" ht="13.5" thickBot="1">
      <c r="A23" s="2418"/>
      <c r="B23" s="2418"/>
      <c r="C23" s="2418"/>
      <c r="D23" s="2418"/>
      <c r="E23" s="138"/>
      <c r="F23" s="138"/>
      <c r="G23" s="138"/>
      <c r="H23" s="138"/>
      <c r="I23" s="138"/>
    </row>
    <row r="24" spans="1:35" ht="14.25">
      <c r="A24" s="3120" t="s">
        <v>2151</v>
      </c>
      <c r="B24" s="2435" t="s">
        <v>2143</v>
      </c>
      <c r="C24" s="145">
        <f>IF(B30=0,0,D30)</f>
        <v>0</v>
      </c>
      <c r="D24" s="2442"/>
      <c r="E24" s="138"/>
      <c r="F24" s="138"/>
      <c r="G24" s="138"/>
      <c r="H24" s="138"/>
      <c r="I24" s="138"/>
    </row>
    <row r="25" spans="1:35" ht="14.25">
      <c r="A25" s="3121"/>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4479</v>
      </c>
      <c r="D32" s="2449" t="s">
        <v>2158</v>
      </c>
      <c r="E32" s="138"/>
      <c r="F32" s="138"/>
      <c r="G32" s="138"/>
      <c r="H32" s="138"/>
      <c r="I32" s="138"/>
    </row>
    <row r="33" spans="1:15" ht="15">
      <c r="A33" s="960" t="s">
        <v>2159</v>
      </c>
      <c r="B33" s="2450"/>
      <c r="C33" s="2451" t="s">
        <v>3258</v>
      </c>
      <c r="D33" s="2452" t="s">
        <v>3182</v>
      </c>
      <c r="E33" s="2453" t="s">
        <v>2160</v>
      </c>
      <c r="F33" s="2454" t="str">
        <f>IF(D32="楼面单价","取值（单价）","取值（总价）")</f>
        <v>取值（总价）</v>
      </c>
      <c r="G33" s="138"/>
      <c r="H33" s="138"/>
      <c r="I33" s="138"/>
    </row>
    <row r="34" spans="1:15" ht="15">
      <c r="A34" s="2455"/>
      <c r="B34" s="2456" t="s">
        <v>2161</v>
      </c>
      <c r="C34" s="157">
        <f ca="1">IF(C33="自定义",F34,C32-C35)</f>
        <v>3489</v>
      </c>
      <c r="D34" s="1058">
        <f ca="1">IF(C33="自定义",ROUND(C34/C32,3),IF(C33="收益比率",SUMIF(INDIRECT("'"&amp;D33&amp;"'"&amp;"!b:b"),"土地收益比率",INDIRECT("'"&amp;D33&amp;"'"&amp;"!c:c")),SUMIF(INDIRECT("'"&amp;D33&amp;"'"&amp;"!b:b"),"土地成本比率",INDIRECT("'"&amp;D33&amp;"'"&amp;"!c:c"))))</f>
        <v>0.77900000000000003</v>
      </c>
      <c r="E34" s="2457" t="s">
        <v>2162</v>
      </c>
      <c r="F34" s="1739"/>
      <c r="G34" s="138"/>
      <c r="H34" s="138"/>
      <c r="I34" s="138"/>
    </row>
    <row r="35" spans="1:15" ht="15.75" thickBot="1">
      <c r="A35" s="2458"/>
      <c r="B35" s="2459" t="s">
        <v>2163</v>
      </c>
      <c r="C35" s="1444">
        <f ca="1">IF(C33="自定义",F35,ROUND(C32*D35,0))</f>
        <v>990</v>
      </c>
      <c r="D35" s="1445">
        <f ca="1">IF(C33="自定义",ROUND(C35/C32,3),IF(C33="收益比率",SUMIF(INDIRECT("'"&amp;D33&amp;"'"&amp;"!b:b"),"建筑物收益比率",INDIRECT("'"&amp;D33&amp;"'"&amp;"!c:c")),SUMIF(INDIRECT("'"&amp;D33&amp;"'"&amp;"!b:b"),"建筑物成本比率",INDIRECT("'"&amp;D33&amp;"'"&amp;"!c:c"))))</f>
        <v>0.221</v>
      </c>
      <c r="E35" s="2460" t="s">
        <v>2164</v>
      </c>
      <c r="F35" s="163"/>
      <c r="G35" s="138"/>
      <c r="H35" s="138"/>
      <c r="I35" s="138"/>
    </row>
    <row r="36" spans="1:15" ht="15.75" thickBot="1">
      <c r="A36" s="3138" t="s">
        <v>2165</v>
      </c>
      <c r="B36" s="2461" t="s">
        <v>2166</v>
      </c>
      <c r="C36" s="154"/>
      <c r="D36" s="2462"/>
      <c r="E36" s="2463"/>
      <c r="F36" s="2464"/>
      <c r="G36" s="138"/>
      <c r="H36" s="138"/>
      <c r="I36" s="138"/>
    </row>
    <row r="37" spans="1:15" ht="15.75" thickBot="1">
      <c r="A37" s="3139"/>
      <c r="B37" s="2267" t="s">
        <v>2167</v>
      </c>
      <c r="C37" s="156"/>
      <c r="D37" s="1395"/>
      <c r="E37" s="1395"/>
      <c r="F37" s="2464"/>
      <c r="G37" s="138"/>
      <c r="H37" s="138"/>
      <c r="I37" s="138"/>
    </row>
    <row r="38" spans="1:15" ht="15.75" thickBot="1">
      <c r="A38" s="3140"/>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17" t="s">
        <v>2179</v>
      </c>
      <c r="B45" s="3118"/>
      <c r="C45" s="3119"/>
      <c r="D45" s="164">
        <f ca="1">ROUND(H101*F45,0)</f>
        <v>4479</v>
      </c>
      <c r="E45" s="165" t="s">
        <v>2180</v>
      </c>
      <c r="F45" s="166">
        <v>1</v>
      </c>
      <c r="G45" s="167" t="s">
        <v>2181</v>
      </c>
      <c r="H45" s="138"/>
      <c r="I45" s="138"/>
      <c r="J45" s="3177" t="s">
        <v>2182</v>
      </c>
      <c r="K45" s="3177"/>
      <c r="L45" s="3177"/>
      <c r="M45" s="3177"/>
      <c r="N45" s="3177"/>
      <c r="O45" s="3177"/>
    </row>
    <row r="46" spans="1:15" ht="14.25" customHeight="1">
      <c r="A46" s="3114" t="s">
        <v>2183</v>
      </c>
      <c r="B46" s="3115"/>
      <c r="C46" s="3115"/>
      <c r="D46" s="3115"/>
      <c r="E46" s="3115"/>
      <c r="F46" s="3115"/>
      <c r="G46" s="3116"/>
      <c r="H46" s="2480"/>
      <c r="I46" s="168"/>
      <c r="J46" s="1812">
        <v>1</v>
      </c>
      <c r="K46" s="3177" t="s">
        <v>2184</v>
      </c>
      <c r="L46" s="3177"/>
      <c r="M46" s="3197"/>
      <c r="N46" s="3197"/>
      <c r="O46" s="3197"/>
    </row>
    <row r="47" spans="1:15" ht="12" customHeight="1">
      <c r="A47" s="169" t="s">
        <v>2185</v>
      </c>
      <c r="B47" s="170"/>
      <c r="C47" s="171"/>
      <c r="D47" s="172" t="s">
        <v>2186</v>
      </c>
      <c r="E47" s="24" t="s">
        <v>2187</v>
      </c>
      <c r="F47" s="173" t="s">
        <v>2188</v>
      </c>
      <c r="G47" s="174" t="s">
        <v>2189</v>
      </c>
      <c r="H47" s="2480"/>
      <c r="I47" s="168"/>
      <c r="J47" s="1812">
        <v>2</v>
      </c>
      <c r="K47" s="3177" t="s">
        <v>2190</v>
      </c>
      <c r="L47" s="3177"/>
      <c r="M47" s="3198">
        <f>'数据-取费表'!B2</f>
        <v>43335</v>
      </c>
      <c r="N47" s="3198"/>
      <c r="O47" s="3198"/>
    </row>
    <row r="48" spans="1:15" ht="25.5">
      <c r="A48" s="3145" t="s">
        <v>2191</v>
      </c>
      <c r="B48" s="3128"/>
      <c r="C48" s="3128"/>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177" t="s">
        <v>2194</v>
      </c>
      <c r="L48" s="3177"/>
      <c r="M48" s="3199">
        <f ca="1">H101</f>
        <v>4479</v>
      </c>
      <c r="N48" s="3199"/>
      <c r="O48" s="3199"/>
    </row>
    <row r="49" spans="1:35" ht="25.5" customHeight="1">
      <c r="A49" s="176" t="s">
        <v>2195</v>
      </c>
      <c r="B49" s="3113" t="s">
        <v>2196</v>
      </c>
      <c r="C49" s="3113"/>
      <c r="D49" s="177">
        <v>0</v>
      </c>
      <c r="E49" s="23" t="s">
        <v>2197</v>
      </c>
      <c r="F49" s="28" t="s">
        <v>34</v>
      </c>
      <c r="G49" s="3183"/>
      <c r="H49" s="138"/>
      <c r="I49" s="2483"/>
      <c r="J49" s="1812">
        <v>4</v>
      </c>
      <c r="K49" s="3177" t="str">
        <f>IF(项目基本情况!E8="房地产抵押价值","房地产抵押价值","抵押担保权已注销时的房地产抵押价值")</f>
        <v>房地产抵押价值</v>
      </c>
      <c r="L49" s="3177"/>
      <c r="M49" s="3199">
        <f ca="1">IF(项目基本情况!E8="房地产抵押价值",H107,H109)</f>
        <v>4479</v>
      </c>
      <c r="N49" s="3199"/>
      <c r="O49" s="3199"/>
    </row>
    <row r="50" spans="1:35" ht="25.5" customHeight="1">
      <c r="A50" s="178"/>
      <c r="B50" s="3113" t="s">
        <v>2198</v>
      </c>
      <c r="C50" s="3113"/>
      <c r="D50" s="179"/>
      <c r="E50" s="31"/>
      <c r="F50" s="180"/>
      <c r="G50" s="3184"/>
      <c r="H50" s="138"/>
      <c r="I50" s="2483"/>
      <c r="J50" s="3177" t="s">
        <v>2199</v>
      </c>
      <c r="K50" s="3177"/>
      <c r="L50" s="3177"/>
      <c r="M50" s="3177"/>
      <c r="N50" s="3177"/>
      <c r="O50" s="3177"/>
    </row>
    <row r="51" spans="1:35" ht="12" customHeight="1">
      <c r="A51" s="181"/>
      <c r="B51" s="3113" t="s">
        <v>2200</v>
      </c>
      <c r="C51" s="3113"/>
      <c r="D51" s="182"/>
      <c r="E51" s="30"/>
      <c r="F51" s="180"/>
      <c r="G51" s="3185"/>
      <c r="H51" s="138"/>
      <c r="I51" s="2483"/>
      <c r="J51" s="2484" t="s">
        <v>2201</v>
      </c>
      <c r="K51" s="3177" t="s">
        <v>2202</v>
      </c>
      <c r="L51" s="3177"/>
      <c r="M51" s="2484" t="s">
        <v>2203</v>
      </c>
      <c r="N51" s="2484" t="s">
        <v>2204</v>
      </c>
      <c r="O51" s="2484" t="s">
        <v>2205</v>
      </c>
    </row>
    <row r="52" spans="1:35" ht="24" customHeight="1">
      <c r="A52" s="183" t="s">
        <v>2206</v>
      </c>
      <c r="B52" s="3113" t="s">
        <v>2207</v>
      </c>
      <c r="C52" s="3113"/>
      <c r="D52" s="182">
        <f ca="1">ROUND(D45*'数据-取费表'!B41/(1+'数据-取费表'!C42),0)</f>
        <v>239</v>
      </c>
      <c r="E52" s="11" t="s">
        <v>2208</v>
      </c>
      <c r="F52" s="184">
        <f>'数据-取费表'!B41</f>
        <v>5.6000000000000001E-2</v>
      </c>
      <c r="G52" s="2485"/>
      <c r="H52" s="138"/>
      <c r="I52" s="2483"/>
      <c r="J52" s="1812">
        <v>1</v>
      </c>
      <c r="K52" s="3178" t="s">
        <v>2209</v>
      </c>
      <c r="L52" s="3178"/>
      <c r="M52" s="1754">
        <f>D48</f>
        <v>0</v>
      </c>
      <c r="N52" s="1812" t="str">
        <f>E48</f>
        <v>销售额×税（费）率</v>
      </c>
      <c r="O52" s="1755" t="str">
        <f>F48</f>
        <v>免征</v>
      </c>
    </row>
    <row r="53" spans="1:35" ht="12" customHeight="1">
      <c r="A53" s="183" t="s">
        <v>2210</v>
      </c>
      <c r="B53" s="3136" t="s">
        <v>2211</v>
      </c>
      <c r="C53" s="3137"/>
      <c r="D53" s="182">
        <f ca="1">ROUND(D45*'数据-取费表'!B41/(1+'数据-取费表'!C42),0)</f>
        <v>239</v>
      </c>
      <c r="E53" s="11" t="s">
        <v>2208</v>
      </c>
      <c r="F53" s="184">
        <f>'数据-取费表'!B41</f>
        <v>5.6000000000000001E-2</v>
      </c>
      <c r="G53" s="2485"/>
      <c r="H53" s="138"/>
      <c r="I53" s="2483"/>
      <c r="J53" s="1812">
        <v>2</v>
      </c>
      <c r="K53" s="3178" t="s">
        <v>2212</v>
      </c>
      <c r="L53" s="3178"/>
      <c r="M53" s="1754">
        <f t="shared" ref="M53:O54" ca="1" si="0">D55</f>
        <v>2</v>
      </c>
      <c r="N53" s="1812" t="str">
        <f t="shared" si="0"/>
        <v>销售额×税（费）率</v>
      </c>
      <c r="O53" s="1755">
        <f t="shared" si="0"/>
        <v>5.0000000000000001E-4</v>
      </c>
    </row>
    <row r="54" spans="1:35" ht="12" customHeight="1">
      <c r="A54" s="183" t="s">
        <v>2213</v>
      </c>
      <c r="B54" s="3136" t="s">
        <v>2214</v>
      </c>
      <c r="C54" s="3137"/>
      <c r="D54" s="182">
        <f ca="1">C68</f>
        <v>239</v>
      </c>
      <c r="E54" s="30" t="s">
        <v>2215</v>
      </c>
      <c r="F54" s="184">
        <f>'数据-取费表'!B41</f>
        <v>5.6000000000000001E-2</v>
      </c>
      <c r="G54" s="2485"/>
      <c r="H54" s="2486"/>
      <c r="I54" s="2483"/>
      <c r="J54" s="1812">
        <v>3</v>
      </c>
      <c r="K54" s="3178" t="s">
        <v>2216</v>
      </c>
      <c r="L54" s="3178"/>
      <c r="M54" s="1754">
        <f t="shared" ca="1" si="0"/>
        <v>2535</v>
      </c>
      <c r="N54" s="1812" t="str">
        <f t="shared" si="0"/>
        <v>增值额×税（费）率</v>
      </c>
      <c r="O54" s="1756" t="str">
        <f t="shared" si="0"/>
        <v>——</v>
      </c>
    </row>
    <row r="55" spans="1:35" ht="24" customHeight="1">
      <c r="A55" s="3127" t="s">
        <v>2217</v>
      </c>
      <c r="B55" s="3128"/>
      <c r="C55" s="3128"/>
      <c r="D55" s="185">
        <f ca="1">IF(H55="个人住宅",0,ROUND(D45*I55,0))</f>
        <v>2</v>
      </c>
      <c r="E55" s="11" t="s">
        <v>2218</v>
      </c>
      <c r="F55" s="184">
        <f>IF(H55="正常",I55,"免征")</f>
        <v>5.0000000000000001E-4</v>
      </c>
      <c r="G55" s="2485"/>
      <c r="H55" s="2482" t="s">
        <v>2219</v>
      </c>
      <c r="I55" s="186">
        <f>'数据-取费表'!B49</f>
        <v>5.0000000000000001E-4</v>
      </c>
      <c r="J55" s="1812" t="str">
        <f>IF(H59="非个人房产","",4)</f>
        <v/>
      </c>
      <c r="K55" s="3178" t="str">
        <f>IF(H59="非个人房产","——","个人所得税")</f>
        <v>——</v>
      </c>
      <c r="L55" s="3178"/>
      <c r="M55" s="1757" t="str">
        <f>D59</f>
        <v>——</v>
      </c>
      <c r="N55" s="1810" t="str">
        <f>E59</f>
        <v>——</v>
      </c>
      <c r="O55" s="1758" t="str">
        <f>F59</f>
        <v>——</v>
      </c>
    </row>
    <row r="56" spans="1:35" ht="24.75">
      <c r="A56" s="3127" t="s">
        <v>2220</v>
      </c>
      <c r="B56" s="3128"/>
      <c r="C56" s="3128"/>
      <c r="D56" s="185">
        <f ca="1">IF(H56="个人住宅",D57,D58)</f>
        <v>2535</v>
      </c>
      <c r="E56" s="11" t="s">
        <v>2221</v>
      </c>
      <c r="F56" s="184" t="str">
        <f>IF(H56="正常",F58,"免征")</f>
        <v>——</v>
      </c>
      <c r="G56" s="2487" t="s">
        <v>2222</v>
      </c>
      <c r="H56" s="2488" t="s">
        <v>2219</v>
      </c>
      <c r="I56" s="2489"/>
      <c r="J56" s="1812" t="str">
        <f>IF(项目基本情况!K6="上海银行",IF(J55="",4,J55+1),"")</f>
        <v/>
      </c>
      <c r="K56" s="3201" t="str">
        <f>IF(项目基本情况!K6="上海银行","其他处置费用","")</f>
        <v/>
      </c>
      <c r="L56" s="3202"/>
      <c r="M56" s="1754" t="str">
        <f>IF(项目基本情况!K6="上海银行",M69,"")</f>
        <v/>
      </c>
      <c r="N56" s="3204" t="str">
        <f>IF(项目基本情况!K6="上海银行","包含处置中涉及的律师、诉讼、拍卖、评估等费用","")</f>
        <v/>
      </c>
      <c r="O56" s="3205"/>
    </row>
    <row r="57" spans="1:35" ht="12.75">
      <c r="A57" s="183" t="s">
        <v>2195</v>
      </c>
      <c r="B57" s="3143" t="s">
        <v>2223</v>
      </c>
      <c r="C57" s="3152"/>
      <c r="D57" s="187">
        <v>0</v>
      </c>
      <c r="E57" s="23" t="s">
        <v>2197</v>
      </c>
      <c r="F57" s="155"/>
      <c r="G57" s="2485"/>
      <c r="H57" s="2489"/>
      <c r="I57" s="2489"/>
      <c r="J57" s="3178">
        <f>IF(AND(J55="",J56=""),4,IF(项目基本情况!K6="上海银行",结果表!J56+1,结果表!J55+1))</f>
        <v>4</v>
      </c>
      <c r="K57" s="3178" t="s">
        <v>2224</v>
      </c>
      <c r="L57" s="2490" t="s">
        <v>2225</v>
      </c>
      <c r="M57" s="1759"/>
      <c r="N57" s="1760">
        <f ca="1">SUMIF(M52:M56,"&lt;9e307")</f>
        <v>2537</v>
      </c>
      <c r="O57" s="2491"/>
      <c r="P57" s="1753">
        <f ca="1">N57/M49</f>
        <v>0.56642107613306547</v>
      </c>
    </row>
    <row r="58" spans="1:35" ht="24.75">
      <c r="A58" s="183" t="s">
        <v>2206</v>
      </c>
      <c r="B58" s="3143" t="s">
        <v>2226</v>
      </c>
      <c r="C58" s="3144"/>
      <c r="D58" s="185">
        <f ca="1">IF(H58="转让取得",C81,C97)</f>
        <v>2535</v>
      </c>
      <c r="E58" s="11" t="s">
        <v>2221</v>
      </c>
      <c r="F58" s="24" t="s">
        <v>34</v>
      </c>
      <c r="G58" s="2485"/>
      <c r="H58" s="2488" t="s">
        <v>2227</v>
      </c>
      <c r="I58" s="2489"/>
      <c r="J58" s="3178"/>
      <c r="K58" s="3178"/>
      <c r="L58" s="2490" t="s">
        <v>2228</v>
      </c>
      <c r="M58" s="1761"/>
      <c r="N58" s="2492" t="str">
        <f ca="1">NUMBERSTRING(INT(N57*10000),2)&amp;"元整"</f>
        <v>贰仟伍佰叁拾柒万元整</v>
      </c>
      <c r="O58" s="2493"/>
    </row>
    <row r="59" spans="1:35" ht="24.75" thickBot="1">
      <c r="A59" s="3181" t="s">
        <v>2229</v>
      </c>
      <c r="B59" s="3182"/>
      <c r="C59" s="3182"/>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79">
        <f>J57+1</f>
        <v>5</v>
      </c>
      <c r="K59" s="3178" t="s">
        <v>2231</v>
      </c>
      <c r="L59" s="1812" t="s">
        <v>2225</v>
      </c>
      <c r="M59" s="1762"/>
      <c r="N59" s="1763">
        <f ca="1">M49-N57</f>
        <v>1942</v>
      </c>
      <c r="O59" s="2495"/>
    </row>
    <row r="60" spans="1:35" ht="12" customHeight="1">
      <c r="A60" s="2496"/>
      <c r="B60" s="2418"/>
      <c r="C60" s="2418"/>
      <c r="D60" s="2418"/>
      <c r="E60" s="2166"/>
      <c r="F60" s="2489"/>
      <c r="G60" s="2489"/>
      <c r="H60" s="2497"/>
      <c r="I60" s="138"/>
      <c r="J60" s="3180"/>
      <c r="K60" s="3178"/>
      <c r="L60" s="2490" t="s">
        <v>2228</v>
      </c>
      <c r="M60" s="1761"/>
      <c r="N60" s="2492" t="str">
        <f ca="1">NUMBERSTRING(INT(N59*10000),2)&amp;"元整"</f>
        <v>壹仟玖佰肆拾贰万元整</v>
      </c>
      <c r="O60" s="2493"/>
    </row>
    <row r="61" spans="1:35" ht="13.5" thickBot="1">
      <c r="A61" s="3125" t="s">
        <v>2232</v>
      </c>
      <c r="B61" s="3125"/>
      <c r="C61" s="3125"/>
      <c r="D61" s="3125"/>
      <c r="E61" s="3125"/>
      <c r="F61" s="2489"/>
      <c r="G61" s="2489"/>
      <c r="H61" s="2497"/>
      <c r="I61" s="138"/>
      <c r="J61" s="1812">
        <f>J59+1</f>
        <v>6</v>
      </c>
      <c r="K61" s="3178" t="s">
        <v>2233</v>
      </c>
      <c r="L61" s="3178"/>
      <c r="M61" s="1764"/>
      <c r="N61" s="1765">
        <f ca="1">ROUND(N59*10000/'数据-汇总表'!E3,0)</f>
        <v>13884</v>
      </c>
      <c r="O61" s="2498"/>
    </row>
    <row r="62" spans="1:35" ht="12.75">
      <c r="A62" s="3141" t="s">
        <v>2234</v>
      </c>
      <c r="B62" s="3142"/>
      <c r="C62" s="1804"/>
      <c r="D62" s="1804" t="s">
        <v>2235</v>
      </c>
      <c r="E62" s="192" t="s">
        <v>2236</v>
      </c>
      <c r="F62" s="2489"/>
      <c r="G62" s="2489"/>
      <c r="H62" s="2497"/>
      <c r="I62" s="138"/>
    </row>
    <row r="63" spans="1:35" ht="12.75">
      <c r="A63" s="203" t="s">
        <v>775</v>
      </c>
      <c r="B63" s="193" t="s">
        <v>2237</v>
      </c>
      <c r="C63" s="194">
        <f ca="1">ROUND((C64+C65)/(1+'数据-取费表'!C42),0)</f>
        <v>4266</v>
      </c>
      <c r="D63" s="195"/>
      <c r="E63" s="196"/>
      <c r="F63" s="2489"/>
      <c r="G63" s="2489"/>
      <c r="H63" s="2497"/>
      <c r="I63" s="138"/>
      <c r="J63" s="3203" t="s">
        <v>2238</v>
      </c>
      <c r="K63" s="2499" t="s">
        <v>2239</v>
      </c>
      <c r="L63" s="1752">
        <f ca="1">IF(M49&gt;10000,M49*0.5%,IF(AND(M49&gt;1000,M49&lt;=10000),M49*1%,IF(AND(M49&gt;100,M49&lt;=1000),M49*3%,IF(AND(M49&gt;10,M49&lt;=100),M49*5%,M49*8%))))</f>
        <v>44.79</v>
      </c>
      <c r="M63" s="24">
        <f ca="1">ROUND(L63,1)</f>
        <v>44.8</v>
      </c>
      <c r="Z63" s="2423"/>
      <c r="AI63" s="2424"/>
    </row>
    <row r="64" spans="1:35" ht="14.25" customHeight="1">
      <c r="A64" s="197" t="s">
        <v>770</v>
      </c>
      <c r="B64" s="198" t="s">
        <v>2240</v>
      </c>
      <c r="C64" s="199">
        <f ca="1">D45</f>
        <v>4479</v>
      </c>
      <c r="D64" s="200" t="s">
        <v>32</v>
      </c>
      <c r="E64" s="201"/>
      <c r="F64" s="2489"/>
      <c r="G64" s="2489"/>
      <c r="H64" s="2497"/>
      <c r="I64" s="138"/>
      <c r="J64" s="3203"/>
      <c r="K64" s="2499" t="s">
        <v>2241</v>
      </c>
      <c r="L64" s="1752">
        <f ca="1">IF(M49&gt;2000,M49*0.5%,IF(AND(M49&gt;1000,M49&lt;=2000),M49*0.6%,IF(AND(M49&gt;500,M49&lt;=1000),M49*0.7%,IF(AND(M49&gt;200,M49&lt;=500),M49*0.8%,IF(AND(M49&gt;100,M49&lt;=200),M49*0.9%,IF(AND(M49&gt;50,M49&lt;=100),M49*1%,IF(AND(M49&gt;20,M49&lt;=50),M49*1.5%,IF(AND(M49&gt;10,M49&lt;=20),M49*2%,IF(AND(M49&gt;1,M49&lt;=10),M49*2.5%)))))))))</f>
        <v>22.395</v>
      </c>
      <c r="M64" s="24">
        <f t="shared" ref="M64:M65" ca="1" si="1">ROUND(L64,1)</f>
        <v>22.4</v>
      </c>
      <c r="N64" s="138" t="s">
        <v>2242</v>
      </c>
      <c r="Z64" s="2423"/>
      <c r="AI64" s="2424"/>
    </row>
    <row r="65" spans="1:35" ht="14.25" customHeight="1">
      <c r="A65" s="197" t="s">
        <v>771</v>
      </c>
      <c r="B65" s="198" t="s">
        <v>2243</v>
      </c>
      <c r="C65" s="202"/>
      <c r="D65" s="200"/>
      <c r="E65" s="201"/>
      <c r="F65" s="2489"/>
      <c r="G65" s="2489"/>
      <c r="H65" s="2497"/>
      <c r="I65" s="138"/>
      <c r="J65" s="3203"/>
      <c r="K65" s="2499" t="s">
        <v>2244</v>
      </c>
      <c r="L65" s="1752">
        <f ca="1">IF(M49&gt;1000,M49*0.1%,IF(AND(M49&gt;500,M49&lt;=1000),M49*0.5%,IF(AND(M49&gt;50,M49&lt;=500),M49*1%,IF(AND(M49&gt;1,M49&lt;=50),M49*1.5%))))</f>
        <v>4.4790000000000001</v>
      </c>
      <c r="M65" s="24">
        <f t="shared" ca="1" si="1"/>
        <v>4.5</v>
      </c>
      <c r="N65" s="138" t="s">
        <v>2242</v>
      </c>
      <c r="Z65" s="2423"/>
      <c r="AI65" s="2424"/>
    </row>
    <row r="66" spans="1:35" ht="14.25" customHeight="1">
      <c r="A66" s="203" t="s">
        <v>772</v>
      </c>
      <c r="B66" s="204" t="s">
        <v>2245</v>
      </c>
      <c r="C66" s="205"/>
      <c r="D66" s="206" t="s">
        <v>32</v>
      </c>
      <c r="E66" s="1776" t="s">
        <v>1371</v>
      </c>
      <c r="F66" s="2489"/>
      <c r="G66" s="2489"/>
      <c r="H66" s="2497"/>
      <c r="I66" s="138"/>
      <c r="J66" s="3203"/>
      <c r="K66" s="2499" t="s">
        <v>2246</v>
      </c>
      <c r="L66" s="1752">
        <f ca="1">M49*0.5%</f>
        <v>22.395</v>
      </c>
      <c r="M66" s="24">
        <f ca="1">IF(L66&gt;0.5,0.5,ROUND(L66,0))</f>
        <v>0.5</v>
      </c>
      <c r="N66" s="138" t="s">
        <v>2247</v>
      </c>
      <c r="Z66" s="2423"/>
      <c r="AI66" s="2424"/>
    </row>
    <row r="67" spans="1:35" ht="14.25" customHeight="1">
      <c r="A67" s="203" t="s">
        <v>773</v>
      </c>
      <c r="B67" s="204" t="s">
        <v>2248</v>
      </c>
      <c r="C67" s="207">
        <f ca="1">C63-C66</f>
        <v>4266</v>
      </c>
      <c r="D67" s="200" t="s">
        <v>32</v>
      </c>
      <c r="E67" s="201"/>
      <c r="F67" s="2489"/>
      <c r="G67" s="2489"/>
      <c r="H67" s="2497"/>
      <c r="I67" s="138"/>
      <c r="J67" s="3203"/>
      <c r="K67" s="2499" t="s">
        <v>2249</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239</v>
      </c>
      <c r="D68" s="211">
        <f>'数据-取费表'!B41</f>
        <v>5.6000000000000001E-2</v>
      </c>
      <c r="E68" s="212"/>
      <c r="F68" s="2489"/>
      <c r="G68" s="2489"/>
      <c r="H68" s="2497"/>
      <c r="I68" s="138"/>
      <c r="J68" s="3203"/>
      <c r="K68" s="2499" t="s">
        <v>2251</v>
      </c>
      <c r="L68" s="1752">
        <f ca="1">IF(M49&gt;10000,M49*0.5%,IF(AND(M49&gt;5000,M49&lt;=10000),M49*1%,IF(AND(M49&gt;1000,M49&lt;=5000),M49*2%,IF(AND(M49&gt;200,M49&lt;=1000),M49*3%,M49*5%))))</f>
        <v>89.58</v>
      </c>
      <c r="M68" s="24">
        <f ca="1">ROUND(L68,1)</f>
        <v>89.6</v>
      </c>
      <c r="Z68" s="2423"/>
      <c r="AI68" s="2424"/>
    </row>
    <row r="69" spans="1:35" s="2446" customFormat="1" ht="16.5" customHeight="1">
      <c r="A69" s="2500"/>
      <c r="B69" s="2501"/>
      <c r="C69" s="2502"/>
      <c r="D69" s="2503"/>
      <c r="E69" s="2504"/>
      <c r="F69" s="2166"/>
      <c r="G69" s="2166"/>
      <c r="H69" s="2165"/>
      <c r="I69" s="2418"/>
      <c r="J69" s="3203"/>
      <c r="K69" s="2499" t="s">
        <v>2252</v>
      </c>
      <c r="L69" s="2505"/>
      <c r="M69" s="24">
        <f ca="1">ROUND(SUM(M63:M68),0)</f>
        <v>164</v>
      </c>
      <c r="N69" s="1753">
        <f ca="1">M69/M49</f>
        <v>3.6615315918731857E-2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62" t="s">
        <v>2253</v>
      </c>
      <c r="B70" s="3163"/>
      <c r="C70" s="3163"/>
      <c r="D70" s="3163"/>
      <c r="E70" s="3163"/>
      <c r="F70" s="3163"/>
      <c r="G70" s="3163"/>
      <c r="H70" s="316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1" t="s">
        <v>2234</v>
      </c>
      <c r="B71" s="3142"/>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4266</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26</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36" t="s">
        <v>2262</v>
      </c>
      <c r="F76" s="3113"/>
      <c r="G76" s="3113"/>
      <c r="H76" s="316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26</v>
      </c>
      <c r="D78" s="226">
        <f>'数据-取费表'!B43</f>
        <v>6.000000000000001E-3</v>
      </c>
      <c r="E78" s="3122" t="s">
        <v>2267</v>
      </c>
      <c r="F78" s="3123"/>
      <c r="G78" s="3123"/>
      <c r="H78" s="313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4240</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163.07692307692307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2535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62" t="s">
        <v>2271</v>
      </c>
      <c r="B83" s="3163"/>
      <c r="C83" s="3163"/>
      <c r="D83" s="3163"/>
      <c r="E83" s="3163"/>
      <c r="F83" s="3163"/>
      <c r="G83" s="3163"/>
      <c r="H83" s="316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1" t="s">
        <v>2234</v>
      </c>
      <c r="B84" s="3142"/>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4266</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26</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22" t="s">
        <v>2280</v>
      </c>
      <c r="F91" s="3123"/>
      <c r="G91" s="3123"/>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122" t="s">
        <v>2284</v>
      </c>
      <c r="F92" s="3123"/>
      <c r="G92" s="3123"/>
      <c r="H92" s="313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26</v>
      </c>
      <c r="D93" s="226">
        <f>'数据-取费表'!B43</f>
        <v>6.000000000000001E-3</v>
      </c>
      <c r="E93" s="3122" t="s">
        <v>2267</v>
      </c>
      <c r="F93" s="3123"/>
      <c r="G93" s="3123"/>
      <c r="H93" s="313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33" t="s">
        <v>2288</v>
      </c>
      <c r="F94" s="3134"/>
      <c r="G94" s="3134"/>
      <c r="H94" s="313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4240</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163.07692307692307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2535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107" t="s">
        <v>2290</v>
      </c>
      <c r="B100" s="3108"/>
      <c r="C100" s="3108"/>
      <c r="D100" s="3124"/>
      <c r="E100" s="3108" t="s">
        <v>2291</v>
      </c>
      <c r="F100" s="3108"/>
      <c r="G100" s="3108"/>
      <c r="H100" s="3124"/>
      <c r="I100" s="138"/>
    </row>
    <row r="101" spans="1:35" ht="18.75" customHeight="1">
      <c r="A101" s="3186" t="s">
        <v>2292</v>
      </c>
      <c r="B101" s="3187"/>
      <c r="C101" s="736" t="str">
        <f>C4</f>
        <v>典型户型修正</v>
      </c>
      <c r="D101" s="737" t="str">
        <f>D4</f>
        <v>收益法</v>
      </c>
      <c r="E101" s="3200" t="s">
        <v>2293</v>
      </c>
      <c r="F101" s="3154"/>
      <c r="G101" s="2520" t="s">
        <v>2294</v>
      </c>
      <c r="H101" s="1048">
        <f ca="1">H118</f>
        <v>4479</v>
      </c>
      <c r="I101" s="138"/>
    </row>
    <row r="102" spans="1:35" ht="18.75" customHeight="1">
      <c r="A102" s="3156" t="s">
        <v>2295</v>
      </c>
      <c r="B102" s="2520" t="s">
        <v>2294</v>
      </c>
      <c r="C102" s="736">
        <f ca="1">C19</f>
        <v>4982</v>
      </c>
      <c r="D102" s="737">
        <f ca="1">D19</f>
        <v>3976</v>
      </c>
      <c r="E102" s="3200"/>
      <c r="F102" s="3154"/>
      <c r="G102" s="2520" t="s">
        <v>2296</v>
      </c>
      <c r="H102" s="371">
        <f ca="1">I118</f>
        <v>32022</v>
      </c>
      <c r="I102" s="138"/>
    </row>
    <row r="103" spans="1:35" ht="42.75" customHeight="1">
      <c r="A103" s="3156"/>
      <c r="B103" s="2520" t="s">
        <v>2296</v>
      </c>
      <c r="C103" s="738">
        <f ca="1">C20</f>
        <v>35618</v>
      </c>
      <c r="D103" s="739">
        <f ca="1">D20</f>
        <v>28426</v>
      </c>
      <c r="E103" s="3195" t="s">
        <v>2297</v>
      </c>
      <c r="F103" s="3196"/>
      <c r="G103" s="2521" t="s">
        <v>2298</v>
      </c>
      <c r="H103" s="1048">
        <f>IF(D36="正常操作",H104+H105+H106,H105+H106)</f>
        <v>0</v>
      </c>
      <c r="I103" s="138"/>
    </row>
    <row r="104" spans="1:35" ht="18.75" customHeight="1">
      <c r="A104" s="3156" t="s">
        <v>2299</v>
      </c>
      <c r="B104" s="2522" t="s">
        <v>2294</v>
      </c>
      <c r="C104" s="740">
        <f ca="1">H118</f>
        <v>4479</v>
      </c>
      <c r="D104" s="741"/>
      <c r="E104" s="2267" t="s">
        <v>2300</v>
      </c>
      <c r="F104" s="2258"/>
      <c r="G104" s="2521" t="s">
        <v>2298</v>
      </c>
      <c r="H104" s="1049">
        <f>IF(D36="同一抵押权人同一抵押物续贷",C36&amp;"（未扣减，详见特别提示）",C36)</f>
        <v>0</v>
      </c>
      <c r="I104" s="138"/>
    </row>
    <row r="105" spans="1:35" ht="18.75" customHeight="1" thickBot="1">
      <c r="A105" s="3157"/>
      <c r="B105" s="2523" t="s">
        <v>2296</v>
      </c>
      <c r="C105" s="742">
        <f ca="1">I118</f>
        <v>32022</v>
      </c>
      <c r="D105" s="743"/>
      <c r="E105" s="2267" t="s">
        <v>2301</v>
      </c>
      <c r="F105" s="2258"/>
      <c r="G105" s="2521" t="s">
        <v>2298</v>
      </c>
      <c r="H105" s="1049">
        <f>C37</f>
        <v>0</v>
      </c>
      <c r="I105" s="138"/>
    </row>
    <row r="106" spans="1:35" ht="18.75" customHeight="1">
      <c r="A106" s="2418" t="s">
        <v>2302</v>
      </c>
      <c r="B106" s="2418"/>
      <c r="C106" s="2418"/>
      <c r="D106" s="2418"/>
      <c r="E106" s="2524" t="s">
        <v>2303</v>
      </c>
      <c r="F106" s="2258"/>
      <c r="G106" s="2521" t="s">
        <v>2298</v>
      </c>
      <c r="H106" s="1049">
        <f>C38</f>
        <v>0</v>
      </c>
      <c r="I106" s="138"/>
    </row>
    <row r="107" spans="1:35" ht="18.75" customHeight="1">
      <c r="A107" s="138"/>
      <c r="B107" s="138"/>
      <c r="C107" s="138"/>
      <c r="D107" s="138"/>
      <c r="E107" s="3153" t="str">
        <f>IF(项目基本情况!E8="已注销","——","3.房地产抵押价值")</f>
        <v>3.房地产抵押价值</v>
      </c>
      <c r="F107" s="3154"/>
      <c r="G107" s="2520" t="s">
        <v>2294</v>
      </c>
      <c r="H107" s="1048">
        <f ca="1">IF(E107="——","——",H101-H103)</f>
        <v>4479</v>
      </c>
      <c r="I107" s="138"/>
    </row>
    <row r="108" spans="1:35" ht="18.75" customHeight="1">
      <c r="A108" s="138"/>
      <c r="B108" s="138"/>
      <c r="C108" s="138"/>
      <c r="D108" s="138"/>
      <c r="E108" s="3153"/>
      <c r="F108" s="3154"/>
      <c r="G108" s="2520" t="s">
        <v>2296</v>
      </c>
      <c r="H108" s="371">
        <f ca="1">ROUND(H107*10000/'数据-汇总表'!E3,0)</f>
        <v>32022</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54"/>
      <c r="G109" s="2520" t="s">
        <v>2294</v>
      </c>
      <c r="H109" s="348" t="str">
        <f>IF(E109="——","——",H101-H105-H106)</f>
        <v>——</v>
      </c>
      <c r="I109" s="138"/>
    </row>
    <row r="110" spans="1:35" ht="18.75" customHeight="1">
      <c r="A110" s="138"/>
      <c r="B110" s="138"/>
      <c r="C110" s="138"/>
      <c r="D110" s="138"/>
      <c r="E110" s="3153"/>
      <c r="F110" s="3154"/>
      <c r="G110" s="2520" t="s">
        <v>2296</v>
      </c>
      <c r="H110" s="371" t="str">
        <f>IF(H109="——","——",ROUND(H109*10000/'数据-汇总表'!E3,0))</f>
        <v>——</v>
      </c>
      <c r="I110" s="138"/>
    </row>
    <row r="111" spans="1:35" ht="18.75" customHeight="1">
      <c r="A111" s="138"/>
      <c r="B111" s="138"/>
      <c r="C111" s="138"/>
      <c r="D111" s="138"/>
      <c r="E111" s="3188" t="str">
        <f>IF(项目基本情况!E9="抵押净值",IF(OR(项目基本情况!E8="已注销",项目基本情况!E8="房地产抵押价值"),"4.抵押净值","5.抵押净值"),"——")</f>
        <v>——</v>
      </c>
      <c r="F111" s="3189"/>
      <c r="G111" s="2520" t="s">
        <v>2294</v>
      </c>
      <c r="H111" s="1048" t="str">
        <f>IF(E111="——","——",N59)</f>
        <v>——</v>
      </c>
      <c r="I111" s="138"/>
    </row>
    <row r="112" spans="1:35" ht="18.75" customHeight="1" thickBot="1">
      <c r="A112" s="138"/>
      <c r="B112" s="138"/>
      <c r="C112" s="138"/>
      <c r="D112" s="138"/>
      <c r="E112" s="3190"/>
      <c r="F112" s="3191"/>
      <c r="G112" s="2525" t="s">
        <v>2296</v>
      </c>
      <c r="H112" s="790" t="str">
        <f>IF(E111="——","——",N61)</f>
        <v>——</v>
      </c>
      <c r="I112" s="138"/>
    </row>
    <row r="113" spans="1:11" ht="18.75" customHeight="1">
      <c r="A113" s="138"/>
      <c r="B113" s="138"/>
      <c r="C113" s="138"/>
      <c r="D113" s="138"/>
      <c r="E113" s="3158" t="s">
        <v>2302</v>
      </c>
      <c r="F113" s="3158"/>
      <c r="G113" s="3158"/>
      <c r="H113" s="3158"/>
      <c r="I113" s="138"/>
    </row>
    <row r="114" spans="1:11" ht="3.75" customHeight="1">
      <c r="A114" s="2418"/>
      <c r="B114" s="2418"/>
      <c r="C114" s="2418"/>
      <c r="D114" s="2418"/>
      <c r="E114" s="2496"/>
      <c r="F114" s="2496"/>
      <c r="G114" s="2496"/>
      <c r="H114" s="2496"/>
      <c r="I114" s="2418"/>
    </row>
    <row r="115" spans="1:11" ht="18.75" customHeight="1">
      <c r="A115" s="3171" t="s">
        <v>2304</v>
      </c>
      <c r="B115" s="3172"/>
      <c r="C115" s="3172"/>
      <c r="D115" s="3172"/>
      <c r="E115" s="3172"/>
      <c r="F115" s="3172"/>
      <c r="G115" s="3172"/>
      <c r="H115" s="3172"/>
      <c r="I115" s="3173"/>
    </row>
    <row r="116" spans="1:11" ht="27" customHeight="1">
      <c r="A116" s="3064" t="s">
        <v>2305</v>
      </c>
      <c r="B116" s="3159" t="s">
        <v>2306</v>
      </c>
      <c r="C116" s="3159" t="s">
        <v>2307</v>
      </c>
      <c r="D116" s="3175" t="s">
        <v>2308</v>
      </c>
      <c r="E116" s="3176"/>
      <c r="F116" s="3167" t="s">
        <v>2309</v>
      </c>
      <c r="G116" s="3167"/>
      <c r="H116" s="3064" t="s">
        <v>2310</v>
      </c>
      <c r="I116" s="3064"/>
    </row>
    <row r="117" spans="1:11" ht="18.75" customHeight="1">
      <c r="A117" s="3064"/>
      <c r="B117" s="3160"/>
      <c r="C117" s="3160"/>
      <c r="D117" s="1798" t="s">
        <v>2311</v>
      </c>
      <c r="E117" s="1798" t="s">
        <v>2312</v>
      </c>
      <c r="F117" s="1798" t="s">
        <v>2311</v>
      </c>
      <c r="G117" s="1798" t="s">
        <v>2313</v>
      </c>
      <c r="H117" s="1798" t="s">
        <v>2311</v>
      </c>
      <c r="I117" s="1798" t="s">
        <v>2313</v>
      </c>
    </row>
    <row r="118" spans="1:11" ht="24.75" customHeight="1">
      <c r="A118" s="2526" t="str">
        <f>项目基本情况!S2</f>
        <v>北京市丰台区万兴路1号院1号楼房地产</v>
      </c>
      <c r="B118" s="1798">
        <f>M18</f>
        <v>1398.7300000000002</v>
      </c>
      <c r="C118" s="1798">
        <f>M19</f>
        <v>1281.4000000000001</v>
      </c>
      <c r="D118" s="1798">
        <f ca="1">ROUND(IF(D32="总价",C34,E118*B118/10000),0)</f>
        <v>3489</v>
      </c>
      <c r="E118" s="1798">
        <f ca="1">ROUND(IF(C33="自定义",IF(D32="楼面单价",C34,D118*10000/B118),I118-G118),0)</f>
        <v>24944</v>
      </c>
      <c r="F118" s="1798">
        <f ca="1">ROUND(IF(D32="总价",C35,G118*B118/10000),0)</f>
        <v>990</v>
      </c>
      <c r="G118" s="1798">
        <f ca="1">ROUND(IF(D32="楼面单价",C35,F118*10000/B118),0)</f>
        <v>7078</v>
      </c>
      <c r="H118" s="1798">
        <f ca="1">ROUND(IF(D32="总价",C32,I118*B118/10000),0)</f>
        <v>4479</v>
      </c>
      <c r="I118" s="1798">
        <f ca="1">ROUND(IF(D32="楼面单价",C32,H118*10000/B118),0)</f>
        <v>32022</v>
      </c>
    </row>
    <row r="119" spans="1:11" ht="18.75" customHeight="1">
      <c r="A119" s="3064" t="s">
        <v>2314</v>
      </c>
      <c r="B119" s="3064"/>
      <c r="C119" s="3064"/>
      <c r="D119" s="3164" t="str">
        <f ca="1">NUMBERSTRING(INT(D118*10000),2)&amp;"元整"</f>
        <v>叁仟肆佰捌拾玖万元整</v>
      </c>
      <c r="E119" s="3166"/>
      <c r="F119" s="3164" t="str">
        <f ca="1">NUMBERSTRING(INT(F118*10000),2)&amp;"元整"</f>
        <v>玖佰玖拾万元整</v>
      </c>
      <c r="G119" s="3166"/>
      <c r="H119" s="3164" t="str">
        <f ca="1">NUMBERSTRING(INT(H118*10000),2)&amp;"元整"</f>
        <v>肆仟肆佰柒拾玖万元整</v>
      </c>
      <c r="I119" s="3166"/>
    </row>
    <row r="120" spans="1:11" ht="18.75" customHeight="1">
      <c r="A120" s="3192" t="str">
        <f>IF(项目基本情况!B9="房地产市场价值","",MID(E103,3,LEN(E103)-2))</f>
        <v>估价师知悉的法定优先受偿款</v>
      </c>
      <c r="B120" s="3193"/>
      <c r="C120" s="3194"/>
      <c r="D120" s="3192">
        <f>H103</f>
        <v>0</v>
      </c>
      <c r="E120" s="3193"/>
      <c r="F120" s="3193"/>
      <c r="G120" s="3193"/>
      <c r="H120" s="3193"/>
      <c r="I120" s="3194"/>
      <c r="K120" s="2423" t="str">
        <f>IF(D120=0,"故，本次评估不存在"&amp;A120,"故，本次评估"&amp;A120&amp;"为人民币"&amp;D120&amp;"万元整。")</f>
        <v>故，本次评估不存在估价师知悉的法定优先受偿款</v>
      </c>
    </row>
    <row r="121" spans="1:11" ht="18.75" customHeight="1">
      <c r="A121" s="3168" t="s">
        <v>2314</v>
      </c>
      <c r="B121" s="3169"/>
      <c r="C121" s="3170"/>
      <c r="D121" s="3164" t="str">
        <f>IF(D120=0,"零元整",NUMBERSTRING(INT(D120*10000),2)&amp;"元整")</f>
        <v>零元整</v>
      </c>
      <c r="E121" s="3165"/>
      <c r="F121" s="3165"/>
      <c r="G121" s="3165"/>
      <c r="H121" s="3165"/>
      <c r="I121" s="3166"/>
    </row>
    <row r="122" spans="1:11" ht="18.75" customHeight="1">
      <c r="A122" s="3155" t="str">
        <f>IF(项目基本情况!B9="房地产市场价值","",MID(E107,3,LEN(E107)-2))</f>
        <v>房地产抵押价值</v>
      </c>
      <c r="B122" s="3155"/>
      <c r="C122" s="3155"/>
      <c r="D122" s="3192">
        <f ca="1">H107</f>
        <v>4479</v>
      </c>
      <c r="E122" s="3193"/>
      <c r="F122" s="3193"/>
      <c r="G122" s="3193"/>
      <c r="H122" s="3193"/>
      <c r="I122" s="3194"/>
    </row>
    <row r="123" spans="1:11" ht="18.75" customHeight="1">
      <c r="A123" s="3064" t="s">
        <v>2314</v>
      </c>
      <c r="B123" s="3064"/>
      <c r="C123" s="3064"/>
      <c r="D123" s="3164" t="str">
        <f ca="1">NUMBERSTRING(INT(D122*10000),2)&amp;"元整"</f>
        <v>肆仟肆佰柒拾玖万元整</v>
      </c>
      <c r="E123" s="3165"/>
      <c r="F123" s="3165"/>
      <c r="G123" s="3165"/>
      <c r="H123" s="3165"/>
      <c r="I123" s="3166"/>
    </row>
    <row r="124" spans="1:11" ht="18.75" customHeight="1">
      <c r="A124" s="3155" t="str">
        <f>IF(项目基本情况!B9="房地产市场价值","",MID(E109,3,LEN(E109)-2))</f>
        <v/>
      </c>
      <c r="B124" s="3155"/>
      <c r="C124" s="3155"/>
      <c r="D124" s="3192" t="str">
        <f>H109</f>
        <v>——</v>
      </c>
      <c r="E124" s="3193"/>
      <c r="F124" s="3193"/>
      <c r="G124" s="3193"/>
      <c r="H124" s="3193"/>
      <c r="I124" s="3194"/>
    </row>
    <row r="125" spans="1:11" ht="18.75" customHeight="1">
      <c r="A125" s="3064" t="s">
        <v>2314</v>
      </c>
      <c r="B125" s="3064"/>
      <c r="C125" s="3064"/>
      <c r="D125" s="3164" t="e">
        <f>NUMBERSTRING(INT(D124*10000),2)&amp;"元整"</f>
        <v>#VALUE!</v>
      </c>
      <c r="E125" s="3165"/>
      <c r="F125" s="3165"/>
      <c r="G125" s="3165"/>
      <c r="H125" s="3165"/>
      <c r="I125" s="3166"/>
    </row>
    <row r="126" spans="1:11" ht="18.75" customHeight="1">
      <c r="A126" s="3155" t="str">
        <f>IF(项目基本情况!B9="房地产市场价值","",MID(E111,3,LEN(E111)-2))</f>
        <v/>
      </c>
      <c r="B126" s="3155"/>
      <c r="C126" s="3155"/>
      <c r="D126" s="3192" t="str">
        <f>H111</f>
        <v>——</v>
      </c>
      <c r="E126" s="3193"/>
      <c r="F126" s="3193"/>
      <c r="G126" s="3193"/>
      <c r="H126" s="3193"/>
      <c r="I126" s="3194"/>
    </row>
    <row r="127" spans="1:11" ht="18.75" customHeight="1">
      <c r="A127" s="3064" t="s">
        <v>2314</v>
      </c>
      <c r="B127" s="3064"/>
      <c r="C127" s="3064"/>
      <c r="D127" s="3164" t="e">
        <f>NUMBERSTRING(INT(D126*10000),2)&amp;"元整"</f>
        <v>#VALUE!</v>
      </c>
      <c r="E127" s="3165"/>
      <c r="F127" s="3165"/>
      <c r="G127" s="3165"/>
      <c r="H127" s="3165"/>
      <c r="I127" s="3166"/>
    </row>
    <row r="128" spans="1:11" ht="21.75" customHeight="1">
      <c r="A128" s="3174" t="s">
        <v>2315</v>
      </c>
      <c r="B128" s="3174"/>
      <c r="C128" s="3174"/>
      <c r="D128" s="3174"/>
      <c r="E128" s="3174"/>
      <c r="F128" s="3174"/>
      <c r="G128" s="3174"/>
      <c r="H128" s="3174"/>
      <c r="I128" s="3174"/>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588</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4204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0</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0</v>
      </c>
      <c r="D10" s="1035">
        <f ca="1">IF(B1="",'数据-汇总表'!E6,IF(INDIRECT("'数据-取费表'!c"&amp;$G$1)="住宅",INDIRECT("'数据-取费表'!s"&amp;$G$1),INDIRECT("'数据-取费表'!k"&amp;$G$1)+INDIRECT("'数据-取费表'!s"&amp;$G$1)))</f>
        <v>1398.7300000000002</v>
      </c>
      <c r="E10" s="269">
        <f>'数据-取费表'!B28</f>
        <v>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279746</v>
      </c>
      <c r="D19" s="1039">
        <f ca="1">D9+D10</f>
        <v>1398.7300000000002</v>
      </c>
      <c r="E19" s="255">
        <f>'数据-取费表'!B31</f>
        <v>200</v>
      </c>
      <c r="F19" s="275"/>
      <c r="G19" s="2552"/>
    </row>
    <row r="20" spans="1:7" s="258" customFormat="1" ht="13.5" customHeight="1">
      <c r="A20" s="299" t="s">
        <v>2436</v>
      </c>
      <c r="B20" s="254" t="s">
        <v>2437</v>
      </c>
      <c r="C20" s="276">
        <f ca="1">ROUND((C5+C19)*F20,0)</f>
        <v>5595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12291</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0</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12169</v>
      </c>
      <c r="D24" s="282"/>
      <c r="E24" s="282"/>
      <c r="F24" s="283"/>
      <c r="G24" s="284" t="s">
        <v>2448</v>
      </c>
    </row>
    <row r="25" spans="1:7" s="258" customFormat="1" ht="24">
      <c r="A25" s="954" t="s">
        <v>2338</v>
      </c>
      <c r="B25" s="259" t="s">
        <v>2449</v>
      </c>
      <c r="C25" s="1384">
        <f ca="1">ROUND(IF('数据-取费表'!B22&lt;=1,C20*F22*'数据-取费表'!B22/2,C20*(POWER((1+F22),'数据-取费表'!B22/2)-1)),0)</f>
        <v>122</v>
      </c>
      <c r="D25" s="282"/>
      <c r="E25" s="285"/>
      <c r="F25" s="283"/>
      <c r="G25" s="286" t="s">
        <v>2450</v>
      </c>
    </row>
    <row r="26" spans="1:7" s="258" customFormat="1">
      <c r="A26" s="954"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57068</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57068</v>
      </c>
      <c r="D28" s="279"/>
      <c r="E28" s="280"/>
      <c r="F28" s="290"/>
      <c r="G28" s="291"/>
    </row>
    <row r="29" spans="1:7" s="258" customFormat="1" ht="13.5" customHeight="1">
      <c r="A29" s="954" t="s">
        <v>792</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384582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4372430</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3916444</v>
      </c>
      <c r="D34" s="261"/>
      <c r="E34" s="264"/>
      <c r="F34" s="301"/>
      <c r="G34" s="263"/>
    </row>
    <row r="35" spans="1:7" ht="13.5" customHeight="1">
      <c r="A35" s="954" t="s">
        <v>796</v>
      </c>
      <c r="B35" s="259" t="s">
        <v>2389</v>
      </c>
      <c r="C35" s="264">
        <f ca="1">ROUND(C34*F35,0)</f>
        <v>117493</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279746</v>
      </c>
      <c r="D37" s="261">
        <f ca="1">D19</f>
        <v>1398.7300000000002</v>
      </c>
      <c r="E37" s="293">
        <f>'数据-取费表'!B35</f>
        <v>200</v>
      </c>
      <c r="F37" s="303"/>
      <c r="G37" s="305"/>
    </row>
    <row r="38" spans="1:7" ht="13.5" customHeight="1">
      <c r="A38" s="954" t="s">
        <v>799</v>
      </c>
      <c r="B38" s="259" t="s">
        <v>2395</v>
      </c>
      <c r="C38" s="264">
        <f ca="1">ROUND(C34*F38,0)</f>
        <v>58747</v>
      </c>
      <c r="D38" s="264"/>
      <c r="E38" s="264"/>
      <c r="F38" s="303">
        <f>'数据-取费表'!B36</f>
        <v>1.4999999999999999E-2</v>
      </c>
      <c r="G38" s="263" t="s">
        <v>2390</v>
      </c>
    </row>
    <row r="39" spans="1:7" s="258" customFormat="1" ht="13.5" customHeight="1">
      <c r="A39" s="299" t="s">
        <v>2396</v>
      </c>
      <c r="B39" s="254" t="s">
        <v>2397</v>
      </c>
      <c r="C39" s="276">
        <f ca="1">ROUND(C33*F20,0)</f>
        <v>87449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97002</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95100</v>
      </c>
      <c r="D42" s="282"/>
      <c r="E42" s="282"/>
      <c r="F42" s="283"/>
      <c r="G42" s="3206" t="s">
        <v>2453</v>
      </c>
    </row>
    <row r="43" spans="1:7" ht="13.5" customHeight="1">
      <c r="A43" s="954" t="s">
        <v>792</v>
      </c>
      <c r="B43" s="259" t="s">
        <v>2407</v>
      </c>
      <c r="C43" s="282">
        <f ca="1">ROUND(IF('数据-取费表'!B22&lt;=1,C39*F22*'数据-取费表'!B20/2,C39*(POWER((1+F22),'数据-取费表'!B20/2)-1)),0)</f>
        <v>1902</v>
      </c>
      <c r="D43" s="282"/>
      <c r="E43" s="282"/>
      <c r="F43" s="283"/>
      <c r="G43" s="3207"/>
    </row>
    <row r="44" spans="1:7" ht="13.5" customHeight="1">
      <c r="A44" s="954" t="s">
        <v>793</v>
      </c>
      <c r="B44" s="259" t="s">
        <v>2408</v>
      </c>
      <c r="C44" s="282">
        <f ca="1">ROUND(IF('数据-取费表'!B22&lt;=1,C40*F22*'数据-取费表'!B20/2,C40*(POWER((1+F22),'数据-取费表'!B20/2)-1)),4)</f>
        <v>4.0000000000000002E-4</v>
      </c>
      <c r="D44" s="282"/>
      <c r="E44" s="282"/>
      <c r="F44" s="283"/>
      <c r="G44" s="3208"/>
    </row>
    <row r="45" spans="1:7" s="258" customFormat="1" ht="13.5" customHeight="1">
      <c r="A45" s="299" t="s">
        <v>2409</v>
      </c>
      <c r="B45" s="288" t="s">
        <v>2375</v>
      </c>
      <c r="C45" s="289">
        <f ca="1">C46</f>
        <v>891976</v>
      </c>
      <c r="D45" s="279">
        <f ca="1">C47</f>
        <v>4.0000000000000001E-3</v>
      </c>
      <c r="E45" s="280" t="s">
        <v>2401</v>
      </c>
      <c r="F45" s="290"/>
      <c r="G45" s="291" t="s">
        <v>2410</v>
      </c>
    </row>
    <row r="46" spans="1:7" s="258" customFormat="1" ht="13.5" customHeight="1">
      <c r="A46" s="954" t="s">
        <v>791</v>
      </c>
      <c r="B46" s="292" t="s">
        <v>2411</v>
      </c>
      <c r="C46" s="293">
        <f ca="1">ROUND((C33+C39)*F27,0)</f>
        <v>891976</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5907901</v>
      </c>
      <c r="D49" s="276"/>
      <c r="E49" s="276"/>
      <c r="F49" s="308"/>
      <c r="G49" s="278" t="s">
        <v>2416</v>
      </c>
    </row>
    <row r="50" spans="1:7" s="302" customFormat="1">
      <c r="A50" s="299" t="s">
        <v>2417</v>
      </c>
      <c r="B50" s="254" t="s">
        <v>2418</v>
      </c>
      <c r="C50" s="276"/>
      <c r="D50" s="276"/>
      <c r="E50" s="276"/>
      <c r="F50" s="308">
        <f>IF('数据-取费表'!B24=0,'数据-取费表'!N16,1)</f>
        <v>0.93</v>
      </c>
      <c r="G50" s="291"/>
    </row>
    <row r="51" spans="1:7" ht="16.5" customHeight="1">
      <c r="A51" s="299" t="s">
        <v>2420</v>
      </c>
      <c r="B51" s="254" t="s">
        <v>2455</v>
      </c>
      <c r="C51" s="276">
        <f ca="1">ROUND(C49*F50,0)</f>
        <v>5494348</v>
      </c>
      <c r="D51" s="276"/>
      <c r="E51" s="276"/>
      <c r="F51" s="308"/>
      <c r="G51" s="278" t="s">
        <v>2422</v>
      </c>
    </row>
    <row r="52" spans="1:7" s="252" customFormat="1" ht="16.5" thickBot="1">
      <c r="A52" s="309" t="s">
        <v>2423</v>
      </c>
      <c r="B52" s="310"/>
      <c r="C52" s="311">
        <f ca="1">C31+C51</f>
        <v>5878930</v>
      </c>
      <c r="D52" s="310"/>
      <c r="E52" s="310"/>
      <c r="F52" s="310"/>
      <c r="G52" s="312"/>
    </row>
    <row r="55" spans="1:7" ht="15">
      <c r="B55" s="314" t="s">
        <v>2424</v>
      </c>
      <c r="C55" s="315"/>
    </row>
    <row r="56" spans="1:7">
      <c r="B56" s="317" t="s">
        <v>1512</v>
      </c>
      <c r="C56" s="319">
        <f ca="1">1-C57</f>
        <v>6.4999999999999947E-2</v>
      </c>
    </row>
    <row r="57" spans="1:7">
      <c r="B57" s="317" t="s">
        <v>1513</v>
      </c>
      <c r="C57" s="318">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0" t="str">
        <f>项目基本情况!B1</f>
        <v>北京市丰台区万兴路1号院1号楼房地产抵押价值预评估</v>
      </c>
      <c r="C37" s="3020"/>
      <c r="D37" s="3020"/>
      <c r="E37" s="3020"/>
      <c r="F37" s="3020"/>
      <c r="G37" s="3020"/>
      <c r="H37" s="3020"/>
      <c r="I37" s="3020"/>
    </row>
    <row r="38" spans="1:9">
      <c r="A38" s="1019"/>
      <c r="B38" s="1019"/>
    </row>
    <row r="39" spans="1:9">
      <c r="A39" s="1017" t="s">
        <v>818</v>
      </c>
      <c r="B39" s="1017" t="s">
        <v>820</v>
      </c>
    </row>
    <row r="40" spans="1:9">
      <c r="A40" s="1017"/>
      <c r="B40" s="1945" t="str">
        <f>项目基本情况!B5</f>
        <v>北京万年基业房地产开发有限公司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1398.7300000000002</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1398.7300000000002</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0</v>
      </c>
      <c r="D20" s="1036">
        <f ca="1">IF(C1="",'数据-汇总表'!E6,IF(INDIRECT("'数据-取费表'!c"&amp;$K$1)="住宅",INDIRECT("'数据-取费表'!s"&amp;$K$1),INDIRECT("'数据-取费表'!k"&amp;$K$1)+INDIRECT("'数据-取费表'!s"&amp;$K$1)))</f>
        <v>1398.7300000000002</v>
      </c>
      <c r="E20" s="24">
        <f>'数据-取费表'!B28</f>
        <v>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209" t="s">
        <v>1403</v>
      </c>
      <c r="C6" s="1299">
        <f ca="1">ROUND(F6*F8*F7*(1-F9),0)</f>
        <v>0</v>
      </c>
      <c r="D6" s="164" t="s">
        <v>3026</v>
      </c>
      <c r="E6" s="347" t="s">
        <v>1405</v>
      </c>
      <c r="F6" s="348">
        <f ca="1">INDIRECT("'数据-取费表'!u"&amp;$G$1)</f>
        <v>0</v>
      </c>
      <c r="G6" s="1854"/>
      <c r="H6" s="1294" t="s">
        <v>1035</v>
      </c>
      <c r="I6" s="3209" t="s">
        <v>1403</v>
      </c>
      <c r="J6" s="346">
        <f ca="1">ROUND(M6*M8*M7*(1-M9),0)</f>
        <v>0</v>
      </c>
      <c r="K6" s="1837" t="s">
        <v>3027</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0</v>
      </c>
      <c r="G7" s="1854"/>
      <c r="H7" s="349"/>
      <c r="I7" s="3210"/>
      <c r="J7" s="351"/>
      <c r="K7" s="352"/>
      <c r="L7" s="347" t="s">
        <v>1406</v>
      </c>
      <c r="M7" s="348">
        <f ca="1">F7</f>
        <v>0</v>
      </c>
    </row>
    <row r="8" spans="1:37" ht="18" customHeight="1">
      <c r="A8" s="349"/>
      <c r="B8" s="3210"/>
      <c r="C8" s="351"/>
      <c r="D8" s="352"/>
      <c r="E8" s="347" t="s">
        <v>1407</v>
      </c>
      <c r="F8" s="348">
        <f ca="1">INDIRECT("'数据-取费表'!ai"&amp;$G$1)</f>
        <v>0</v>
      </c>
      <c r="G8" s="1854"/>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4"/>
      <c r="H9" s="349"/>
      <c r="I9" s="321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3037</v>
      </c>
      <c r="E10" s="358" t="s">
        <v>1410</v>
      </c>
      <c r="F10" s="1369"/>
      <c r="G10" s="1854"/>
      <c r="H10" s="1294" t="s">
        <v>1039</v>
      </c>
      <c r="I10" s="1826" t="s">
        <v>1409</v>
      </c>
      <c r="J10" s="346">
        <f ca="1">ROUND(IF(M10="押一",J6/12*M11,IF(M10="押二",J6/12*2*M11,IF(M10="押三",J6/12*3*M11,J11*M11))),0)</f>
        <v>0</v>
      </c>
      <c r="K10" s="1838" t="s">
        <v>3039</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3040</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212" t="s">
        <v>1547</v>
      </c>
      <c r="L53" s="3213"/>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f ca="1">IF(项目基本情况!B11="自然人","——",ROUND(F62*F63,0))</f>
        <v>0</v>
      </c>
      <c r="D62" s="1187" t="s">
        <v>1496</v>
      </c>
      <c r="E62" s="1172" t="s">
        <v>1497</v>
      </c>
      <c r="F62" s="371">
        <f t="shared" si="0"/>
        <v>3</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3976</v>
      </c>
      <c r="C2" s="2568" t="s">
        <v>2516</v>
      </c>
      <c r="D2" s="2569" t="s">
        <v>2517</v>
      </c>
      <c r="E2" s="2570">
        <f>SUM(E6:E13)</f>
        <v>1398.7300000000002</v>
      </c>
    </row>
    <row r="3" spans="1:6" ht="15.75">
      <c r="A3" s="2566" t="s">
        <v>1395</v>
      </c>
      <c r="B3" s="2567">
        <f ca="1">ROUND(B2*10000/E2,0)</f>
        <v>28426</v>
      </c>
      <c r="C3" s="2568" t="s">
        <v>2524</v>
      </c>
      <c r="D3" s="2571"/>
      <c r="E3" s="2572"/>
    </row>
    <row r="4" spans="1:6" ht="15.75">
      <c r="A4" s="2573"/>
      <c r="B4" s="2571"/>
      <c r="C4" s="2571"/>
      <c r="D4" s="2571"/>
      <c r="E4" s="2572"/>
    </row>
    <row r="5" spans="1:6" ht="15">
      <c r="A5" s="2574" t="s">
        <v>2518</v>
      </c>
      <c r="B5" s="3214" t="s">
        <v>2519</v>
      </c>
      <c r="C5" s="3214"/>
      <c r="D5" s="2575"/>
      <c r="E5" s="2576" t="s">
        <v>2520</v>
      </c>
      <c r="F5" s="2577" t="s">
        <v>2521</v>
      </c>
    </row>
    <row r="6" spans="1:6">
      <c r="A6" s="2578" t="str">
        <f>'数据-取费表'!AN6</f>
        <v>收益法</v>
      </c>
      <c r="B6" s="2577">
        <f ca="1">IF(F6="是",'数据-取费表'!AO6,0)</f>
        <v>3976</v>
      </c>
      <c r="C6" s="2568" t="s">
        <v>2516</v>
      </c>
      <c r="D6" s="2571"/>
      <c r="E6" s="2579">
        <f>IF(OR(A6=0,F6="否"),0,'数据-取费表'!K6+'数据-取费表'!S6)</f>
        <v>1398.7300000000002</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304" t="s">
        <v>1079</v>
      </c>
      <c r="E2" s="1304" t="s">
        <v>1080</v>
      </c>
      <c r="F2" s="1304" t="s">
        <v>1081</v>
      </c>
      <c r="G2" s="1304" t="s">
        <v>1082</v>
      </c>
      <c r="H2" s="1304" t="s">
        <v>1083</v>
      </c>
      <c r="I2" s="1305" t="s">
        <v>1084</v>
      </c>
    </row>
    <row r="3" spans="1:9">
      <c r="A3" s="3221"/>
      <c r="B3" s="3222" t="s">
        <v>1085</v>
      </c>
      <c r="C3" s="3222"/>
      <c r="D3" s="1306"/>
      <c r="E3" s="1304"/>
      <c r="F3" s="1307"/>
      <c r="G3" s="1307"/>
      <c r="H3" s="1308"/>
      <c r="I3" s="1309">
        <f>ROUND(D3*E3*F3*G3*H3/10000,0)</f>
        <v>0</v>
      </c>
    </row>
    <row r="4" spans="1:9">
      <c r="A4" s="3221"/>
      <c r="B4" s="3222" t="s">
        <v>1086</v>
      </c>
      <c r="C4" s="3222"/>
      <c r="D4" s="1306"/>
      <c r="E4" s="1304"/>
      <c r="F4" s="1307"/>
      <c r="G4" s="1307"/>
      <c r="H4" s="1308"/>
      <c r="I4" s="1309">
        <f t="shared" ref="I4:I9" si="0">ROUND(D4*E4*F4*G4*H4/10000,0)</f>
        <v>0</v>
      </c>
    </row>
    <row r="5" spans="1:9">
      <c r="A5" s="3221"/>
      <c r="B5" s="3222" t="s">
        <v>1087</v>
      </c>
      <c r="C5" s="3222"/>
      <c r="D5" s="1306"/>
      <c r="E5" s="1304"/>
      <c r="F5" s="1307"/>
      <c r="G5" s="1307"/>
      <c r="H5" s="1308"/>
      <c r="I5" s="1309">
        <f t="shared" si="0"/>
        <v>0</v>
      </c>
    </row>
    <row r="6" spans="1:9">
      <c r="A6" s="3221"/>
      <c r="B6" s="3222" t="s">
        <v>1088</v>
      </c>
      <c r="C6" s="3222"/>
      <c r="D6" s="1306"/>
      <c r="E6" s="1304"/>
      <c r="F6" s="1307"/>
      <c r="G6" s="1307"/>
      <c r="H6" s="1308"/>
      <c r="I6" s="1309">
        <f t="shared" si="0"/>
        <v>0</v>
      </c>
    </row>
    <row r="7" spans="1:9">
      <c r="A7" s="3221"/>
      <c r="B7" s="3222" t="s">
        <v>1089</v>
      </c>
      <c r="C7" s="3222"/>
      <c r="D7" s="1306"/>
      <c r="E7" s="1304"/>
      <c r="F7" s="1307"/>
      <c r="G7" s="1307"/>
      <c r="H7" s="1308"/>
      <c r="I7" s="1309">
        <f t="shared" si="0"/>
        <v>0</v>
      </c>
    </row>
    <row r="8" spans="1:9">
      <c r="A8" s="3221"/>
      <c r="B8" s="3222" t="s">
        <v>1090</v>
      </c>
      <c r="C8" s="3222"/>
      <c r="D8" s="1306"/>
      <c r="E8" s="1304"/>
      <c r="F8" s="1307"/>
      <c r="G8" s="1307"/>
      <c r="H8" s="1308"/>
      <c r="I8" s="1309">
        <f t="shared" si="0"/>
        <v>0</v>
      </c>
    </row>
    <row r="9" spans="1:9">
      <c r="A9" s="3221"/>
      <c r="B9" s="3222" t="s">
        <v>1091</v>
      </c>
      <c r="C9" s="3222"/>
      <c r="D9" s="1306"/>
      <c r="E9" s="1304"/>
      <c r="F9" s="1307"/>
      <c r="G9" s="1307"/>
      <c r="H9" s="1308"/>
      <c r="I9" s="1309">
        <f t="shared" si="0"/>
        <v>0</v>
      </c>
    </row>
    <row r="10" spans="1:9">
      <c r="A10" s="3221"/>
      <c r="B10" s="3223" t="s">
        <v>1092</v>
      </c>
      <c r="C10" s="3223"/>
      <c r="D10" s="1310"/>
      <c r="E10" s="1310" t="e">
        <f>ROUND(D1*10000/D10/H9,0)</f>
        <v>#DIV/0!</v>
      </c>
      <c r="F10" s="1311"/>
      <c r="G10" s="1311"/>
      <c r="H10" s="1312"/>
      <c r="I10" s="1313">
        <f>SUM(I3:I9)</f>
        <v>0</v>
      </c>
    </row>
    <row r="11" spans="1:9" ht="14.25">
      <c r="A11" s="3221" t="s">
        <v>1093</v>
      </c>
      <c r="B11" s="3222" t="s">
        <v>1094</v>
      </c>
      <c r="C11" s="3222"/>
      <c r="D11" s="1306" t="s">
        <v>1095</v>
      </c>
      <c r="E11" s="1306" t="s">
        <v>1096</v>
      </c>
      <c r="F11" s="1307" t="s">
        <v>1097</v>
      </c>
      <c r="G11" s="1307" t="s">
        <v>1083</v>
      </c>
      <c r="H11" s="1314" t="s">
        <v>1098</v>
      </c>
      <c r="I11" s="1305" t="s">
        <v>1084</v>
      </c>
    </row>
    <row r="12" spans="1:9">
      <c r="A12" s="3221"/>
      <c r="B12" s="3222" t="s">
        <v>1099</v>
      </c>
      <c r="C12" s="3222"/>
      <c r="D12" s="1306"/>
      <c r="E12" s="1306"/>
      <c r="F12" s="1307"/>
      <c r="G12" s="1308"/>
      <c r="H12" s="1315"/>
      <c r="I12" s="1305">
        <f>ROUND(D12*E12*F12*G12/10000,0)</f>
        <v>0</v>
      </c>
    </row>
    <row r="13" spans="1:9">
      <c r="A13" s="3221"/>
      <c r="B13" s="3222" t="s">
        <v>1100</v>
      </c>
      <c r="C13" s="3222"/>
      <c r="D13" s="1306"/>
      <c r="E13" s="1306"/>
      <c r="F13" s="1307"/>
      <c r="G13" s="1308"/>
      <c r="H13" s="1315"/>
      <c r="I13" s="1305">
        <f>ROUND(D13*E13*F13*G13/10000,0)</f>
        <v>0</v>
      </c>
    </row>
    <row r="14" spans="1:9">
      <c r="A14" s="3221"/>
      <c r="B14" s="3222" t="s">
        <v>1101</v>
      </c>
      <c r="C14" s="3222"/>
      <c r="D14" s="1306"/>
      <c r="E14" s="1306"/>
      <c r="F14" s="1307"/>
      <c r="G14" s="1308"/>
      <c r="H14" s="1315"/>
      <c r="I14" s="1305">
        <f>ROUND(D14*E14*F14*G14/10000,0)</f>
        <v>0</v>
      </c>
    </row>
    <row r="15" spans="1:9">
      <c r="A15" s="3221"/>
      <c r="B15" s="3223" t="s">
        <v>1092</v>
      </c>
      <c r="C15" s="3223"/>
      <c r="D15" s="1310"/>
      <c r="E15" s="1310">
        <f>SUM(E12:E14)</f>
        <v>0</v>
      </c>
      <c r="F15" s="1311"/>
      <c r="G15" s="1308"/>
      <c r="H15" s="1315"/>
      <c r="I15" s="1316">
        <f>SUM(I12:I14)</f>
        <v>0</v>
      </c>
    </row>
    <row r="16" spans="1:9" ht="24">
      <c r="A16" s="3221" t="s">
        <v>1102</v>
      </c>
      <c r="B16" s="3222" t="s">
        <v>1103</v>
      </c>
      <c r="C16" s="3222"/>
      <c r="D16" s="1306" t="s">
        <v>1079</v>
      </c>
      <c r="E16" s="1317" t="s">
        <v>1104</v>
      </c>
      <c r="F16" s="1307" t="s">
        <v>1105</v>
      </c>
      <c r="G16" s="1308" t="s">
        <v>1083</v>
      </c>
      <c r="H16" s="1314" t="s">
        <v>1098</v>
      </c>
      <c r="I16" s="1305" t="s">
        <v>1084</v>
      </c>
    </row>
    <row r="17" spans="1:9" ht="14.25">
      <c r="A17" s="3221"/>
      <c r="B17" s="3222" t="s">
        <v>1106</v>
      </c>
      <c r="C17" s="3222"/>
      <c r="D17" s="1306"/>
      <c r="E17" s="1306"/>
      <c r="F17" s="1307"/>
      <c r="G17" s="1308"/>
      <c r="H17" s="1318"/>
      <c r="I17" s="1319">
        <f>ROUND(D17*E17*F17*G17/10000,0)</f>
        <v>0</v>
      </c>
    </row>
    <row r="18" spans="1:9" ht="14.25">
      <c r="A18" s="3221"/>
      <c r="B18" s="3222" t="s">
        <v>1107</v>
      </c>
      <c r="C18" s="3222"/>
      <c r="D18" s="1306"/>
      <c r="E18" s="1306"/>
      <c r="F18" s="1307"/>
      <c r="G18" s="1308"/>
      <c r="H18" s="1318"/>
      <c r="I18" s="1319">
        <f>ROUND(D18*E18*F18*G18/10000,0)</f>
        <v>0</v>
      </c>
    </row>
    <row r="19" spans="1:9" ht="14.25">
      <c r="A19" s="3221"/>
      <c r="B19" s="3222" t="s">
        <v>1108</v>
      </c>
      <c r="C19" s="3222"/>
      <c r="D19" s="1306"/>
      <c r="E19" s="1306"/>
      <c r="F19" s="1307"/>
      <c r="G19" s="1308"/>
      <c r="H19" s="1318"/>
      <c r="I19" s="1319">
        <f>ROUND(D19*E19*F19*G19/10000,0)</f>
        <v>0</v>
      </c>
    </row>
    <row r="20" spans="1:9">
      <c r="A20" s="3221"/>
      <c r="B20" s="3223" t="s">
        <v>1092</v>
      </c>
      <c r="C20" s="3223"/>
      <c r="D20" s="1310">
        <f>SUM(D17:D19)</f>
        <v>0</v>
      </c>
      <c r="E20" s="1310"/>
      <c r="F20" s="1311"/>
      <c r="G20" s="1308"/>
      <c r="H20" s="1315"/>
      <c r="I20" s="1316">
        <f>SUM(I17:I19)</f>
        <v>0</v>
      </c>
    </row>
    <row r="21" spans="1:9">
      <c r="A21" s="3221" t="s">
        <v>1109</v>
      </c>
      <c r="B21" s="3224"/>
      <c r="C21" s="3224"/>
      <c r="D21" s="3224"/>
      <c r="E21" s="3224"/>
      <c r="F21" s="3224"/>
      <c r="G21" s="3224"/>
      <c r="H21" s="1768">
        <v>0.1</v>
      </c>
      <c r="I21" s="1313">
        <f>ROUND(I10*H21,0)</f>
        <v>0</v>
      </c>
    </row>
    <row r="22" spans="1:9" ht="14.25">
      <c r="A22" s="3225" t="s">
        <v>1110</v>
      </c>
      <c r="B22" s="3226"/>
      <c r="C22" s="3227"/>
      <c r="D22" s="1320" t="s">
        <v>1111</v>
      </c>
      <c r="E22" s="1320" t="s">
        <v>1112</v>
      </c>
      <c r="F22" s="1321" t="s">
        <v>1113</v>
      </c>
      <c r="G22" s="1321" t="s">
        <v>1114</v>
      </c>
      <c r="H22" s="1314" t="s">
        <v>1115</v>
      </c>
      <c r="I22" s="1305" t="s">
        <v>1116</v>
      </c>
    </row>
    <row r="23" spans="1:9" ht="14.25" thickBot="1">
      <c r="A23" s="3228"/>
      <c r="B23" s="3229"/>
      <c r="C23" s="3230"/>
      <c r="D23" s="1322"/>
      <c r="E23" s="1322"/>
      <c r="F23" s="1322"/>
      <c r="G23" s="1323"/>
      <c r="H23" s="1324"/>
      <c r="I23" s="1325">
        <f>ROUND(E23*D23*F23*(1-G23)/10000,0)</f>
        <v>0</v>
      </c>
    </row>
    <row r="26" spans="1:9">
      <c r="A26" s="1326" t="s">
        <v>1117</v>
      </c>
      <c r="B26" s="1326"/>
      <c r="C26" s="1326"/>
      <c r="D26" s="1326"/>
      <c r="E26" s="3218">
        <f>C27-C30-C31-C32</f>
        <v>0</v>
      </c>
      <c r="F26" s="3218"/>
      <c r="G26" s="3218"/>
      <c r="H26" s="1740"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0"/>
      <c r="F32" s="3220"/>
      <c r="G32" s="3220"/>
    </row>
    <row r="33" spans="1:7" hidden="1">
      <c r="A33" s="3215" t="s">
        <v>1129</v>
      </c>
      <c r="B33" s="3216"/>
      <c r="C33" s="3216"/>
      <c r="D33" s="3217"/>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2531</v>
      </c>
      <c r="D3" s="399">
        <f>IF(D1="",'数据-汇总表'!E3,SUMIF('数据-汇总表'!$C19:$C33,D1,'数据-汇总表'!$E19:$E33))</f>
        <v>1398.7300000000002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54" t="s">
        <v>2533</v>
      </c>
      <c r="D4" s="3255"/>
      <c r="E4" s="3256" t="s">
        <v>2534</v>
      </c>
      <c r="F4" s="3257"/>
      <c r="G4" s="3254" t="s">
        <v>2535</v>
      </c>
      <c r="H4" s="3255"/>
      <c r="I4" s="3254" t="s">
        <v>2536</v>
      </c>
      <c r="J4" s="3255"/>
      <c r="K4" s="2598" t="s">
        <v>2537</v>
      </c>
      <c r="L4" s="1133"/>
      <c r="M4" s="1134"/>
      <c r="N4" s="1134"/>
      <c r="O4" s="1134"/>
      <c r="P4" s="3258" t="s">
        <v>2538</v>
      </c>
      <c r="Q4" s="3259"/>
      <c r="R4" s="3264" t="s">
        <v>2534</v>
      </c>
      <c r="S4" s="3265"/>
      <c r="T4" s="3264" t="s">
        <v>2535</v>
      </c>
      <c r="U4" s="3265"/>
      <c r="V4" s="3270" t="s">
        <v>2536</v>
      </c>
      <c r="W4" s="3270"/>
      <c r="X4" s="1816"/>
      <c r="Y4" s="3264" t="s">
        <v>2538</v>
      </c>
      <c r="Z4" s="3265"/>
      <c r="AA4" s="3251" t="s">
        <v>2534</v>
      </c>
      <c r="AB4" s="3251" t="s">
        <v>2535</v>
      </c>
      <c r="AC4" s="3251" t="s">
        <v>2536</v>
      </c>
    </row>
    <row r="5" spans="1:29" ht="15">
      <c r="A5" s="404"/>
      <c r="B5" s="405"/>
      <c r="C5" s="3273" t="s">
        <v>2539</v>
      </c>
      <c r="D5" s="3274"/>
      <c r="E5" s="3280" t="s">
        <v>2540</v>
      </c>
      <c r="F5" s="3281"/>
      <c r="G5" s="3273" t="s">
        <v>2541</v>
      </c>
      <c r="H5" s="3274"/>
      <c r="I5" s="3273" t="s">
        <v>2542</v>
      </c>
      <c r="J5" s="3274"/>
      <c r="K5" s="2599"/>
      <c r="L5" s="1133"/>
      <c r="M5" s="1134"/>
      <c r="N5" s="1134"/>
      <c r="O5" s="1134"/>
      <c r="P5" s="3260"/>
      <c r="Q5" s="3261"/>
      <c r="R5" s="3266"/>
      <c r="S5" s="3267"/>
      <c r="T5" s="3266"/>
      <c r="U5" s="3267"/>
      <c r="V5" s="3270"/>
      <c r="W5" s="3270"/>
      <c r="X5" s="1816"/>
      <c r="Y5" s="3266"/>
      <c r="Z5" s="3267"/>
      <c r="AA5" s="3252"/>
      <c r="AB5" s="3252"/>
      <c r="AC5" s="3252"/>
    </row>
    <row r="6" spans="1:29" ht="15.75" thickBot="1">
      <c r="A6" s="406"/>
      <c r="B6" s="407"/>
      <c r="C6" s="3271" t="s">
        <v>2543</v>
      </c>
      <c r="D6" s="3272"/>
      <c r="E6" s="3278" t="s">
        <v>2543</v>
      </c>
      <c r="F6" s="3279"/>
      <c r="G6" s="3271" t="s">
        <v>2543</v>
      </c>
      <c r="H6" s="3272"/>
      <c r="I6" s="3271" t="s">
        <v>2543</v>
      </c>
      <c r="J6" s="3272"/>
      <c r="K6" s="2599" t="s">
        <v>2544</v>
      </c>
      <c r="L6" s="1133"/>
      <c r="M6" s="1134"/>
      <c r="N6" s="1134"/>
      <c r="O6" s="1134"/>
      <c r="P6" s="3262"/>
      <c r="Q6" s="3263"/>
      <c r="R6" s="3266"/>
      <c r="S6" s="3267"/>
      <c r="T6" s="3268"/>
      <c r="U6" s="3269"/>
      <c r="V6" s="3270"/>
      <c r="W6" s="3270"/>
      <c r="X6" s="1816"/>
      <c r="Y6" s="3268"/>
      <c r="Z6" s="3269"/>
      <c r="AA6" s="3253"/>
      <c r="AB6" s="3253"/>
      <c r="AC6" s="3253"/>
    </row>
    <row r="7" spans="1:29" s="117" customFormat="1" ht="15.75" thickBot="1">
      <c r="A7" s="408" t="s">
        <v>2545</v>
      </c>
      <c r="B7" s="409"/>
      <c r="C7" s="410">
        <f>'数据-取费表'!B2</f>
        <v>43335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75" t="s">
        <v>2546</v>
      </c>
      <c r="Q7" s="3277"/>
      <c r="R7" s="770" t="s">
        <v>23</v>
      </c>
      <c r="S7" s="771">
        <f t="shared" ref="S7:S15" si="0">F7</f>
        <v>0</v>
      </c>
      <c r="T7" s="770" t="s">
        <v>23</v>
      </c>
      <c r="U7" s="771">
        <f t="shared" ref="U7:U15" si="1">H7</f>
        <v>0</v>
      </c>
      <c r="V7" s="770" t="s">
        <v>23</v>
      </c>
      <c r="W7" s="771">
        <f t="shared" ref="W7:W15" si="2">J7</f>
        <v>0</v>
      </c>
      <c r="X7" s="772"/>
      <c r="Y7" s="3275" t="s">
        <v>2546</v>
      </c>
      <c r="Z7" s="3276"/>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75" t="s">
        <v>2549</v>
      </c>
      <c r="Q8" s="3276"/>
      <c r="R8" s="770" t="s">
        <v>23</v>
      </c>
      <c r="S8" s="771">
        <f t="shared" si="0"/>
        <v>0</v>
      </c>
      <c r="T8" s="770" t="s">
        <v>23</v>
      </c>
      <c r="U8" s="771">
        <f t="shared" si="1"/>
        <v>0</v>
      </c>
      <c r="V8" s="770" t="s">
        <v>23</v>
      </c>
      <c r="W8" s="771">
        <f t="shared" si="2"/>
        <v>0</v>
      </c>
      <c r="X8" s="772"/>
      <c r="Y8" s="3275" t="s">
        <v>2549</v>
      </c>
      <c r="Z8" s="3276"/>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50" t="s">
        <v>2552</v>
      </c>
      <c r="Q9" s="1798" t="str">
        <f t="shared" ref="Q9:Q15" si="6">B9</f>
        <v>用途</v>
      </c>
      <c r="R9" s="770" t="s">
        <v>17</v>
      </c>
      <c r="S9" s="771">
        <f t="shared" si="0"/>
        <v>100</v>
      </c>
      <c r="T9" s="770" t="s">
        <v>17</v>
      </c>
      <c r="U9" s="771">
        <f t="shared" si="1"/>
        <v>100</v>
      </c>
      <c r="V9" s="770" t="s">
        <v>17</v>
      </c>
      <c r="W9" s="771">
        <f t="shared" si="2"/>
        <v>100</v>
      </c>
      <c r="X9" s="772"/>
      <c r="Y9" s="306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0"/>
      <c r="Q10" s="1798"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0"/>
      <c r="Q11" s="1798" t="str">
        <f t="shared" si="6"/>
        <v>容积率</v>
      </c>
      <c r="R11" s="770" t="s">
        <v>21</v>
      </c>
      <c r="S11" s="771" t="e">
        <f t="shared" si="0"/>
        <v>#N/A</v>
      </c>
      <c r="T11" s="770" t="s">
        <v>21</v>
      </c>
      <c r="U11" s="771" t="e">
        <f t="shared" si="1"/>
        <v>#N/A</v>
      </c>
      <c r="V11" s="770" t="s">
        <v>21</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50"/>
      <c r="Q12" s="1798">
        <f t="shared" si="6"/>
        <v>111</v>
      </c>
      <c r="R12" s="770" t="s">
        <v>21</v>
      </c>
      <c r="S12" s="771">
        <f t="shared" si="0"/>
        <v>100</v>
      </c>
      <c r="T12" s="770" t="s">
        <v>21</v>
      </c>
      <c r="U12" s="771">
        <f t="shared" si="1"/>
        <v>100</v>
      </c>
      <c r="V12" s="770" t="s">
        <v>21</v>
      </c>
      <c r="W12" s="771">
        <f t="shared" si="2"/>
        <v>100</v>
      </c>
      <c r="X12" s="772"/>
      <c r="Y12" s="306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50"/>
      <c r="Q13" s="1798">
        <f t="shared" si="6"/>
        <v>111</v>
      </c>
      <c r="R13" s="770" t="s">
        <v>21</v>
      </c>
      <c r="S13" s="771">
        <f t="shared" si="0"/>
        <v>100</v>
      </c>
      <c r="T13" s="770" t="s">
        <v>21</v>
      </c>
      <c r="U13" s="771">
        <f t="shared" si="1"/>
        <v>100</v>
      </c>
      <c r="V13" s="770" t="s">
        <v>21</v>
      </c>
      <c r="W13" s="771">
        <f t="shared" si="2"/>
        <v>100</v>
      </c>
      <c r="X13" s="772"/>
      <c r="Y13" s="306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50"/>
      <c r="Q14" s="1798">
        <f t="shared" si="6"/>
        <v>111</v>
      </c>
      <c r="R14" s="770" t="s">
        <v>21</v>
      </c>
      <c r="S14" s="771">
        <f t="shared" si="0"/>
        <v>100</v>
      </c>
      <c r="T14" s="770" t="s">
        <v>21</v>
      </c>
      <c r="U14" s="771">
        <f t="shared" si="1"/>
        <v>100</v>
      </c>
      <c r="V14" s="770" t="s">
        <v>21</v>
      </c>
      <c r="W14" s="771">
        <f t="shared" si="2"/>
        <v>100</v>
      </c>
      <c r="X14" s="772"/>
      <c r="Y14" s="3064"/>
      <c r="Z14" s="55">
        <f t="shared" si="7"/>
        <v>111</v>
      </c>
      <c r="AA14" s="773">
        <f t="shared" si="3"/>
        <v>1</v>
      </c>
      <c r="AB14" s="773">
        <f t="shared" si="4"/>
        <v>1</v>
      </c>
      <c r="AC14" s="773">
        <f t="shared" si="5"/>
        <v>1</v>
      </c>
    </row>
    <row r="15" spans="1:29" ht="15">
      <c r="A15" s="440" t="s">
        <v>2556</v>
      </c>
      <c r="B15" s="69" t="s">
        <v>2085</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8" t="s">
        <v>2557</v>
      </c>
      <c r="Q15" s="1813" t="str">
        <f t="shared" si="6"/>
        <v>居住社区成熟度</v>
      </c>
      <c r="R15" s="774" t="s">
        <v>21</v>
      </c>
      <c r="S15" s="775">
        <f t="shared" si="0"/>
        <v>100</v>
      </c>
      <c r="T15" s="774" t="s">
        <v>21</v>
      </c>
      <c r="U15" s="775">
        <f t="shared" si="1"/>
        <v>100</v>
      </c>
      <c r="V15" s="774" t="s">
        <v>21</v>
      </c>
      <c r="W15" s="775">
        <f t="shared" si="2"/>
        <v>100</v>
      </c>
      <c r="X15" s="1816"/>
      <c r="Y15" s="3241"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49"/>
      <c r="Q16" s="1813"/>
      <c r="R16" s="774"/>
      <c r="S16" s="775"/>
      <c r="T16" s="774"/>
      <c r="U16" s="775"/>
      <c r="V16" s="774"/>
      <c r="W16" s="775"/>
      <c r="X16" s="1816"/>
      <c r="Y16" s="3242"/>
      <c r="Z16" s="1817"/>
      <c r="AA16" s="1814">
        <v>1</v>
      </c>
      <c r="AB16" s="1814">
        <v>1</v>
      </c>
      <c r="AC16" s="1814">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9"/>
      <c r="Q17" s="1813" t="str">
        <f>B17</f>
        <v>交通便捷度</v>
      </c>
      <c r="R17" s="774" t="s">
        <v>21</v>
      </c>
      <c r="S17" s="775">
        <f>F17</f>
        <v>100</v>
      </c>
      <c r="T17" s="774" t="s">
        <v>21</v>
      </c>
      <c r="U17" s="775">
        <f>H17</f>
        <v>100</v>
      </c>
      <c r="V17" s="774" t="s">
        <v>21</v>
      </c>
      <c r="W17" s="775">
        <f>J17</f>
        <v>100</v>
      </c>
      <c r="X17" s="1816"/>
      <c r="Y17" s="3242"/>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49"/>
      <c r="Q18" s="1813"/>
      <c r="R18" s="774"/>
      <c r="S18" s="775"/>
      <c r="T18" s="774"/>
      <c r="U18" s="775"/>
      <c r="V18" s="774"/>
      <c r="W18" s="775"/>
      <c r="X18" s="1816"/>
      <c r="Y18" s="3242"/>
      <c r="Z18" s="1817"/>
      <c r="AA18" s="1814">
        <v>1</v>
      </c>
      <c r="AB18" s="1814">
        <v>1</v>
      </c>
      <c r="AC18" s="1814">
        <v>1</v>
      </c>
    </row>
    <row r="19" spans="1:29" ht="213.75">
      <c r="A19" s="428"/>
      <c r="B19" s="451" t="s">
        <v>2092</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9"/>
      <c r="Q19" s="1813" t="str">
        <f>B19</f>
        <v>公共配套设施</v>
      </c>
      <c r="R19" s="774" t="s">
        <v>21</v>
      </c>
      <c r="S19" s="775">
        <f>F19</f>
        <v>100</v>
      </c>
      <c r="T19" s="774" t="s">
        <v>21</v>
      </c>
      <c r="U19" s="775">
        <f>H19</f>
        <v>100</v>
      </c>
      <c r="V19" s="774" t="s">
        <v>21</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49"/>
      <c r="Q20" s="1813"/>
      <c r="R20" s="774"/>
      <c r="S20" s="775"/>
      <c r="T20" s="774"/>
      <c r="U20" s="775"/>
      <c r="V20" s="774"/>
      <c r="W20" s="775"/>
      <c r="X20" s="1816"/>
      <c r="Y20" s="3242"/>
      <c r="Z20" s="1817"/>
      <c r="AA20" s="1814">
        <v>1</v>
      </c>
      <c r="AB20" s="1814">
        <v>1</v>
      </c>
      <c r="AC20" s="1814">
        <v>1</v>
      </c>
    </row>
    <row r="21" spans="1:29" ht="42.75">
      <c r="A21" s="428"/>
      <c r="B21" s="1387" t="s">
        <v>2095</v>
      </c>
      <c r="C21" s="2609"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49"/>
      <c r="Q22" s="1813"/>
      <c r="R22" s="774"/>
      <c r="S22" s="775"/>
      <c r="T22" s="774"/>
      <c r="U22" s="775"/>
      <c r="V22" s="774"/>
      <c r="W22" s="775"/>
      <c r="X22" s="1816"/>
      <c r="Y22" s="3242"/>
      <c r="Z22" s="1817"/>
      <c r="AA22" s="1814">
        <v>1</v>
      </c>
      <c r="AB22" s="1814">
        <v>1</v>
      </c>
      <c r="AC22" s="1814">
        <v>1</v>
      </c>
    </row>
    <row r="23" spans="1:29" ht="71.25">
      <c r="A23" s="428"/>
      <c r="B23" s="451" t="s">
        <v>2099</v>
      </c>
      <c r="C23" s="2609" t="str">
        <f>估价对象房地状况!C9</f>
        <v>区域自然环境：休闲公园；人文环境：北京园博园；综合评价环境状况一般。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9"/>
      <c r="Q23" s="1813" t="str">
        <f>B23</f>
        <v>自然及人文环境</v>
      </c>
      <c r="R23" s="774" t="s">
        <v>21</v>
      </c>
      <c r="S23" s="775">
        <f>F23</f>
        <v>100</v>
      </c>
      <c r="T23" s="774" t="s">
        <v>21</v>
      </c>
      <c r="U23" s="775">
        <f>H23</f>
        <v>100</v>
      </c>
      <c r="V23" s="774" t="s">
        <v>21</v>
      </c>
      <c r="W23" s="775">
        <f>J23</f>
        <v>100</v>
      </c>
      <c r="X23" s="1816"/>
      <c r="Y23" s="3242"/>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49"/>
      <c r="Q24" s="1813"/>
      <c r="R24" s="774"/>
      <c r="S24" s="775"/>
      <c r="T24" s="774"/>
      <c r="U24" s="775"/>
      <c r="V24" s="774"/>
      <c r="W24" s="775"/>
      <c r="X24" s="1816"/>
      <c r="Y24" s="3242"/>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2"/>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9"/>
      <c r="Q26" s="1813" t="str">
        <f t="shared" si="11"/>
        <v>朝向</v>
      </c>
      <c r="R26" s="774" t="s">
        <v>21</v>
      </c>
      <c r="S26" s="775">
        <f t="shared" si="12"/>
        <v>100</v>
      </c>
      <c r="T26" s="774" t="s">
        <v>21</v>
      </c>
      <c r="U26" s="775">
        <f t="shared" si="13"/>
        <v>100</v>
      </c>
      <c r="V26" s="774" t="s">
        <v>21</v>
      </c>
      <c r="W26" s="775">
        <f t="shared" si="14"/>
        <v>100</v>
      </c>
      <c r="X26" s="1816"/>
      <c r="Y26" s="324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9"/>
      <c r="Q27" s="1798">
        <f t="shared" si="11"/>
        <v>111</v>
      </c>
      <c r="R27" s="770" t="s">
        <v>21</v>
      </c>
      <c r="S27" s="771">
        <f t="shared" si="12"/>
        <v>100</v>
      </c>
      <c r="T27" s="770" t="s">
        <v>21</v>
      </c>
      <c r="U27" s="771">
        <f t="shared" si="13"/>
        <v>100</v>
      </c>
      <c r="V27" s="770" t="s">
        <v>21</v>
      </c>
      <c r="W27" s="771">
        <f t="shared" si="14"/>
        <v>100</v>
      </c>
      <c r="X27" s="772"/>
      <c r="Y27" s="324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9"/>
      <c r="Q28" s="1813">
        <f t="shared" si="11"/>
        <v>111</v>
      </c>
      <c r="R28" s="774" t="s">
        <v>21</v>
      </c>
      <c r="S28" s="775">
        <f t="shared" si="12"/>
        <v>100</v>
      </c>
      <c r="T28" s="774" t="s">
        <v>21</v>
      </c>
      <c r="U28" s="775">
        <f t="shared" si="13"/>
        <v>100</v>
      </c>
      <c r="V28" s="774" t="s">
        <v>21</v>
      </c>
      <c r="W28" s="775">
        <f t="shared" si="14"/>
        <v>100</v>
      </c>
      <c r="X28" s="1816"/>
      <c r="Y28" s="324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9"/>
      <c r="Q29" s="1813">
        <f t="shared" si="11"/>
        <v>111</v>
      </c>
      <c r="R29" s="774" t="s">
        <v>21</v>
      </c>
      <c r="S29" s="775">
        <f t="shared" si="12"/>
        <v>100</v>
      </c>
      <c r="T29" s="774" t="s">
        <v>21</v>
      </c>
      <c r="U29" s="775">
        <f t="shared" si="13"/>
        <v>100</v>
      </c>
      <c r="V29" s="774" t="s">
        <v>21</v>
      </c>
      <c r="W29" s="775">
        <f t="shared" si="14"/>
        <v>100</v>
      </c>
      <c r="X29" s="1816"/>
      <c r="Y29" s="324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9"/>
      <c r="Q30" s="1813">
        <f t="shared" si="11"/>
        <v>111</v>
      </c>
      <c r="R30" s="774" t="s">
        <v>21</v>
      </c>
      <c r="S30" s="775">
        <f t="shared" si="12"/>
        <v>100</v>
      </c>
      <c r="T30" s="774" t="s">
        <v>21</v>
      </c>
      <c r="U30" s="775">
        <f t="shared" si="13"/>
        <v>100</v>
      </c>
      <c r="V30" s="774" t="s">
        <v>21</v>
      </c>
      <c r="W30" s="775">
        <f t="shared" si="14"/>
        <v>100</v>
      </c>
      <c r="X30" s="1816"/>
      <c r="Y30" s="324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9"/>
      <c r="Q31" s="1813">
        <f t="shared" si="11"/>
        <v>111</v>
      </c>
      <c r="R31" s="774" t="s">
        <v>21</v>
      </c>
      <c r="S31" s="775">
        <f t="shared" si="12"/>
        <v>100</v>
      </c>
      <c r="T31" s="774" t="s">
        <v>21</v>
      </c>
      <c r="U31" s="775">
        <f t="shared" si="13"/>
        <v>100</v>
      </c>
      <c r="V31" s="774" t="s">
        <v>21</v>
      </c>
      <c r="W31" s="775">
        <f t="shared" si="14"/>
        <v>100</v>
      </c>
      <c r="X31" s="1816"/>
      <c r="Y31" s="3242"/>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43" t="s">
        <v>2562</v>
      </c>
      <c r="Q32" s="1813" t="str">
        <f t="shared" si="11"/>
        <v>建筑类型</v>
      </c>
      <c r="R32" s="774" t="s">
        <v>21</v>
      </c>
      <c r="S32" s="775">
        <f t="shared" si="12"/>
        <v>100</v>
      </c>
      <c r="T32" s="774" t="s">
        <v>21</v>
      </c>
      <c r="U32" s="775">
        <f t="shared" si="13"/>
        <v>100</v>
      </c>
      <c r="V32" s="774" t="s">
        <v>21</v>
      </c>
      <c r="W32" s="775">
        <f t="shared" si="14"/>
        <v>100</v>
      </c>
      <c r="X32" s="1816"/>
      <c r="Y32" s="3246"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44"/>
      <c r="Q33" s="776" t="str">
        <f t="shared" si="11"/>
        <v>项目建筑规模</v>
      </c>
      <c r="R33" s="777" t="s">
        <v>21</v>
      </c>
      <c r="S33" s="778" t="e">
        <f t="shared" si="12"/>
        <v>#N/A</v>
      </c>
      <c r="T33" s="777" t="s">
        <v>21</v>
      </c>
      <c r="U33" s="778" t="e">
        <f t="shared" si="13"/>
        <v>#N/A</v>
      </c>
      <c r="V33" s="777" t="s">
        <v>21</v>
      </c>
      <c r="W33" s="778" t="e">
        <f t="shared" si="14"/>
        <v>#N/A</v>
      </c>
      <c r="X33" s="779"/>
      <c r="Y33" s="3246"/>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44"/>
      <c r="Q34" s="1813" t="str">
        <f t="shared" si="11"/>
        <v>建筑结构</v>
      </c>
      <c r="R34" s="774" t="s">
        <v>21</v>
      </c>
      <c r="S34" s="775">
        <f t="shared" si="12"/>
        <v>100</v>
      </c>
      <c r="T34" s="774" t="s">
        <v>21</v>
      </c>
      <c r="U34" s="775">
        <f t="shared" si="13"/>
        <v>100</v>
      </c>
      <c r="V34" s="774" t="s">
        <v>21</v>
      </c>
      <c r="W34" s="775">
        <f t="shared" si="14"/>
        <v>100</v>
      </c>
      <c r="X34" s="1816"/>
      <c r="Y34" s="3246"/>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44"/>
      <c r="Q35" s="1813" t="str">
        <f t="shared" si="11"/>
        <v>建筑品质</v>
      </c>
      <c r="R35" s="774" t="s">
        <v>21</v>
      </c>
      <c r="S35" s="775">
        <f t="shared" si="12"/>
        <v>100</v>
      </c>
      <c r="T35" s="774" t="s">
        <v>21</v>
      </c>
      <c r="U35" s="775">
        <f t="shared" si="13"/>
        <v>100</v>
      </c>
      <c r="V35" s="774" t="s">
        <v>21</v>
      </c>
      <c r="W35" s="775">
        <f t="shared" si="14"/>
        <v>100</v>
      </c>
      <c r="X35" s="1816"/>
      <c r="Y35" s="3246"/>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44"/>
      <c r="Q36" s="1813" t="str">
        <f t="shared" si="11"/>
        <v>公共部分装修</v>
      </c>
      <c r="R36" s="774" t="s">
        <v>21</v>
      </c>
      <c r="S36" s="775">
        <f t="shared" si="12"/>
        <v>100</v>
      </c>
      <c r="T36" s="774" t="s">
        <v>21</v>
      </c>
      <c r="U36" s="775">
        <f t="shared" si="13"/>
        <v>100</v>
      </c>
      <c r="V36" s="774" t="s">
        <v>21</v>
      </c>
      <c r="W36" s="775">
        <f t="shared" si="14"/>
        <v>100</v>
      </c>
      <c r="X36" s="1816"/>
      <c r="Y36" s="3246"/>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4"/>
      <c r="Q37" s="1798" t="str">
        <f t="shared" si="11"/>
        <v>成新度</v>
      </c>
      <c r="R37" s="770" t="s">
        <v>21</v>
      </c>
      <c r="S37" s="771" t="e">
        <f t="shared" si="12"/>
        <v>#N/A</v>
      </c>
      <c r="T37" s="770" t="s">
        <v>21</v>
      </c>
      <c r="U37" s="771" t="e">
        <f t="shared" si="13"/>
        <v>#N/A</v>
      </c>
      <c r="V37" s="770" t="s">
        <v>21</v>
      </c>
      <c r="W37" s="771" t="e">
        <f t="shared" si="14"/>
        <v>#N/A</v>
      </c>
      <c r="X37" s="772"/>
      <c r="Y37" s="3246"/>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44" t="s">
        <v>2562</v>
      </c>
      <c r="Q38" s="1813" t="str">
        <f t="shared" si="11"/>
        <v>物业管理</v>
      </c>
      <c r="R38" s="774" t="s">
        <v>21</v>
      </c>
      <c r="S38" s="775">
        <f t="shared" si="12"/>
        <v>100</v>
      </c>
      <c r="T38" s="774" t="s">
        <v>21</v>
      </c>
      <c r="U38" s="775">
        <f t="shared" si="13"/>
        <v>100</v>
      </c>
      <c r="V38" s="774" t="s">
        <v>21</v>
      </c>
      <c r="W38" s="775">
        <f t="shared" si="14"/>
        <v>100</v>
      </c>
      <c r="X38" s="1816"/>
      <c r="Y38" s="3246"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44"/>
      <c r="Q39" s="1813" t="str">
        <f t="shared" si="11"/>
        <v>市政基础设施</v>
      </c>
      <c r="R39" s="774" t="s">
        <v>21</v>
      </c>
      <c r="S39" s="775">
        <f t="shared" si="12"/>
        <v>100</v>
      </c>
      <c r="T39" s="774" t="s">
        <v>21</v>
      </c>
      <c r="U39" s="775">
        <f t="shared" si="13"/>
        <v>100</v>
      </c>
      <c r="V39" s="774" t="s">
        <v>21</v>
      </c>
      <c r="W39" s="775">
        <f t="shared" si="14"/>
        <v>100</v>
      </c>
      <c r="X39" s="1816"/>
      <c r="Y39" s="3246"/>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44"/>
      <c r="Q40" s="1813" t="str">
        <f t="shared" si="11"/>
        <v>房型</v>
      </c>
      <c r="R40" s="774" t="s">
        <v>21</v>
      </c>
      <c r="S40" s="775">
        <f t="shared" si="12"/>
        <v>100</v>
      </c>
      <c r="T40" s="774" t="s">
        <v>21</v>
      </c>
      <c r="U40" s="775">
        <f t="shared" si="13"/>
        <v>100</v>
      </c>
      <c r="V40" s="774" t="s">
        <v>21</v>
      </c>
      <c r="W40" s="775">
        <f t="shared" si="14"/>
        <v>100</v>
      </c>
      <c r="X40" s="1816"/>
      <c r="Y40" s="3246"/>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44"/>
      <c r="Q41" s="776" t="str">
        <f t="shared" si="11"/>
        <v>单套/主力户型建筑面积</v>
      </c>
      <c r="R41" s="777" t="s">
        <v>21</v>
      </c>
      <c r="S41" s="778">
        <f t="shared" si="12"/>
        <v>100</v>
      </c>
      <c r="T41" s="777" t="s">
        <v>21</v>
      </c>
      <c r="U41" s="778">
        <f t="shared" si="13"/>
        <v>100</v>
      </c>
      <c r="V41" s="777" t="s">
        <v>21</v>
      </c>
      <c r="W41" s="778">
        <f t="shared" si="14"/>
        <v>100</v>
      </c>
      <c r="X41" s="779"/>
      <c r="Y41" s="3246"/>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44"/>
      <c r="Q42" s="1813" t="str">
        <f t="shared" si="11"/>
        <v>内部装修</v>
      </c>
      <c r="R42" s="774" t="s">
        <v>21</v>
      </c>
      <c r="S42" s="775">
        <f t="shared" si="12"/>
        <v>100</v>
      </c>
      <c r="T42" s="774" t="s">
        <v>21</v>
      </c>
      <c r="U42" s="775">
        <f t="shared" si="13"/>
        <v>100</v>
      </c>
      <c r="V42" s="774" t="s">
        <v>21</v>
      </c>
      <c r="W42" s="775">
        <f t="shared" si="14"/>
        <v>100</v>
      </c>
      <c r="X42" s="1816"/>
      <c r="Y42" s="3246"/>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44"/>
      <c r="Q43" s="1813" t="str">
        <f t="shared" si="11"/>
        <v>内部装修维护情况</v>
      </c>
      <c r="R43" s="774" t="s">
        <v>21</v>
      </c>
      <c r="S43" s="775">
        <f t="shared" si="12"/>
        <v>100</v>
      </c>
      <c r="T43" s="774" t="s">
        <v>21</v>
      </c>
      <c r="U43" s="775">
        <f t="shared" si="13"/>
        <v>100</v>
      </c>
      <c r="V43" s="774" t="s">
        <v>21</v>
      </c>
      <c r="W43" s="775">
        <f t="shared" si="14"/>
        <v>100</v>
      </c>
      <c r="X43" s="1816"/>
      <c r="Y43" s="324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44"/>
      <c r="Q44" s="1798">
        <f t="shared" si="11"/>
        <v>111</v>
      </c>
      <c r="R44" s="770" t="s">
        <v>21</v>
      </c>
      <c r="S44" s="771">
        <f t="shared" si="12"/>
        <v>100</v>
      </c>
      <c r="T44" s="770" t="s">
        <v>21</v>
      </c>
      <c r="U44" s="771">
        <f t="shared" si="13"/>
        <v>100</v>
      </c>
      <c r="V44" s="770" t="s">
        <v>21</v>
      </c>
      <c r="W44" s="771">
        <f t="shared" si="14"/>
        <v>100</v>
      </c>
      <c r="X44" s="772"/>
      <c r="Y44" s="324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44"/>
      <c r="Q45" s="1813">
        <f t="shared" si="11"/>
        <v>111</v>
      </c>
      <c r="R45" s="774" t="s">
        <v>21</v>
      </c>
      <c r="S45" s="775">
        <f t="shared" si="12"/>
        <v>100</v>
      </c>
      <c r="T45" s="774" t="s">
        <v>21</v>
      </c>
      <c r="U45" s="775">
        <f t="shared" si="13"/>
        <v>100</v>
      </c>
      <c r="V45" s="774" t="s">
        <v>21</v>
      </c>
      <c r="W45" s="775">
        <f t="shared" si="14"/>
        <v>100</v>
      </c>
      <c r="X45" s="1816"/>
      <c r="Y45" s="3246"/>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45"/>
      <c r="Q46" s="1813">
        <f t="shared" si="11"/>
        <v>111</v>
      </c>
      <c r="R46" s="774" t="s">
        <v>20</v>
      </c>
      <c r="S46" s="775">
        <f t="shared" si="12"/>
        <v>100</v>
      </c>
      <c r="T46" s="774" t="s">
        <v>20</v>
      </c>
      <c r="U46" s="775">
        <f t="shared" si="13"/>
        <v>100</v>
      </c>
      <c r="V46" s="774" t="s">
        <v>20</v>
      </c>
      <c r="W46" s="775">
        <f t="shared" si="14"/>
        <v>100</v>
      </c>
      <c r="X46" s="1816"/>
      <c r="Y46" s="3247"/>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0" zoomScale="90" zoomScaleNormal="90" workbookViewId="0">
      <selection activeCell="G106" sqref="G10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t="s">
        <v>3188</v>
      </c>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f>IF(C2="——",ROUND(C49*D3/10000,0),ROUND(C49*D3/10000,0)-D2)</f>
        <v>4899</v>
      </c>
      <c r="C2" s="2588" t="s">
        <v>70</v>
      </c>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f>IF(C2="——",C49,ROUND(B2*10000/D3,0))</f>
        <v>35023</v>
      </c>
      <c r="C3" s="400" t="s">
        <v>2641</v>
      </c>
      <c r="D3" s="399">
        <f>IF(D1="",'数据-汇总表'!E3,SUMIF('数据-汇总表'!$C19:$C33,D1,'数据-汇总表'!$E19:$E33))</f>
        <v>1398.7300000000002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54" t="s">
        <v>2643</v>
      </c>
      <c r="D4" s="3255"/>
      <c r="E4" s="3256" t="s">
        <v>2644</v>
      </c>
      <c r="F4" s="3257"/>
      <c r="G4" s="3254" t="s">
        <v>2645</v>
      </c>
      <c r="H4" s="3255"/>
      <c r="I4" s="3254" t="s">
        <v>2646</v>
      </c>
      <c r="J4" s="3255"/>
      <c r="K4" s="610" t="s">
        <v>2647</v>
      </c>
      <c r="L4" s="1133"/>
      <c r="M4" s="1134"/>
      <c r="N4" s="1134"/>
      <c r="O4" s="1134"/>
      <c r="P4" s="3258" t="s">
        <v>2648</v>
      </c>
      <c r="Q4" s="3259"/>
      <c r="R4" s="3264" t="s">
        <v>2644</v>
      </c>
      <c r="S4" s="3265"/>
      <c r="T4" s="3264" t="s">
        <v>2645</v>
      </c>
      <c r="U4" s="3265"/>
      <c r="V4" s="3270" t="s">
        <v>2646</v>
      </c>
      <c r="W4" s="3270"/>
      <c r="X4" s="1816"/>
      <c r="Y4" s="3264" t="s">
        <v>2648</v>
      </c>
      <c r="Z4" s="3265"/>
      <c r="AA4" s="3251" t="s">
        <v>2644</v>
      </c>
      <c r="AB4" s="3270" t="s">
        <v>2645</v>
      </c>
      <c r="AC4" s="3251" t="s">
        <v>2646</v>
      </c>
    </row>
    <row r="5" spans="1:29" ht="15">
      <c r="A5" s="404"/>
      <c r="B5" s="405"/>
      <c r="C5" s="3283" t="s">
        <v>3189</v>
      </c>
      <c r="D5" s="3274"/>
      <c r="E5" s="3285" t="s">
        <v>3208</v>
      </c>
      <c r="F5" s="3281"/>
      <c r="G5" s="3283" t="s">
        <v>3207</v>
      </c>
      <c r="H5" s="3274"/>
      <c r="I5" s="3283" t="s">
        <v>3210</v>
      </c>
      <c r="J5" s="3274"/>
      <c r="K5" s="610"/>
      <c r="L5" s="1133"/>
      <c r="M5" s="1134"/>
      <c r="N5" s="1134"/>
      <c r="O5" s="1134"/>
      <c r="P5" s="3260"/>
      <c r="Q5" s="3261"/>
      <c r="R5" s="3266"/>
      <c r="S5" s="3267"/>
      <c r="T5" s="3266"/>
      <c r="U5" s="3267"/>
      <c r="V5" s="3270"/>
      <c r="W5" s="3270"/>
      <c r="X5" s="1816"/>
      <c r="Y5" s="3266"/>
      <c r="Z5" s="3267"/>
      <c r="AA5" s="3252"/>
      <c r="AB5" s="3270"/>
      <c r="AC5" s="3252"/>
    </row>
    <row r="6" spans="1:29" ht="35.25" customHeight="1" thickBot="1">
      <c r="A6" s="406"/>
      <c r="B6" s="407"/>
      <c r="C6" s="3282" t="s">
        <v>3205</v>
      </c>
      <c r="D6" s="3272"/>
      <c r="E6" s="3284" t="s">
        <v>3204</v>
      </c>
      <c r="F6" s="3279"/>
      <c r="G6" s="3282" t="s">
        <v>3206</v>
      </c>
      <c r="H6" s="3272"/>
      <c r="I6" s="3282" t="s">
        <v>3209</v>
      </c>
      <c r="J6" s="3272"/>
      <c r="K6" s="610" t="s">
        <v>2544</v>
      </c>
      <c r="L6" s="1133"/>
      <c r="M6" s="1134"/>
      <c r="N6" s="1134"/>
      <c r="O6" s="1134"/>
      <c r="P6" s="3262"/>
      <c r="Q6" s="3263"/>
      <c r="R6" s="3266"/>
      <c r="S6" s="3267"/>
      <c r="T6" s="3268"/>
      <c r="U6" s="3269"/>
      <c r="V6" s="3270"/>
      <c r="W6" s="3270"/>
      <c r="X6" s="1816"/>
      <c r="Y6" s="3268"/>
      <c r="Z6" s="3269"/>
      <c r="AA6" s="3253"/>
      <c r="AB6" s="3270"/>
      <c r="AC6" s="3253"/>
    </row>
    <row r="7" spans="1:29" s="117" customFormat="1" ht="15.75" thickBot="1">
      <c r="A7" s="408" t="s">
        <v>2545</v>
      </c>
      <c r="B7" s="409"/>
      <c r="C7" s="410">
        <f>'数据-取费表'!B2</f>
        <v>43335</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75" t="s">
        <v>2546</v>
      </c>
      <c r="Q7" s="3277"/>
      <c r="R7" s="770" t="s">
        <v>17</v>
      </c>
      <c r="S7" s="771">
        <f t="shared" ref="S7:S15" si="0">F7</f>
        <v>100</v>
      </c>
      <c r="T7" s="770" t="s">
        <v>17</v>
      </c>
      <c r="U7" s="771">
        <f t="shared" ref="U7:U15" si="1">H7</f>
        <v>100</v>
      </c>
      <c r="V7" s="770" t="s">
        <v>17</v>
      </c>
      <c r="W7" s="771">
        <f t="shared" ref="W7:W15" si="2">J7</f>
        <v>100</v>
      </c>
      <c r="X7" s="772"/>
      <c r="Y7" s="3275" t="s">
        <v>2546</v>
      </c>
      <c r="Z7" s="3276"/>
      <c r="AA7" s="773">
        <f>D7/F7</f>
        <v>1</v>
      </c>
      <c r="AB7" s="773">
        <f>D7/H7</f>
        <v>1</v>
      </c>
      <c r="AC7" s="773">
        <f>D7/J7</f>
        <v>1</v>
      </c>
    </row>
    <row r="8" spans="1:29" s="117"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5"/>
      <c r="M8" s="1136"/>
      <c r="N8" s="1136"/>
      <c r="O8" s="1136"/>
      <c r="P8" s="3275" t="s">
        <v>2549</v>
      </c>
      <c r="Q8" s="3276"/>
      <c r="R8" s="770" t="s">
        <v>17</v>
      </c>
      <c r="S8" s="771">
        <f t="shared" si="0"/>
        <v>100</v>
      </c>
      <c r="T8" s="770" t="s">
        <v>17</v>
      </c>
      <c r="U8" s="771">
        <f t="shared" si="1"/>
        <v>100</v>
      </c>
      <c r="V8" s="770" t="s">
        <v>17</v>
      </c>
      <c r="W8" s="771">
        <f t="shared" si="2"/>
        <v>100</v>
      </c>
      <c r="X8" s="772"/>
      <c r="Y8" s="3275" t="s">
        <v>2549</v>
      </c>
      <c r="Z8" s="3276"/>
      <c r="AA8" s="773">
        <f t="shared" ref="AA8:AA46" si="3">D8/F8</f>
        <v>1</v>
      </c>
      <c r="AB8" s="773">
        <f t="shared" ref="AB8:AB46" si="4">D8/H8</f>
        <v>1</v>
      </c>
      <c r="AC8" s="773">
        <f t="shared" ref="AC8:AC46" si="5">D8/J8</f>
        <v>1</v>
      </c>
    </row>
    <row r="9" spans="1:29" s="117" customFormat="1">
      <c r="A9" s="415" t="s">
        <v>2550</v>
      </c>
      <c r="B9" s="71" t="s">
        <v>2551</v>
      </c>
      <c r="C9" s="3009" t="s">
        <v>3201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50" t="s">
        <v>2552</v>
      </c>
      <c r="Q9" s="1798" t="str">
        <f t="shared" ref="Q9:Q15" si="6">B9</f>
        <v>用途</v>
      </c>
      <c r="R9" s="770" t="s">
        <v>17</v>
      </c>
      <c r="S9" s="771">
        <f t="shared" si="0"/>
        <v>100</v>
      </c>
      <c r="T9" s="770" t="s">
        <v>17</v>
      </c>
      <c r="U9" s="771">
        <f t="shared" si="1"/>
        <v>100</v>
      </c>
      <c r="V9" s="770" t="s">
        <v>17</v>
      </c>
      <c r="W9" s="771">
        <f t="shared" si="2"/>
        <v>100</v>
      </c>
      <c r="X9" s="772"/>
      <c r="Y9" s="3064" t="s">
        <v>2553</v>
      </c>
      <c r="Z9" s="55" t="str">
        <f t="shared" ref="Z9:Z15" si="7">Q9</f>
        <v>用途</v>
      </c>
      <c r="AA9" s="773">
        <f t="shared" si="3"/>
        <v>1</v>
      </c>
      <c r="AB9" s="773">
        <f t="shared" si="4"/>
        <v>1</v>
      </c>
      <c r="AC9" s="773">
        <f t="shared" si="5"/>
        <v>1</v>
      </c>
    </row>
    <row r="10" spans="1:29" s="427" customFormat="1" ht="27">
      <c r="A10" s="421"/>
      <c r="B10" s="422" t="s">
        <v>2554</v>
      </c>
      <c r="C10" s="423" t="s">
        <v>3192</v>
      </c>
      <c r="D10" s="136">
        <v>100</v>
      </c>
      <c r="E10" s="423" t="s">
        <v>3192</v>
      </c>
      <c r="F10" s="425">
        <f>SUMIF(65:65,E10,66:66)-SUMIF(65:65,C10,66:66)+100</f>
        <v>100</v>
      </c>
      <c r="G10" s="423" t="s">
        <v>3192</v>
      </c>
      <c r="H10" s="136">
        <f>SUMIF(65:65,G10,66:66)-SUMIF(65:65,C10,66:66)+100</f>
        <v>100</v>
      </c>
      <c r="I10" s="423" t="s">
        <v>3192</v>
      </c>
      <c r="J10" s="136">
        <f>SUMIF(65:65,I10,66:66)-SUMIF(65:65,C10,66:66)+100</f>
        <v>100</v>
      </c>
      <c r="K10" s="612"/>
      <c r="L10" s="1138"/>
      <c r="M10" s="1139"/>
      <c r="N10" s="1139"/>
      <c r="O10" s="1139"/>
      <c r="P10" s="3250"/>
      <c r="Q10" s="1798"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75" thickBot="1">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0"/>
      <c r="Q11" s="1798" t="str">
        <f t="shared" si="6"/>
        <v>容积率</v>
      </c>
      <c r="R11" s="770" t="s">
        <v>17</v>
      </c>
      <c r="S11" s="771">
        <f t="shared" si="0"/>
        <v>100</v>
      </c>
      <c r="T11" s="770" t="s">
        <v>17</v>
      </c>
      <c r="U11" s="771">
        <f t="shared" si="1"/>
        <v>100</v>
      </c>
      <c r="V11" s="770" t="s">
        <v>17</v>
      </c>
      <c r="W11" s="771">
        <f t="shared" si="2"/>
        <v>100</v>
      </c>
      <c r="X11" s="772"/>
      <c r="Y11" s="3064"/>
      <c r="Z11" s="55" t="str">
        <f t="shared" si="7"/>
        <v>容积率</v>
      </c>
      <c r="AA11" s="773">
        <f t="shared" si="3"/>
        <v>1</v>
      </c>
      <c r="AB11" s="773">
        <f t="shared" si="4"/>
        <v>1</v>
      </c>
      <c r="AC11" s="773">
        <f t="shared" si="5"/>
        <v>1</v>
      </c>
    </row>
    <row r="12" spans="1:29" s="117" customFormat="1" ht="15" hidden="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0"/>
      <c r="Q12" s="1798">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0"/>
      <c r="Q13" s="1798">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0"/>
      <c r="Q14" s="1798">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21.5">
      <c r="A15" s="440" t="s">
        <v>2556</v>
      </c>
      <c r="B15" s="69" t="s">
        <v>2650</v>
      </c>
      <c r="C15" s="2605" t="str">
        <f>估价对象房地状况!C4</f>
        <v>估价对象位于万兴路，周边商业氛围较不成熟，周边无大型购物场所，人流量一般，商业繁华一般。</v>
      </c>
      <c r="D15" s="441">
        <v>100</v>
      </c>
      <c r="E15" s="3017" t="s">
        <v>3247</v>
      </c>
      <c r="F15" s="443">
        <f>SUMIF(76:76,E16,77:77)-SUMIF(76:76,C16,77:77)+100</f>
        <v>103</v>
      </c>
      <c r="G15" s="3017" t="s">
        <v>3248</v>
      </c>
      <c r="H15" s="441">
        <f>SUMIF(76:76,G16,77:77)-SUMIF(76:76,C16,77:77)+100</f>
        <v>100</v>
      </c>
      <c r="I15" s="3017" t="s">
        <v>3253</v>
      </c>
      <c r="J15" s="441">
        <f>SUMIF(76:76,I16,77:77)-SUMIF(76:76,C16,77:77)+100</f>
        <v>103</v>
      </c>
      <c r="K15" s="614">
        <v>3</v>
      </c>
      <c r="L15" s="1143"/>
      <c r="M15" s="1134"/>
      <c r="N15" s="1134"/>
      <c r="O15" s="1134"/>
      <c r="P15" s="3248" t="s">
        <v>2557</v>
      </c>
      <c r="Q15" s="1813" t="str">
        <f t="shared" si="6"/>
        <v>商业繁华度</v>
      </c>
      <c r="R15" s="774" t="s">
        <v>17</v>
      </c>
      <c r="S15" s="775">
        <f t="shared" si="0"/>
        <v>103</v>
      </c>
      <c r="T15" s="774" t="s">
        <v>17</v>
      </c>
      <c r="U15" s="775">
        <f t="shared" si="1"/>
        <v>100</v>
      </c>
      <c r="V15" s="774" t="s">
        <v>17</v>
      </c>
      <c r="W15" s="775">
        <f t="shared" si="2"/>
        <v>103</v>
      </c>
      <c r="X15" s="1816"/>
      <c r="Y15" s="3241" t="s">
        <v>2557</v>
      </c>
      <c r="Z15" s="1817" t="str">
        <f t="shared" si="7"/>
        <v>商业繁华度</v>
      </c>
      <c r="AA15" s="1814">
        <f t="shared" si="3"/>
        <v>0.970873786407767</v>
      </c>
      <c r="AB15" s="1814">
        <f t="shared" si="4"/>
        <v>1</v>
      </c>
      <c r="AC15" s="1814">
        <f t="shared" si="5"/>
        <v>0.970873786407767</v>
      </c>
    </row>
    <row r="16" spans="1:29" ht="15">
      <c r="A16" s="428"/>
      <c r="B16" s="446"/>
      <c r="C16" s="447" t="s">
        <v>3202</v>
      </c>
      <c r="D16" s="448"/>
      <c r="E16" s="447" t="s">
        <v>3203</v>
      </c>
      <c r="F16" s="449"/>
      <c r="G16" s="447" t="s">
        <v>3202</v>
      </c>
      <c r="H16" s="450"/>
      <c r="I16" s="447" t="s">
        <v>3203</v>
      </c>
      <c r="J16" s="448"/>
      <c r="K16" s="615"/>
      <c r="L16" s="1143"/>
      <c r="M16" s="1134"/>
      <c r="N16" s="1134"/>
      <c r="O16" s="1134"/>
      <c r="P16" s="3249"/>
      <c r="Q16" s="1813"/>
      <c r="R16" s="774"/>
      <c r="S16" s="775"/>
      <c r="T16" s="774"/>
      <c r="U16" s="775"/>
      <c r="V16" s="774"/>
      <c r="W16" s="775"/>
      <c r="X16" s="1816"/>
      <c r="Y16" s="3242"/>
      <c r="Z16" s="1817"/>
      <c r="AA16" s="1814">
        <v>1</v>
      </c>
      <c r="AB16" s="1814">
        <v>1</v>
      </c>
      <c r="AC16" s="1814">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2" t="s">
        <v>3227</v>
      </c>
      <c r="F17" s="453">
        <f>SUMIF(78:78,E18,79:79)-SUMIF(78:78,C18,79:79)+100</f>
        <v>100</v>
      </c>
      <c r="G17" s="452" t="s">
        <v>3249</v>
      </c>
      <c r="H17" s="455">
        <f>SUMIF(78:78,G18,79:79)-SUMIF(78:78,C18,79:79)+100</f>
        <v>100</v>
      </c>
      <c r="I17" s="452" t="s">
        <v>3254</v>
      </c>
      <c r="J17" s="455">
        <f>SUMIF(78:78,I18,79:79)-SUMIF(78:78,C18,79:79)+100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456"/>
      <c r="C18" s="2610" t="s">
        <v>3203</v>
      </c>
      <c r="D18" s="450"/>
      <c r="E18" s="2610" t="s">
        <v>3203</v>
      </c>
      <c r="F18" s="453"/>
      <c r="G18" s="2610" t="s">
        <v>3203</v>
      </c>
      <c r="H18" s="448"/>
      <c r="I18" s="2610" t="s">
        <v>3203</v>
      </c>
      <c r="J18" s="448"/>
      <c r="K18" s="615"/>
      <c r="L18" s="1143"/>
      <c r="M18" s="1134"/>
      <c r="N18" s="1134"/>
      <c r="O18" s="1134"/>
      <c r="P18" s="3249"/>
      <c r="Q18" s="1813"/>
      <c r="R18" s="774"/>
      <c r="S18" s="775"/>
      <c r="T18" s="774"/>
      <c r="U18" s="775"/>
      <c r="V18" s="774"/>
      <c r="W18" s="775"/>
      <c r="X18" s="1816"/>
      <c r="Y18" s="3242"/>
      <c r="Z18" s="1817"/>
      <c r="AA18" s="1814">
        <v>1</v>
      </c>
      <c r="AB18" s="1814">
        <v>1</v>
      </c>
      <c r="AC18" s="1814">
        <v>1</v>
      </c>
    </row>
    <row r="19" spans="1:29" ht="216.75">
      <c r="A19" s="428"/>
      <c r="B19" s="451" t="s">
        <v>2651</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t="s">
        <v>3252</v>
      </c>
      <c r="F19" s="458">
        <f>SUMIF(80:80,E20,81:81)-SUMIF(80:80,C20,81:81)+100</f>
        <v>100</v>
      </c>
      <c r="G19" s="457" t="s">
        <v>3250</v>
      </c>
      <c r="H19" s="450">
        <f>SUMIF(80:80,G20,81:81)-SUMIF(80:80,C20,81:81)+100</f>
        <v>100</v>
      </c>
      <c r="I19" s="457" t="s">
        <v>3255</v>
      </c>
      <c r="J19" s="450">
        <f>SUMIF(80:80,I20,81:81)-SUMIF(80:80,C20,81:81)+100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1814">
        <f t="shared" si="5"/>
        <v>1</v>
      </c>
    </row>
    <row r="20" spans="1:29" ht="15">
      <c r="A20" s="428"/>
      <c r="B20" s="456"/>
      <c r="C20" s="447" t="s">
        <v>3203</v>
      </c>
      <c r="D20" s="448"/>
      <c r="E20" s="2607" t="s">
        <v>3203</v>
      </c>
      <c r="F20" s="449"/>
      <c r="G20" s="2607" t="s">
        <v>3203</v>
      </c>
      <c r="H20" s="448"/>
      <c r="I20" s="2607" t="s">
        <v>3203</v>
      </c>
      <c r="J20" s="448"/>
      <c r="K20" s="615"/>
      <c r="L20" s="1143"/>
      <c r="M20" s="1134"/>
      <c r="N20" s="1134"/>
      <c r="O20" s="1134"/>
      <c r="P20" s="3249"/>
      <c r="Q20" s="1813"/>
      <c r="R20" s="774"/>
      <c r="S20" s="775"/>
      <c r="T20" s="774"/>
      <c r="U20" s="775"/>
      <c r="V20" s="774"/>
      <c r="W20" s="775"/>
      <c r="X20" s="1816"/>
      <c r="Y20" s="3242"/>
      <c r="Z20" s="1817"/>
      <c r="AA20" s="1814">
        <v>1</v>
      </c>
      <c r="AB20" s="1814">
        <v>1</v>
      </c>
      <c r="AC20" s="1814">
        <v>1</v>
      </c>
    </row>
    <row r="21" spans="1:29" ht="42.75">
      <c r="A21" s="428"/>
      <c r="B21" s="1387" t="s">
        <v>2652</v>
      </c>
      <c r="C21" s="2609" t="str">
        <f>估价对象房地状况!C8</f>
        <v>估价对象所在区域基础设施水平达到“七通”。</v>
      </c>
      <c r="D21" s="455">
        <v>100</v>
      </c>
      <c r="E21" s="457" t="s">
        <v>3232</v>
      </c>
      <c r="F21" s="458">
        <f>SUMIF(82:82,E22,83:83)-SUMIF(82:82,C22,83:83)+100</f>
        <v>100</v>
      </c>
      <c r="G21" s="459" t="s">
        <v>3232</v>
      </c>
      <c r="H21" s="450">
        <f>SUMIF(82:82,G22,83:83)-SUMIF(82:82,C22,83:83)+100</f>
        <v>100</v>
      </c>
      <c r="I21" s="457" t="s">
        <v>3232</v>
      </c>
      <c r="J21" s="450">
        <f>SUMIF(82:82,I22,83:83)-SUMIF(82:82,C22,83:83)+100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0" t="s">
        <v>3225</v>
      </c>
      <c r="D22" s="448"/>
      <c r="E22" s="2610" t="s">
        <v>3225</v>
      </c>
      <c r="F22" s="449"/>
      <c r="G22" s="2610" t="s">
        <v>3225</v>
      </c>
      <c r="H22" s="448"/>
      <c r="I22" s="2610" t="s">
        <v>3225</v>
      </c>
      <c r="J22" s="448"/>
      <c r="K22" s="1386"/>
      <c r="L22" s="1143"/>
      <c r="M22" s="1134"/>
      <c r="N22" s="1134"/>
      <c r="O22" s="1134"/>
      <c r="P22" s="3249"/>
      <c r="Q22" s="1813"/>
      <c r="R22" s="774"/>
      <c r="S22" s="775"/>
      <c r="T22" s="774"/>
      <c r="U22" s="775"/>
      <c r="V22" s="774"/>
      <c r="W22" s="775"/>
      <c r="X22" s="1816"/>
      <c r="Y22" s="3242"/>
      <c r="Z22" s="1817"/>
      <c r="AA22" s="1814">
        <v>1</v>
      </c>
      <c r="AB22" s="1814">
        <v>1</v>
      </c>
      <c r="AC22" s="1814">
        <v>1</v>
      </c>
    </row>
    <row r="23" spans="1:29" ht="94.5">
      <c r="A23" s="428"/>
      <c r="B23" s="451" t="s">
        <v>2099</v>
      </c>
      <c r="C23" s="2666" t="str">
        <f>估价对象房地状况!C9</f>
        <v>区域自然环境：休闲公园；人文环境：北京园博园；综合评价环境状况一般。</v>
      </c>
      <c r="D23" s="450">
        <v>100</v>
      </c>
      <c r="E23" s="3016" t="s">
        <v>3233</v>
      </c>
      <c r="F23" s="453">
        <f>SUMIF(84:84,E24,85:85)-SUMIF(84:84,C24,85:85)+100</f>
        <v>100</v>
      </c>
      <c r="G23" s="3016" t="s">
        <v>3251</v>
      </c>
      <c r="H23" s="450">
        <f>SUMIF(84:84,G24,85:85)-SUMIF(84:84,C24,85:85)+100</f>
        <v>100</v>
      </c>
      <c r="I23" s="3016" t="s">
        <v>3256</v>
      </c>
      <c r="J23" s="450">
        <f>SUMIF(84:84,I24,85:85)-SUMIF(84:84,C24,85:85)+100</f>
        <v>100</v>
      </c>
      <c r="K23" s="614"/>
      <c r="L23" s="1143"/>
      <c r="M23" s="1134"/>
      <c r="N23" s="1134"/>
      <c r="O23" s="1134"/>
      <c r="P23" s="3249"/>
      <c r="Q23" s="1813" t="str">
        <f>B23</f>
        <v>自然及人文环境</v>
      </c>
      <c r="R23" s="774" t="s">
        <v>17</v>
      </c>
      <c r="S23" s="775">
        <f>F23</f>
        <v>100</v>
      </c>
      <c r="T23" s="774" t="s">
        <v>17</v>
      </c>
      <c r="U23" s="775">
        <f>H23</f>
        <v>100</v>
      </c>
      <c r="V23" s="774" t="s">
        <v>17</v>
      </c>
      <c r="W23" s="775">
        <f>J23</f>
        <v>100</v>
      </c>
      <c r="X23" s="1816"/>
      <c r="Y23" s="3242"/>
      <c r="Z23" s="1817" t="str">
        <f>Q23</f>
        <v>自然及人文环境</v>
      </c>
      <c r="AA23" s="1814">
        <f t="shared" si="3"/>
        <v>1</v>
      </c>
      <c r="AB23" s="1814">
        <f t="shared" si="4"/>
        <v>1</v>
      </c>
      <c r="AC23" s="1814">
        <f t="shared" si="5"/>
        <v>1</v>
      </c>
    </row>
    <row r="24" spans="1:29" ht="15">
      <c r="A24" s="428"/>
      <c r="B24" s="456"/>
      <c r="C24" s="447" t="s">
        <v>3202</v>
      </c>
      <c r="D24" s="448"/>
      <c r="E24" s="2607" t="s">
        <v>3202</v>
      </c>
      <c r="F24" s="449"/>
      <c r="G24" s="2606" t="s">
        <v>3202</v>
      </c>
      <c r="H24" s="448"/>
      <c r="I24" s="2607" t="s">
        <v>3202</v>
      </c>
      <c r="J24" s="448"/>
      <c r="K24" s="615"/>
      <c r="L24" s="1143"/>
      <c r="M24" s="1134"/>
      <c r="N24" s="1134"/>
      <c r="O24" s="1134"/>
      <c r="P24" s="3249"/>
      <c r="Q24" s="1813"/>
      <c r="R24" s="774"/>
      <c r="S24" s="775"/>
      <c r="T24" s="774"/>
      <c r="U24" s="775"/>
      <c r="V24" s="774"/>
      <c r="W24" s="775"/>
      <c r="X24" s="1816"/>
      <c r="Y24" s="3242"/>
      <c r="Z24" s="1817"/>
      <c r="AA24" s="1814">
        <v>1</v>
      </c>
      <c r="AB24" s="1814">
        <v>1</v>
      </c>
      <c r="AC24" s="1814">
        <v>1</v>
      </c>
    </row>
    <row r="25" spans="1:29" ht="15">
      <c r="A25" s="428"/>
      <c r="B25" s="422" t="s">
        <v>2653</v>
      </c>
      <c r="C25" s="616" t="s">
        <v>3198</v>
      </c>
      <c r="D25" s="435">
        <v>100</v>
      </c>
      <c r="E25" s="616" t="s">
        <v>3213</v>
      </c>
      <c r="F25" s="461">
        <f>SUMIF(86:86,E25,87:87)-SUMIF(86:86,C25,87:87)+100</f>
        <v>97</v>
      </c>
      <c r="G25" s="616" t="s">
        <v>3213</v>
      </c>
      <c r="H25" s="435">
        <f>SUMIF(86:86,G25,87:87)-SUMIF(86:86,C25,87:87)+100</f>
        <v>97</v>
      </c>
      <c r="I25" s="616" t="s">
        <v>3213</v>
      </c>
      <c r="J25" s="435">
        <f>SUMIF(86:86,I25,87:87)-SUMIF(86:86,C25,87:87)+100</f>
        <v>97</v>
      </c>
      <c r="K25" s="612">
        <v>3</v>
      </c>
      <c r="L25" s="1143"/>
      <c r="M25" s="1134"/>
      <c r="N25" s="1134"/>
      <c r="O25" s="1134"/>
      <c r="P25" s="3249"/>
      <c r="Q25" s="1813" t="str">
        <f t="shared" ref="Q25:Q46" si="11">B25</f>
        <v>临街状况</v>
      </c>
      <c r="R25" s="774" t="s">
        <v>17</v>
      </c>
      <c r="S25" s="775">
        <f>F25</f>
        <v>97</v>
      </c>
      <c r="T25" s="774" t="s">
        <v>17</v>
      </c>
      <c r="U25" s="775">
        <f>H25</f>
        <v>97</v>
      </c>
      <c r="V25" s="774" t="s">
        <v>17</v>
      </c>
      <c r="W25" s="775">
        <f>J25</f>
        <v>97</v>
      </c>
      <c r="X25" s="1816"/>
      <c r="Y25" s="3242"/>
      <c r="Z25" s="1817" t="str">
        <f>Q25</f>
        <v>临街状况</v>
      </c>
      <c r="AA25" s="1814">
        <f t="shared" si="3"/>
        <v>1.0309278350515463</v>
      </c>
      <c r="AB25" s="1814">
        <f t="shared" si="4"/>
        <v>1.0309278350515463</v>
      </c>
      <c r="AC25" s="1814">
        <f t="shared" si="5"/>
        <v>1.0309278350515463</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1813" t="str">
        <f t="shared" si="11"/>
        <v>平面位置/可视性</v>
      </c>
      <c r="R26" s="774" t="s">
        <v>17</v>
      </c>
      <c r="S26" s="775">
        <f>F26</f>
        <v>100</v>
      </c>
      <c r="T26" s="774" t="s">
        <v>17</v>
      </c>
      <c r="U26" s="775">
        <f>H26</f>
        <v>100</v>
      </c>
      <c r="V26" s="774" t="s">
        <v>17</v>
      </c>
      <c r="W26" s="775">
        <f>J26</f>
        <v>100</v>
      </c>
      <c r="X26" s="1816"/>
      <c r="Y26" s="3242"/>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9"/>
      <c r="Q27" s="1798" t="str">
        <f t="shared" si="11"/>
        <v>人流量</v>
      </c>
      <c r="R27" s="770" t="s">
        <v>17</v>
      </c>
      <c r="S27" s="771">
        <f>F27</f>
        <v>100</v>
      </c>
      <c r="T27" s="770" t="s">
        <v>17</v>
      </c>
      <c r="U27" s="771">
        <f>H27</f>
        <v>100</v>
      </c>
      <c r="V27" s="770" t="s">
        <v>17</v>
      </c>
      <c r="W27" s="771">
        <f>J27</f>
        <v>100</v>
      </c>
      <c r="X27" s="772"/>
      <c r="Y27" s="3242"/>
      <c r="Z27" s="55" t="str">
        <f>Q27</f>
        <v>人流量</v>
      </c>
      <c r="AA27" s="1814">
        <f>D27/F27</f>
        <v>1</v>
      </c>
      <c r="AB27" s="1814">
        <f>D27/H27</f>
        <v>1</v>
      </c>
      <c r="AC27" s="1814">
        <f>D27/J27</f>
        <v>1</v>
      </c>
    </row>
    <row r="28" spans="1:29" ht="15.75" thickBot="1">
      <c r="A28" s="428"/>
      <c r="B28" s="422" t="s">
        <v>2656</v>
      </c>
      <c r="C28" s="616" t="s">
        <v>3230</v>
      </c>
      <c r="D28" s="435">
        <v>100</v>
      </c>
      <c r="E28" s="616" t="s">
        <v>3231</v>
      </c>
      <c r="F28" s="461">
        <f>SUMIF(92:92,E28,93:93)-SUMIF(92:92,C28,93:93)+100</f>
        <v>110</v>
      </c>
      <c r="G28" s="616" t="s">
        <v>3231</v>
      </c>
      <c r="H28" s="435">
        <f>SUMIF(92:92,G28,93:93)-SUMIF(92:92,C28,93:93)+100</f>
        <v>110</v>
      </c>
      <c r="I28" s="616" t="s">
        <v>3231</v>
      </c>
      <c r="J28" s="435">
        <f>SUMIF(92:92,I28,93:93)-SUMIF(92:92,C28,93:93)+100</f>
        <v>110</v>
      </c>
      <c r="K28" s="613"/>
      <c r="L28" s="1143"/>
      <c r="M28" s="1134"/>
      <c r="N28" s="1134"/>
      <c r="O28" s="1134"/>
      <c r="P28" s="3249"/>
      <c r="Q28" s="1813" t="str">
        <f t="shared" si="11"/>
        <v>楼层</v>
      </c>
      <c r="R28" s="774" t="s">
        <v>17</v>
      </c>
      <c r="S28" s="775">
        <f t="shared" ref="S28:S46" si="12">F28</f>
        <v>110</v>
      </c>
      <c r="T28" s="774" t="s">
        <v>17</v>
      </c>
      <c r="U28" s="775">
        <f t="shared" ref="U28:U46" si="13">H28</f>
        <v>110</v>
      </c>
      <c r="V28" s="774" t="s">
        <v>17</v>
      </c>
      <c r="W28" s="775">
        <f t="shared" ref="W28:W46" si="14">J28</f>
        <v>110</v>
      </c>
      <c r="X28" s="1816"/>
      <c r="Y28" s="3242"/>
      <c r="Z28" s="1817" t="str">
        <f t="shared" ref="Z28:Z46" si="15">Q28</f>
        <v>楼层</v>
      </c>
      <c r="AA28" s="1814">
        <f t="shared" si="3"/>
        <v>0.90909090909090906</v>
      </c>
      <c r="AB28" s="1814">
        <f t="shared" si="4"/>
        <v>0.90909090909090906</v>
      </c>
      <c r="AC28" s="1814">
        <f t="shared" si="5"/>
        <v>0.90909090909090906</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1813">
        <f t="shared" si="11"/>
        <v>111</v>
      </c>
      <c r="R29" s="774" t="s">
        <v>17</v>
      </c>
      <c r="S29" s="775">
        <f t="shared" si="12"/>
        <v>100</v>
      </c>
      <c r="T29" s="774" t="s">
        <v>17</v>
      </c>
      <c r="U29" s="775">
        <f t="shared" si="13"/>
        <v>100</v>
      </c>
      <c r="V29" s="774" t="s">
        <v>17</v>
      </c>
      <c r="W29" s="775">
        <f t="shared" si="14"/>
        <v>100</v>
      </c>
      <c r="X29" s="1816"/>
      <c r="Y29" s="3242"/>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42"/>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42"/>
      <c r="Z31" s="1817">
        <f t="shared" si="15"/>
        <v>111</v>
      </c>
      <c r="AA31" s="1814">
        <f t="shared" si="3"/>
        <v>1</v>
      </c>
      <c r="AB31" s="1814">
        <f t="shared" si="4"/>
        <v>1</v>
      </c>
      <c r="AC31" s="1814">
        <f t="shared" si="5"/>
        <v>1</v>
      </c>
    </row>
    <row r="32" spans="1:29" ht="15">
      <c r="A32" s="440" t="s">
        <v>2560</v>
      </c>
      <c r="B32" s="71" t="s">
        <v>2657</v>
      </c>
      <c r="C32" s="2619" t="s">
        <v>3234</v>
      </c>
      <c r="D32" s="467">
        <v>100</v>
      </c>
      <c r="E32" s="2619" t="s">
        <v>3236</v>
      </c>
      <c r="F32" s="461">
        <f>SUMIF(100:100,E32,101:101)-SUMIF(100:100,C32,101:101)+100</f>
        <v>95</v>
      </c>
      <c r="G32" s="2619" t="s">
        <v>3236</v>
      </c>
      <c r="H32" s="435">
        <f>SUMIF(100:100,G32,101:101)-SUMIF(100:100,C32,101:101)+100</f>
        <v>95</v>
      </c>
      <c r="I32" s="2619" t="s">
        <v>3236</v>
      </c>
      <c r="J32" s="467">
        <f>SUMIF(100:100,I32,101:101)-SUMIF(100:100,C32,101:101)+100</f>
        <v>95</v>
      </c>
      <c r="K32" s="612">
        <v>5</v>
      </c>
      <c r="L32" s="1143"/>
      <c r="M32" s="1134"/>
      <c r="N32" s="1134"/>
      <c r="O32" s="1134"/>
      <c r="P32" s="3243" t="s">
        <v>2562</v>
      </c>
      <c r="Q32" s="1813" t="str">
        <f t="shared" si="11"/>
        <v>商业类型</v>
      </c>
      <c r="R32" s="774" t="s">
        <v>17</v>
      </c>
      <c r="S32" s="775">
        <f t="shared" si="12"/>
        <v>95</v>
      </c>
      <c r="T32" s="774" t="s">
        <v>17</v>
      </c>
      <c r="U32" s="775">
        <f t="shared" si="13"/>
        <v>95</v>
      </c>
      <c r="V32" s="774" t="s">
        <v>17</v>
      </c>
      <c r="W32" s="775">
        <f t="shared" si="14"/>
        <v>95</v>
      </c>
      <c r="X32" s="1816"/>
      <c r="Y32" s="3246" t="s">
        <v>2562</v>
      </c>
      <c r="Z32" s="1817" t="str">
        <f t="shared" si="15"/>
        <v>商业类型</v>
      </c>
      <c r="AA32" s="1814">
        <f t="shared" si="3"/>
        <v>1.0526315789473684</v>
      </c>
      <c r="AB32" s="1814">
        <f t="shared" si="4"/>
        <v>1.0526315789473684</v>
      </c>
      <c r="AC32" s="1814">
        <f t="shared" si="5"/>
        <v>1.0526315789473684</v>
      </c>
    </row>
    <row r="33" spans="1:29" s="471" customFormat="1" ht="15">
      <c r="A33" s="468"/>
      <c r="B33" s="422" t="s">
        <v>2563</v>
      </c>
      <c r="C33" s="469">
        <f>'数据-基础表'!I13</f>
        <v>292.33999999999997</v>
      </c>
      <c r="D33" s="136">
        <v>100</v>
      </c>
      <c r="E33" s="430">
        <v>80</v>
      </c>
      <c r="F33" s="425">
        <f>LOOKUP(E33,103:103,104:104)-LOOKUP(C33,103:103,104:104)+100</f>
        <v>103</v>
      </c>
      <c r="G33" s="429">
        <v>164</v>
      </c>
      <c r="H33" s="136">
        <f>LOOKUP(G33,103:103,104:104)-LOOKUP(C33,103:103,104:104)+100</f>
        <v>100</v>
      </c>
      <c r="I33" s="429">
        <v>268</v>
      </c>
      <c r="J33" s="136">
        <f>LOOKUP(I33,103:103,104:104)-LOOKUP(C33,103:103,104:104)+100</f>
        <v>100</v>
      </c>
      <c r="K33" s="613"/>
      <c r="L33" s="1141"/>
      <c r="M33" s="1144"/>
      <c r="N33" s="1144"/>
      <c r="O33" s="1144"/>
      <c r="P33" s="3244"/>
      <c r="Q33" s="776" t="str">
        <f t="shared" si="11"/>
        <v>项目建筑规模</v>
      </c>
      <c r="R33" s="777" t="s">
        <v>17</v>
      </c>
      <c r="S33" s="778">
        <f t="shared" si="12"/>
        <v>103</v>
      </c>
      <c r="T33" s="777" t="s">
        <v>17</v>
      </c>
      <c r="U33" s="778">
        <f t="shared" si="13"/>
        <v>100</v>
      </c>
      <c r="V33" s="777" t="s">
        <v>17</v>
      </c>
      <c r="W33" s="778">
        <f t="shared" si="14"/>
        <v>100</v>
      </c>
      <c r="X33" s="779"/>
      <c r="Y33" s="3246"/>
      <c r="Z33" s="780" t="str">
        <f t="shared" si="15"/>
        <v>项目建筑规模</v>
      </c>
      <c r="AA33" s="1814">
        <f t="shared" si="3"/>
        <v>0.970873786407767</v>
      </c>
      <c r="AB33" s="1814">
        <f t="shared" si="4"/>
        <v>1</v>
      </c>
      <c r="AC33" s="1814">
        <f t="shared" si="5"/>
        <v>1</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4"/>
      <c r="Q34" s="1813" t="str">
        <f t="shared" si="11"/>
        <v>建筑结构</v>
      </c>
      <c r="R34" s="774" t="s">
        <v>17</v>
      </c>
      <c r="S34" s="775">
        <f t="shared" si="12"/>
        <v>100</v>
      </c>
      <c r="T34" s="774" t="s">
        <v>17</v>
      </c>
      <c r="U34" s="775">
        <f t="shared" si="13"/>
        <v>100</v>
      </c>
      <c r="V34" s="774" t="s">
        <v>17</v>
      </c>
      <c r="W34" s="775">
        <f t="shared" si="14"/>
        <v>100</v>
      </c>
      <c r="X34" s="1816"/>
      <c r="Y34" s="3246"/>
      <c r="Z34" s="1817" t="str">
        <f t="shared" si="15"/>
        <v>建筑结构</v>
      </c>
      <c r="AA34" s="1814">
        <f t="shared" si="3"/>
        <v>1</v>
      </c>
      <c r="AB34" s="1814">
        <f t="shared" si="4"/>
        <v>1</v>
      </c>
      <c r="AC34" s="1814">
        <f t="shared" si="5"/>
        <v>1</v>
      </c>
    </row>
    <row r="35" spans="1:29" ht="15">
      <c r="A35" s="472"/>
      <c r="B35" s="422" t="s">
        <v>2658</v>
      </c>
      <c r="C35" s="2615" t="s">
        <v>3242</v>
      </c>
      <c r="D35" s="435">
        <v>100</v>
      </c>
      <c r="E35" s="2615" t="s">
        <v>3242</v>
      </c>
      <c r="F35" s="461">
        <f>SUMIF(107:107,E35,108:108)-SUMIF(107:107,C35,108:108)+100</f>
        <v>100</v>
      </c>
      <c r="G35" s="2615" t="s">
        <v>3242</v>
      </c>
      <c r="H35" s="435">
        <f>SUMIF(107:107,G35,108:108)-SUMIF(107:107,C35,108:108)+100</f>
        <v>100</v>
      </c>
      <c r="I35" s="2615" t="s">
        <v>3242</v>
      </c>
      <c r="J35" s="435">
        <f>SUMIF(107:107,I35,108:108)-SUMIF(107:107,C35,108:108)+100</f>
        <v>100</v>
      </c>
      <c r="K35" s="612"/>
      <c r="L35" s="1143"/>
      <c r="M35" s="1134"/>
      <c r="N35" s="1134"/>
      <c r="O35" s="1134"/>
      <c r="P35" s="3244"/>
      <c r="Q35" s="1813" t="str">
        <f t="shared" si="11"/>
        <v>公共部分装修</v>
      </c>
      <c r="R35" s="774" t="s">
        <v>17</v>
      </c>
      <c r="S35" s="775">
        <f t="shared" si="12"/>
        <v>100</v>
      </c>
      <c r="T35" s="774" t="s">
        <v>17</v>
      </c>
      <c r="U35" s="775">
        <f t="shared" si="13"/>
        <v>100</v>
      </c>
      <c r="V35" s="774" t="s">
        <v>17</v>
      </c>
      <c r="W35" s="775">
        <f t="shared" si="14"/>
        <v>100</v>
      </c>
      <c r="X35" s="1816"/>
      <c r="Y35" s="3246"/>
      <c r="Z35" s="1817" t="str">
        <f t="shared" si="15"/>
        <v>公共部分装修</v>
      </c>
      <c r="AA35" s="1814">
        <f t="shared" si="3"/>
        <v>1</v>
      </c>
      <c r="AB35" s="1814">
        <f t="shared" si="4"/>
        <v>1</v>
      </c>
      <c r="AC35" s="1814">
        <f t="shared" si="5"/>
        <v>1</v>
      </c>
    </row>
    <row r="36" spans="1:29" ht="15">
      <c r="A36" s="472"/>
      <c r="B36" s="422" t="s">
        <v>2659</v>
      </c>
      <c r="C36" s="474">
        <f>'数据-取费表'!Y6</f>
        <v>0.93</v>
      </c>
      <c r="D36" s="435">
        <v>100</v>
      </c>
      <c r="E36" s="474">
        <v>0.85</v>
      </c>
      <c r="F36" s="461">
        <f>LOOKUP(E36,110:110,111:111)-LOOKUP(C36,110:110,111:111)+100</f>
        <v>97</v>
      </c>
      <c r="G36" s="474">
        <v>0.82</v>
      </c>
      <c r="H36" s="461">
        <f>LOOKUP(G36,110:110,111:111)-LOOKUP(C36,110:110,111:111)+100</f>
        <v>97</v>
      </c>
      <c r="I36" s="474">
        <v>0.95</v>
      </c>
      <c r="J36" s="435">
        <f>LOOKUP(I36,110:110,111:111)-LOOKUP(C36,110:110,111:111)+100</f>
        <v>100</v>
      </c>
      <c r="K36" s="612">
        <v>3</v>
      </c>
      <c r="L36" s="1143"/>
      <c r="M36" s="1134"/>
      <c r="N36" s="1134"/>
      <c r="O36" s="1134"/>
      <c r="P36" s="3244"/>
      <c r="Q36" s="1813" t="str">
        <f t="shared" si="11"/>
        <v>成新度</v>
      </c>
      <c r="R36" s="774" t="s">
        <v>17</v>
      </c>
      <c r="S36" s="775">
        <f t="shared" si="12"/>
        <v>97</v>
      </c>
      <c r="T36" s="774" t="s">
        <v>17</v>
      </c>
      <c r="U36" s="775">
        <f t="shared" si="13"/>
        <v>97</v>
      </c>
      <c r="V36" s="774" t="s">
        <v>17</v>
      </c>
      <c r="W36" s="775">
        <f t="shared" si="14"/>
        <v>100</v>
      </c>
      <c r="X36" s="1816"/>
      <c r="Y36" s="3246"/>
      <c r="Z36" s="1817" t="str">
        <f t="shared" si="15"/>
        <v>成新度</v>
      </c>
      <c r="AA36" s="1814">
        <f t="shared" si="3"/>
        <v>1.0309278350515463</v>
      </c>
      <c r="AB36" s="1814">
        <f t="shared" si="4"/>
        <v>1.0309278350515463</v>
      </c>
      <c r="AC36" s="1814">
        <f t="shared" si="5"/>
        <v>1</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4"/>
      <c r="Q37" s="1798" t="str">
        <f t="shared" si="11"/>
        <v>市政基础设施</v>
      </c>
      <c r="R37" s="770" t="s">
        <v>17</v>
      </c>
      <c r="S37" s="771">
        <f t="shared" si="12"/>
        <v>100</v>
      </c>
      <c r="T37" s="770" t="s">
        <v>17</v>
      </c>
      <c r="U37" s="771">
        <f t="shared" si="13"/>
        <v>100</v>
      </c>
      <c r="V37" s="770" t="s">
        <v>17</v>
      </c>
      <c r="W37" s="771">
        <f t="shared" si="14"/>
        <v>100</v>
      </c>
      <c r="X37" s="772"/>
      <c r="Y37" s="3246"/>
      <c r="Z37" s="55" t="str">
        <f t="shared" si="15"/>
        <v>市政基础设施</v>
      </c>
      <c r="AA37" s="773">
        <f t="shared" si="3"/>
        <v>1</v>
      </c>
      <c r="AB37" s="773">
        <f t="shared" si="4"/>
        <v>1</v>
      </c>
      <c r="AC37" s="773">
        <f t="shared" si="5"/>
        <v>1</v>
      </c>
    </row>
    <row r="38" spans="1:29" ht="15">
      <c r="A38" s="472"/>
      <c r="B38" s="422" t="s">
        <v>2661</v>
      </c>
      <c r="C38" s="2615" t="s">
        <v>3238</v>
      </c>
      <c r="D38" s="435">
        <v>100</v>
      </c>
      <c r="E38" s="2615" t="s">
        <v>3238</v>
      </c>
      <c r="F38" s="461">
        <f>SUMIF(114:114,E38,115:115)-SUMIF(114:114,C38,115:115)+100</f>
        <v>100</v>
      </c>
      <c r="G38" s="2615" t="s">
        <v>3238</v>
      </c>
      <c r="H38" s="435">
        <f>SUMIF(114:114,G38,115:115)-SUMIF(114:114,C38,115:115)+100</f>
        <v>100</v>
      </c>
      <c r="I38" s="2615" t="s">
        <v>3238</v>
      </c>
      <c r="J38" s="435">
        <f>SUMIF(114:114,I38,115:115)-SUMIF(114:114,C38,115:115)+100</f>
        <v>100</v>
      </c>
      <c r="K38" s="612"/>
      <c r="L38" s="1143"/>
      <c r="M38" s="1134"/>
      <c r="N38" s="1134"/>
      <c r="O38" s="1134"/>
      <c r="P38" s="3244" t="s">
        <v>2562</v>
      </c>
      <c r="Q38" s="1813" t="str">
        <f t="shared" si="11"/>
        <v>业态</v>
      </c>
      <c r="R38" s="774" t="s">
        <v>17</v>
      </c>
      <c r="S38" s="775">
        <f t="shared" si="12"/>
        <v>100</v>
      </c>
      <c r="T38" s="774" t="s">
        <v>17</v>
      </c>
      <c r="U38" s="775">
        <f t="shared" si="13"/>
        <v>100</v>
      </c>
      <c r="V38" s="774" t="s">
        <v>17</v>
      </c>
      <c r="W38" s="775">
        <f t="shared" si="14"/>
        <v>100</v>
      </c>
      <c r="X38" s="1816"/>
      <c r="Y38" s="3246"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4"/>
      <c r="Q39" s="1813" t="str">
        <f t="shared" si="11"/>
        <v>层高</v>
      </c>
      <c r="R39" s="774" t="s">
        <v>17</v>
      </c>
      <c r="S39" s="775">
        <f t="shared" si="12"/>
        <v>100</v>
      </c>
      <c r="T39" s="774" t="s">
        <v>17</v>
      </c>
      <c r="U39" s="775">
        <f t="shared" si="13"/>
        <v>100</v>
      </c>
      <c r="V39" s="774" t="s">
        <v>17</v>
      </c>
      <c r="W39" s="775">
        <f t="shared" si="14"/>
        <v>100</v>
      </c>
      <c r="X39" s="1816"/>
      <c r="Y39" s="3246"/>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4"/>
      <c r="Q40" s="1813" t="str">
        <f t="shared" si="11"/>
        <v>单套建筑面积</v>
      </c>
      <c r="R40" s="774" t="s">
        <v>17</v>
      </c>
      <c r="S40" s="775">
        <f t="shared" si="12"/>
        <v>100</v>
      </c>
      <c r="T40" s="774" t="s">
        <v>17</v>
      </c>
      <c r="U40" s="775">
        <f t="shared" si="13"/>
        <v>100</v>
      </c>
      <c r="V40" s="774" t="s">
        <v>17</v>
      </c>
      <c r="W40" s="775">
        <f t="shared" si="14"/>
        <v>100</v>
      </c>
      <c r="X40" s="1816"/>
      <c r="Y40" s="3246"/>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1814">
        <f t="shared" si="3"/>
        <v>1</v>
      </c>
      <c r="AB41" s="1814">
        <f t="shared" si="4"/>
        <v>1</v>
      </c>
      <c r="AC41" s="1814">
        <f t="shared" si="5"/>
        <v>1</v>
      </c>
    </row>
    <row r="42" spans="1:29" ht="15">
      <c r="A42" s="472"/>
      <c r="B42" s="422" t="s">
        <v>2665</v>
      </c>
      <c r="C42" s="2615" t="s">
        <v>3245</v>
      </c>
      <c r="D42" s="435">
        <v>100</v>
      </c>
      <c r="E42" s="2615" t="s">
        <v>3245</v>
      </c>
      <c r="F42" s="461">
        <f>SUMIF(122:122,E42,123:123)-SUMIF(122:122,C42,123:123)+100</f>
        <v>100</v>
      </c>
      <c r="G42" s="2615" t="s">
        <v>3245</v>
      </c>
      <c r="H42" s="435">
        <f>SUMIF(122:122,G42,123:123)-SUMIF(122:122,C42,123:123)+100</f>
        <v>100</v>
      </c>
      <c r="I42" s="2615" t="s">
        <v>3245</v>
      </c>
      <c r="J42" s="435">
        <f>SUMIF(122:122,I42,123:123)-SUMIF(122:122,C42,123:123)+100</f>
        <v>100</v>
      </c>
      <c r="K42" s="612"/>
      <c r="L42" s="1143"/>
      <c r="M42" s="1134"/>
      <c r="N42" s="1134"/>
      <c r="O42" s="1134"/>
      <c r="P42" s="3244"/>
      <c r="Q42" s="1813" t="str">
        <f t="shared" si="11"/>
        <v>内部装修</v>
      </c>
      <c r="R42" s="774" t="s">
        <v>17</v>
      </c>
      <c r="S42" s="775">
        <f t="shared" si="12"/>
        <v>100</v>
      </c>
      <c r="T42" s="774" t="s">
        <v>17</v>
      </c>
      <c r="U42" s="775">
        <f t="shared" si="13"/>
        <v>100</v>
      </c>
      <c r="V42" s="774" t="s">
        <v>17</v>
      </c>
      <c r="W42" s="775">
        <f t="shared" si="14"/>
        <v>100</v>
      </c>
      <c r="X42" s="1816"/>
      <c r="Y42" s="3246"/>
      <c r="Z42" s="1817" t="str">
        <f t="shared" si="15"/>
        <v>内部装修</v>
      </c>
      <c r="AA42" s="1814">
        <f t="shared" si="3"/>
        <v>1</v>
      </c>
      <c r="AB42" s="1814">
        <f t="shared" si="4"/>
        <v>1</v>
      </c>
      <c r="AC42" s="1814">
        <f t="shared" si="5"/>
        <v>1</v>
      </c>
    </row>
    <row r="43" spans="1:29" ht="15.75" thickBot="1">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4"/>
      <c r="Q43" s="1813" t="str">
        <f t="shared" si="11"/>
        <v>内部装修维护情况</v>
      </c>
      <c r="R43" s="774" t="s">
        <v>17</v>
      </c>
      <c r="S43" s="775">
        <f t="shared" si="12"/>
        <v>100</v>
      </c>
      <c r="T43" s="774" t="s">
        <v>17</v>
      </c>
      <c r="U43" s="775">
        <f t="shared" si="13"/>
        <v>100</v>
      </c>
      <c r="V43" s="774" t="s">
        <v>17</v>
      </c>
      <c r="W43" s="775">
        <f t="shared" si="14"/>
        <v>100</v>
      </c>
      <c r="X43" s="1816"/>
      <c r="Y43" s="3246"/>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4"/>
      <c r="Q44" s="1798">
        <f t="shared" si="11"/>
        <v>111</v>
      </c>
      <c r="R44" s="770" t="s">
        <v>17</v>
      </c>
      <c r="S44" s="771">
        <f t="shared" si="12"/>
        <v>100</v>
      </c>
      <c r="T44" s="770" t="s">
        <v>17</v>
      </c>
      <c r="U44" s="771">
        <f t="shared" si="13"/>
        <v>100</v>
      </c>
      <c r="V44" s="770" t="s">
        <v>17</v>
      </c>
      <c r="W44" s="771">
        <f t="shared" si="14"/>
        <v>100</v>
      </c>
      <c r="X44" s="772"/>
      <c r="Y44" s="3246"/>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4"/>
      <c r="Q45" s="1813">
        <f t="shared" si="11"/>
        <v>111</v>
      </c>
      <c r="R45" s="774" t="s">
        <v>17</v>
      </c>
      <c r="S45" s="775">
        <f t="shared" si="12"/>
        <v>100</v>
      </c>
      <c r="T45" s="774" t="s">
        <v>17</v>
      </c>
      <c r="U45" s="775">
        <f t="shared" si="13"/>
        <v>100</v>
      </c>
      <c r="V45" s="774" t="s">
        <v>17</v>
      </c>
      <c r="W45" s="775">
        <f t="shared" si="14"/>
        <v>100</v>
      </c>
      <c r="X45" s="1816"/>
      <c r="Y45" s="3246"/>
      <c r="Z45" s="1817">
        <f t="shared" si="15"/>
        <v>111</v>
      </c>
      <c r="AA45" s="1814">
        <f t="shared" si="3"/>
        <v>1</v>
      </c>
      <c r="AB45" s="1814">
        <f t="shared" si="4"/>
        <v>1</v>
      </c>
      <c r="AC45" s="1814">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5"/>
      <c r="Q46" s="1813">
        <f t="shared" si="11"/>
        <v>111</v>
      </c>
      <c r="R46" s="774" t="s">
        <v>17</v>
      </c>
      <c r="S46" s="775">
        <f t="shared" si="12"/>
        <v>100</v>
      </c>
      <c r="T46" s="774" t="s">
        <v>17</v>
      </c>
      <c r="U46" s="775">
        <f t="shared" si="13"/>
        <v>100</v>
      </c>
      <c r="V46" s="774" t="s">
        <v>17</v>
      </c>
      <c r="W46" s="775">
        <f t="shared" si="14"/>
        <v>100</v>
      </c>
      <c r="X46" s="1816"/>
      <c r="Y46" s="3247"/>
      <c r="Z46" s="1817">
        <f t="shared" si="15"/>
        <v>111</v>
      </c>
      <c r="AA46" s="1814">
        <f t="shared" si="3"/>
        <v>1</v>
      </c>
      <c r="AB46" s="1814">
        <f t="shared" si="4"/>
        <v>1</v>
      </c>
      <c r="AC46" s="1814">
        <f t="shared" si="5"/>
        <v>1</v>
      </c>
    </row>
    <row r="47" spans="1:29" ht="15">
      <c r="A47" s="479" t="s">
        <v>2574</v>
      </c>
      <c r="B47" s="480"/>
      <c r="C47" s="1410" t="s">
        <v>1</v>
      </c>
      <c r="D47" s="1411"/>
      <c r="E47" s="1412">
        <v>35000</v>
      </c>
      <c r="F47" s="1413"/>
      <c r="G47" s="1414">
        <v>35671</v>
      </c>
      <c r="H47" s="1415"/>
      <c r="I47" s="1412">
        <v>36791</v>
      </c>
      <c r="J47" s="1415"/>
      <c r="K47" s="783"/>
      <c r="L47" s="1146"/>
      <c r="M47" s="1147"/>
      <c r="N47" s="1134"/>
      <c r="O47" s="1147"/>
      <c r="P47" s="3239" t="str">
        <f>A47</f>
        <v>成交单价（元/平方米）</v>
      </c>
      <c r="Q47" s="3239"/>
      <c r="R47" s="3270">
        <f>E47</f>
        <v>35000</v>
      </c>
      <c r="S47" s="3270"/>
      <c r="T47" s="3270">
        <f>G47</f>
        <v>35671</v>
      </c>
      <c r="U47" s="3270"/>
      <c r="V47" s="3270">
        <f>I47</f>
        <v>36791</v>
      </c>
      <c r="W47" s="3270"/>
      <c r="X47" s="759"/>
      <c r="Y47" s="781"/>
      <c r="Z47" s="759"/>
      <c r="AA47" s="759"/>
      <c r="AB47" s="759"/>
      <c r="AC47" s="759"/>
    </row>
    <row r="48" spans="1:29" ht="15.75" thickBot="1">
      <c r="A48" s="486" t="s">
        <v>2666</v>
      </c>
      <c r="B48" s="487"/>
      <c r="C48" s="1416">
        <f>R49</f>
        <v>35023</v>
      </c>
      <c r="D48" s="1417"/>
      <c r="E48" s="1418">
        <f>R48</f>
        <v>33553</v>
      </c>
      <c r="F48" s="1418"/>
      <c r="G48" s="1416">
        <f>T48</f>
        <v>36279</v>
      </c>
      <c r="H48" s="1417"/>
      <c r="I48" s="1418">
        <f>V48</f>
        <v>35238</v>
      </c>
      <c r="J48" s="1417"/>
      <c r="K48" s="784"/>
      <c r="L48" s="1146"/>
      <c r="M48" s="1147"/>
      <c r="N48" s="1134"/>
      <c r="O48" s="1147"/>
      <c r="P48" s="3239" t="str">
        <f>A48</f>
        <v>比较价值（元/平方米）</v>
      </c>
      <c r="Q48" s="3239"/>
      <c r="R48" s="3240">
        <f>IF(F1="售价",ROUND(PRODUCT(R47,AA7:AA46),0),ROUND(PRODUCT(R47,AA7:AA46),1))</f>
        <v>33553</v>
      </c>
      <c r="S48" s="3240"/>
      <c r="T48" s="3240">
        <f>IF(F1="售价",ROUND(PRODUCT(T47,AB7:AB46),0),ROUND(PRODUCT(T47,AB7:AB46),1))</f>
        <v>36279</v>
      </c>
      <c r="U48" s="3240"/>
      <c r="V48" s="3240">
        <f>IF(F1="售价",ROUND(PRODUCT(V47,AC7:AC46),0),ROUND(PRODUCT(V47,AC7:AC46),1))</f>
        <v>35238</v>
      </c>
      <c r="W48" s="3240"/>
      <c r="X48" s="759"/>
      <c r="Y48" s="759"/>
      <c r="Z48" s="759"/>
      <c r="AA48" s="759"/>
      <c r="AB48" s="759"/>
      <c r="AC48" s="759"/>
    </row>
    <row r="49" spans="1:29" ht="15.75" thickBot="1">
      <c r="A49" s="492" t="s">
        <v>2667</v>
      </c>
      <c r="B49" s="493"/>
      <c r="C49" s="1420">
        <f>R49</f>
        <v>35023</v>
      </c>
      <c r="D49" s="1420"/>
      <c r="E49" s="1420"/>
      <c r="F49" s="1420"/>
      <c r="G49" s="1420"/>
      <c r="H49" s="1420"/>
      <c r="I49" s="1420"/>
      <c r="J49" s="1420"/>
      <c r="K49" s="785"/>
      <c r="L49" s="1146"/>
      <c r="M49" s="1147"/>
      <c r="N49" s="1134"/>
      <c r="O49" s="1147"/>
      <c r="P49" s="3236" t="str">
        <f>A49</f>
        <v>估价对象XX用房的比较价值（楼面单价，元/平方米）</v>
      </c>
      <c r="Q49" s="3237"/>
      <c r="R49" s="3238">
        <f>IF(F1="售价",ROUND(AVERAGE(R48:V48),0),ROUND(AVERAGE(R48:V48),1))</f>
        <v>35023</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f>IF(E47&lt;E48,E48/E47-1,E47/E48-1)</f>
        <v>4.3125800971597128E-2</v>
      </c>
      <c r="F52" s="500" t="str">
        <f>IF(OR(E52&gt;=0.3,E52&lt;=-0.3),"超过30%","")</f>
        <v/>
      </c>
      <c r="G52" s="499">
        <f>IF(G47&lt;G48,G48/G47-1,G47/G48-1)</f>
        <v>1.704465812564826E-2</v>
      </c>
      <c r="H52" s="500" t="str">
        <f>IF(OR(G52&gt;=0.3,G52&lt;=-0.3),"超过30%","")</f>
        <v/>
      </c>
      <c r="I52" s="499">
        <f>IF(I47&lt;I48,I48/I47-1,I47/I48-1)</f>
        <v>4.4071740734434428E-2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f>IF(E48&lt;G48,G48/E48-1,E48/G48-1)</f>
        <v>8.1244598098530574E-2</v>
      </c>
      <c r="F53" s="500" t="str">
        <f>IF(OR(E53&gt;=0.2,E53&lt;=-0.2),"超过20%","")</f>
        <v/>
      </c>
      <c r="G53" s="499">
        <f>IF(G48&lt;I48,I48/G48-1,G48/I48-1)</f>
        <v>2.9541971735058681E-2</v>
      </c>
      <c r="H53" s="500" t="str">
        <f>IF(OR(G53&gt;=0.2,G53&lt;=-0.2),"超过20%","")</f>
        <v/>
      </c>
      <c r="I53" s="499">
        <f>IF(I48&lt;E48,E48/I48-1,I48/E48-1)</f>
        <v>5.0219056418204122E-2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f>IF(E47&lt;G47,G47/E47-1,E47/G47-1)</f>
        <v>1.9171428571428617E-2</v>
      </c>
      <c r="F54" s="500" t="str">
        <f>IF(OR(E54&gt;=0.3,E54&lt;=-0.3),"超过30%","")</f>
        <v/>
      </c>
      <c r="G54" s="499">
        <f>IF(G47&lt;I47,I47/G47-1,G47/I47-1)</f>
        <v>3.1398054441983625E-2</v>
      </c>
      <c r="H54" s="500" t="str">
        <f>IF(OR(G54&gt;=0.3,G54&lt;=-0.3),"超过30%","")</f>
        <v/>
      </c>
      <c r="I54" s="499">
        <f>IF(I47&lt;E47,E47/I47-1,I47/E47-1)</f>
        <v>5.1171428571428645E-2</v>
      </c>
      <c r="J54" s="500" t="str">
        <f>IF(OR(I54&gt;=0.3,I54&lt;=-0.3),"超过30%","")</f>
        <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2"/>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3014" t="s">
        <v>3211</v>
      </c>
      <c r="D86" s="3014" t="s">
        <v>3212</v>
      </c>
      <c r="E86" s="3014" t="s">
        <v>3214</v>
      </c>
      <c r="F86" s="3014" t="s">
        <v>3215</v>
      </c>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6"/>
      <c r="O87" s="1156"/>
      <c r="P87" s="2632"/>
      <c r="Q87" s="504"/>
    </row>
    <row r="88" spans="1:17" s="117" customFormat="1" ht="15.75" thickTop="1">
      <c r="A88" s="579"/>
      <c r="B88" s="538" t="str">
        <f>B26</f>
        <v>平面位置/可视性</v>
      </c>
      <c r="C88" s="3014" t="s">
        <v>3221</v>
      </c>
      <c r="D88" s="3014" t="s">
        <v>3222</v>
      </c>
      <c r="E88" s="3014" t="s">
        <v>3218</v>
      </c>
      <c r="F88" s="3015" t="s">
        <v>3223</v>
      </c>
      <c r="G88" s="3014" t="s">
        <v>3224</v>
      </c>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3014" t="s">
        <v>3216</v>
      </c>
      <c r="D90" s="3014" t="s">
        <v>3217</v>
      </c>
      <c r="E90" s="3014" t="s">
        <v>3218</v>
      </c>
      <c r="F90" s="3014" t="s">
        <v>3219</v>
      </c>
      <c r="G90" s="3014" t="s">
        <v>3220</v>
      </c>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t="s">
        <v>3228</v>
      </c>
      <c r="D92" s="554" t="s">
        <v>3229</v>
      </c>
      <c r="E92" s="554"/>
      <c r="F92" s="554"/>
      <c r="G92" s="554"/>
      <c r="H92" s="554"/>
      <c r="I92" s="554"/>
      <c r="J92" s="554"/>
      <c r="K92" s="554"/>
      <c r="L92" s="580"/>
      <c r="M92" s="581"/>
      <c r="N92" s="1155"/>
      <c r="O92" s="1155"/>
      <c r="P92" s="2632"/>
      <c r="Q92" s="504"/>
    </row>
    <row r="93" spans="1:17" ht="15.75" thickBot="1">
      <c r="A93" s="534"/>
      <c r="B93" s="543"/>
      <c r="C93" s="536">
        <v>100</v>
      </c>
      <c r="D93" s="536">
        <v>90</v>
      </c>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3018" t="s">
        <v>3235</v>
      </c>
      <c r="D100" s="3018" t="s">
        <v>3237</v>
      </c>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6"/>
      <c r="O101" s="1156"/>
      <c r="P101" s="2632"/>
      <c r="Q101" s="504"/>
    </row>
    <row r="102" spans="1:17" ht="15.75" thickTop="1">
      <c r="A102" s="534"/>
      <c r="B102" s="538" t="s">
        <v>2610</v>
      </c>
      <c r="C102" s="578" t="str">
        <f>C103&amp;"(含)"&amp;"-"&amp;D103</f>
        <v>0(含)-150</v>
      </c>
      <c r="D102" s="578" t="str">
        <f t="shared" ref="D102:L102" si="23">D103&amp;"(含)"&amp;"-"&amp;E103</f>
        <v>150(含)-300</v>
      </c>
      <c r="E102" s="578" t="str">
        <f t="shared" si="23"/>
        <v>300(含)-450</v>
      </c>
      <c r="F102" s="578" t="str">
        <f t="shared" si="23"/>
        <v>450(含)-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v>0</v>
      </c>
      <c r="D103" s="595">
        <v>150</v>
      </c>
      <c r="E103" s="595">
        <v>300</v>
      </c>
      <c r="F103" s="595">
        <v>450</v>
      </c>
      <c r="G103" s="595"/>
      <c r="H103" s="595"/>
      <c r="I103" s="595"/>
      <c r="J103" s="596"/>
      <c r="K103" s="596"/>
      <c r="L103" s="597"/>
      <c r="M103" s="598"/>
      <c r="N103" s="1157"/>
      <c r="O103" s="1157"/>
      <c r="P103" s="2633"/>
      <c r="Q103" s="559"/>
    </row>
    <row r="104" spans="1:17" s="471" customFormat="1" ht="15.75" thickBot="1">
      <c r="A104" s="553"/>
      <c r="B104" s="543"/>
      <c r="C104" s="560">
        <v>100</v>
      </c>
      <c r="D104" s="536">
        <v>97</v>
      </c>
      <c r="E104" s="536">
        <v>94</v>
      </c>
      <c r="F104" s="536">
        <v>91</v>
      </c>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3014" t="s">
        <v>3241</v>
      </c>
      <c r="D107" s="3014" t="s">
        <v>3243</v>
      </c>
      <c r="E107" s="3014" t="s">
        <v>3244</v>
      </c>
      <c r="F107" s="3019" t="s">
        <v>3246</v>
      </c>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3014" t="s">
        <v>3239</v>
      </c>
      <c r="D114" s="3014" t="s">
        <v>3240</v>
      </c>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3014" t="s">
        <v>3241</v>
      </c>
      <c r="D122" s="3014" t="s">
        <v>3243</v>
      </c>
      <c r="E122" s="3014" t="s">
        <v>3244</v>
      </c>
      <c r="F122" s="3019" t="s">
        <v>3246</v>
      </c>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1398.7300000000002</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54" t="s">
        <v>2643</v>
      </c>
      <c r="D4" s="3255"/>
      <c r="E4" s="3256" t="s">
        <v>2644</v>
      </c>
      <c r="F4" s="3257"/>
      <c r="G4" s="3254" t="s">
        <v>2645</v>
      </c>
      <c r="H4" s="3255"/>
      <c r="I4" s="3254" t="s">
        <v>2646</v>
      </c>
      <c r="J4" s="3255"/>
      <c r="K4" s="610" t="s">
        <v>2647</v>
      </c>
      <c r="L4" s="1133"/>
      <c r="M4" s="1134"/>
      <c r="N4" s="1134"/>
      <c r="O4" s="1134"/>
      <c r="P4" s="3292" t="s">
        <v>2648</v>
      </c>
      <c r="Q4" s="3293"/>
      <c r="R4" s="3296" t="s">
        <v>2644</v>
      </c>
      <c r="S4" s="3297"/>
      <c r="T4" s="3296" t="s">
        <v>2645</v>
      </c>
      <c r="U4" s="3297"/>
      <c r="V4" s="3298" t="s">
        <v>2646</v>
      </c>
      <c r="W4" s="3298"/>
      <c r="X4" s="2672"/>
      <c r="Y4" s="3296" t="s">
        <v>2648</v>
      </c>
      <c r="Z4" s="3297"/>
      <c r="AA4" s="3300" t="s">
        <v>2644</v>
      </c>
      <c r="AB4" s="3300" t="s">
        <v>2645</v>
      </c>
      <c r="AC4" s="3289" t="s">
        <v>2646</v>
      </c>
    </row>
    <row r="5" spans="1:29" ht="15">
      <c r="A5" s="404"/>
      <c r="B5" s="405"/>
      <c r="C5" s="3273" t="s">
        <v>2539</v>
      </c>
      <c r="D5" s="3274"/>
      <c r="E5" s="3280" t="s">
        <v>2540</v>
      </c>
      <c r="F5" s="3281"/>
      <c r="G5" s="3273" t="s">
        <v>2541</v>
      </c>
      <c r="H5" s="3274"/>
      <c r="I5" s="3273" t="s">
        <v>2542</v>
      </c>
      <c r="J5" s="3274"/>
      <c r="K5" s="610"/>
      <c r="L5" s="1133"/>
      <c r="M5" s="1134"/>
      <c r="N5" s="1134"/>
      <c r="O5" s="1134"/>
      <c r="P5" s="3294"/>
      <c r="Q5" s="3261"/>
      <c r="R5" s="3266"/>
      <c r="S5" s="3267"/>
      <c r="T5" s="3266"/>
      <c r="U5" s="3267"/>
      <c r="V5" s="3270"/>
      <c r="W5" s="3270"/>
      <c r="X5" s="1816"/>
      <c r="Y5" s="3266"/>
      <c r="Z5" s="3267"/>
      <c r="AA5" s="3252"/>
      <c r="AB5" s="3252"/>
      <c r="AC5" s="3290"/>
    </row>
    <row r="6" spans="1:29" ht="15.75" thickBot="1">
      <c r="A6" s="406"/>
      <c r="B6" s="407"/>
      <c r="C6" s="3271" t="s">
        <v>2543</v>
      </c>
      <c r="D6" s="3272"/>
      <c r="E6" s="3278" t="s">
        <v>2543</v>
      </c>
      <c r="F6" s="3279"/>
      <c r="G6" s="3271" t="s">
        <v>2543</v>
      </c>
      <c r="H6" s="3272"/>
      <c r="I6" s="3271" t="s">
        <v>2543</v>
      </c>
      <c r="J6" s="3272"/>
      <c r="K6" s="610" t="s">
        <v>2544</v>
      </c>
      <c r="L6" s="1133"/>
      <c r="M6" s="1134"/>
      <c r="N6" s="1134"/>
      <c r="O6" s="1134"/>
      <c r="P6" s="3295"/>
      <c r="Q6" s="3263"/>
      <c r="R6" s="3266"/>
      <c r="S6" s="3267"/>
      <c r="T6" s="3268"/>
      <c r="U6" s="3269"/>
      <c r="V6" s="3270"/>
      <c r="W6" s="3270"/>
      <c r="X6" s="1816"/>
      <c r="Y6" s="3268"/>
      <c r="Z6" s="3269"/>
      <c r="AA6" s="3253"/>
      <c r="AB6" s="3253"/>
      <c r="AC6" s="3291"/>
    </row>
    <row r="7" spans="1:29" s="117" customFormat="1" ht="15.75" thickBot="1">
      <c r="A7" s="408" t="s">
        <v>2545</v>
      </c>
      <c r="B7" s="409"/>
      <c r="C7" s="410">
        <f>'数据-取费表'!B2</f>
        <v>43335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9" t="s">
        <v>2546</v>
      </c>
      <c r="Q7" s="3277"/>
      <c r="R7" s="770" t="s">
        <v>17</v>
      </c>
      <c r="S7" s="771">
        <f t="shared" ref="S7:S15" si="0">F7</f>
        <v>0</v>
      </c>
      <c r="T7" s="770" t="s">
        <v>17</v>
      </c>
      <c r="U7" s="771">
        <f t="shared" ref="U7:U15" si="1">H7</f>
        <v>0</v>
      </c>
      <c r="V7" s="770" t="s">
        <v>17</v>
      </c>
      <c r="W7" s="771">
        <f t="shared" ref="W7:W15" si="2">J7</f>
        <v>0</v>
      </c>
      <c r="X7" s="772"/>
      <c r="Y7" s="3275" t="s">
        <v>2546</v>
      </c>
      <c r="Z7" s="3276"/>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9" t="s">
        <v>2549</v>
      </c>
      <c r="Q8" s="3276"/>
      <c r="R8" s="770" t="s">
        <v>17</v>
      </c>
      <c r="S8" s="771">
        <f t="shared" si="0"/>
        <v>0</v>
      </c>
      <c r="T8" s="770" t="s">
        <v>17</v>
      </c>
      <c r="U8" s="771">
        <f t="shared" si="1"/>
        <v>0</v>
      </c>
      <c r="V8" s="770" t="s">
        <v>17</v>
      </c>
      <c r="W8" s="771">
        <f t="shared" si="2"/>
        <v>0</v>
      </c>
      <c r="X8" s="772"/>
      <c r="Y8" s="3275" t="s">
        <v>2549</v>
      </c>
      <c r="Z8" s="3276"/>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0" t="s">
        <v>2552</v>
      </c>
      <c r="Q9" s="1798" t="str">
        <f t="shared" ref="Q9:Q15" si="6">B9</f>
        <v>用途</v>
      </c>
      <c r="R9" s="770" t="s">
        <v>17</v>
      </c>
      <c r="S9" s="771">
        <f t="shared" si="0"/>
        <v>100</v>
      </c>
      <c r="T9" s="770" t="s">
        <v>17</v>
      </c>
      <c r="U9" s="771">
        <f t="shared" si="1"/>
        <v>100</v>
      </c>
      <c r="V9" s="770" t="s">
        <v>17</v>
      </c>
      <c r="W9" s="771">
        <f t="shared" si="2"/>
        <v>100</v>
      </c>
      <c r="X9" s="772"/>
      <c r="Y9" s="3064"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0"/>
      <c r="Q10" s="1798"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0"/>
      <c r="Q11" s="1798"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50"/>
      <c r="Q12" s="1798">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50"/>
      <c r="Q13" s="1798">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50"/>
      <c r="Q14" s="1798">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73">
        <f t="shared" si="5"/>
        <v>1</v>
      </c>
    </row>
    <row r="15" spans="1:29" ht="15">
      <c r="A15" s="440" t="s">
        <v>2556</v>
      </c>
      <c r="B15" s="629" t="s">
        <v>2684</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8" t="s">
        <v>2557</v>
      </c>
      <c r="Q15" s="1813" t="str">
        <f t="shared" si="6"/>
        <v>办公集聚程度</v>
      </c>
      <c r="R15" s="774" t="s">
        <v>17</v>
      </c>
      <c r="S15" s="775">
        <f t="shared" si="0"/>
        <v>100</v>
      </c>
      <c r="T15" s="774" t="s">
        <v>17</v>
      </c>
      <c r="U15" s="775">
        <f t="shared" si="1"/>
        <v>100</v>
      </c>
      <c r="V15" s="774" t="s">
        <v>17</v>
      </c>
      <c r="W15" s="775">
        <f t="shared" si="2"/>
        <v>100</v>
      </c>
      <c r="X15" s="1816"/>
      <c r="Y15" s="3241" t="s">
        <v>2557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49"/>
      <c r="Q16" s="1813"/>
      <c r="R16" s="774"/>
      <c r="S16" s="775"/>
      <c r="T16" s="774"/>
      <c r="U16" s="775"/>
      <c r="V16" s="774"/>
      <c r="W16" s="775"/>
      <c r="X16" s="1816"/>
      <c r="Y16" s="3242"/>
      <c r="Z16" s="1817"/>
      <c r="AA16" s="1814">
        <v>1</v>
      </c>
      <c r="AB16" s="1814">
        <v>1</v>
      </c>
      <c r="AC16" s="2676">
        <v>1</v>
      </c>
    </row>
    <row r="17" spans="1:29" ht="128.25">
      <c r="A17" s="428"/>
      <c r="B17" s="631" t="s">
        <v>2094</v>
      </c>
      <c r="C17" s="2677" t="str">
        <f>估价对象房地状况!C6</f>
        <v>估价对象周边路网密集程度一般，公共交通通达情况较好，有310、565路及地铁14号线等公共交通，停车便捷程度较好，综合评价交通便捷度较好。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9"/>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9"/>
      <c r="Q18" s="1813"/>
      <c r="R18" s="774"/>
      <c r="S18" s="775"/>
      <c r="T18" s="774"/>
      <c r="U18" s="775"/>
      <c r="V18" s="774"/>
      <c r="W18" s="775"/>
      <c r="X18" s="1816"/>
      <c r="Y18" s="3242"/>
      <c r="Z18" s="1817"/>
      <c r="AA18" s="1814">
        <v>1</v>
      </c>
      <c r="AB18" s="1814">
        <v>1</v>
      </c>
      <c r="AC18" s="2676">
        <v>1</v>
      </c>
    </row>
    <row r="19" spans="1:29" ht="185.25">
      <c r="A19" s="428"/>
      <c r="B19" s="631" t="s">
        <v>2685</v>
      </c>
      <c r="C19" s="2677"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9"/>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9"/>
      <c r="Q20" s="1813"/>
      <c r="R20" s="774"/>
      <c r="S20" s="775"/>
      <c r="T20" s="774"/>
      <c r="U20" s="775"/>
      <c r="V20" s="774"/>
      <c r="W20" s="775"/>
      <c r="X20" s="1816"/>
      <c r="Y20" s="3242"/>
      <c r="Z20" s="1817"/>
      <c r="AA20" s="1814">
        <v>1</v>
      </c>
      <c r="AB20" s="1814">
        <v>1</v>
      </c>
      <c r="AC20" s="2676">
        <v>1</v>
      </c>
    </row>
    <row r="21" spans="1:29" ht="42.75">
      <c r="A21" s="428"/>
      <c r="B21" s="633" t="s">
        <v>2686</v>
      </c>
      <c r="C21" s="2677"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9"/>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9"/>
      <c r="Q22" s="1813"/>
      <c r="R22" s="774"/>
      <c r="S22" s="775"/>
      <c r="T22" s="774"/>
      <c r="U22" s="775"/>
      <c r="V22" s="774"/>
      <c r="W22" s="775"/>
      <c r="X22" s="1816"/>
      <c r="Y22" s="3242"/>
      <c r="Z22" s="1817"/>
      <c r="AA22" s="1814">
        <v>1</v>
      </c>
      <c r="AB22" s="1814">
        <v>1</v>
      </c>
      <c r="AC22" s="2676">
        <v>1</v>
      </c>
    </row>
    <row r="23" spans="1:29" ht="71.25">
      <c r="A23" s="428"/>
      <c r="B23" s="631" t="s">
        <v>2687</v>
      </c>
      <c r="C23" s="2677" t="str">
        <f>估价对象房地状况!C9</f>
        <v>区域自然环境：休闲公园；人文环境：北京园博园；综合评价环境状况一般。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9"/>
      <c r="Q23" s="1813" t="str">
        <f>B23</f>
        <v>环境质量</v>
      </c>
      <c r="R23" s="774" t="s">
        <v>17</v>
      </c>
      <c r="S23" s="775">
        <f>F23</f>
        <v>100</v>
      </c>
      <c r="T23" s="774" t="s">
        <v>17</v>
      </c>
      <c r="U23" s="775">
        <f>H23</f>
        <v>100</v>
      </c>
      <c r="V23" s="774" t="s">
        <v>17</v>
      </c>
      <c r="W23" s="775">
        <f>J23</f>
        <v>100</v>
      </c>
      <c r="X23" s="1816"/>
      <c r="Y23" s="3242"/>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9"/>
      <c r="Q24" s="1813"/>
      <c r="R24" s="774"/>
      <c r="S24" s="775"/>
      <c r="T24" s="774"/>
      <c r="U24" s="775"/>
      <c r="V24" s="774"/>
      <c r="W24" s="775"/>
      <c r="X24" s="1816"/>
      <c r="Y24" s="3242"/>
      <c r="Z24" s="1817"/>
      <c r="AA24" s="1814">
        <v>1</v>
      </c>
      <c r="AB24" s="1814">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9"/>
      <c r="Q25" s="1813" t="str">
        <f>B25</f>
        <v>毗邻道路的类型与等级</v>
      </c>
      <c r="R25" s="774" t="s">
        <v>17</v>
      </c>
      <c r="S25" s="775">
        <f>F25</f>
        <v>100</v>
      </c>
      <c r="T25" s="774" t="s">
        <v>17</v>
      </c>
      <c r="U25" s="775">
        <f>H25</f>
        <v>100</v>
      </c>
      <c r="V25" s="774" t="s">
        <v>17</v>
      </c>
      <c r="W25" s="775">
        <f>J25</f>
        <v>100</v>
      </c>
      <c r="X25" s="1816"/>
      <c r="Y25" s="3242"/>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49"/>
      <c r="Q26" s="1813"/>
      <c r="R26" s="774"/>
      <c r="S26" s="775"/>
      <c r="T26" s="774"/>
      <c r="U26" s="775"/>
      <c r="V26" s="774"/>
      <c r="W26" s="775"/>
      <c r="X26" s="1816"/>
      <c r="Y26" s="3242"/>
      <c r="Z26" s="1817"/>
      <c r="AA26" s="1814">
        <v>1</v>
      </c>
      <c r="AB26" s="1814">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9"/>
      <c r="Q27" s="1813" t="str">
        <f t="shared" ref="Q27:Q47" si="11">B27</f>
        <v>楼层</v>
      </c>
      <c r="R27" s="774" t="s">
        <v>17</v>
      </c>
      <c r="S27" s="775">
        <f>F27</f>
        <v>100</v>
      </c>
      <c r="T27" s="774" t="s">
        <v>17</v>
      </c>
      <c r="U27" s="775">
        <f>H27</f>
        <v>100</v>
      </c>
      <c r="V27" s="774" t="s">
        <v>17</v>
      </c>
      <c r="W27" s="775">
        <f>J27</f>
        <v>100</v>
      </c>
      <c r="X27" s="1816"/>
      <c r="Y27" s="3242"/>
      <c r="Z27" s="1817" t="str">
        <f>Q27</f>
        <v>楼层</v>
      </c>
      <c r="AA27" s="1814">
        <f t="shared" si="3"/>
        <v>1</v>
      </c>
      <c r="AB27" s="1814">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9"/>
      <c r="Q28" s="1798" t="str">
        <f t="shared" si="11"/>
        <v>朝向</v>
      </c>
      <c r="R28" s="770" t="s">
        <v>17</v>
      </c>
      <c r="S28" s="771">
        <f>F28</f>
        <v>100</v>
      </c>
      <c r="T28" s="770" t="s">
        <v>17</v>
      </c>
      <c r="U28" s="771">
        <f>H28</f>
        <v>100</v>
      </c>
      <c r="V28" s="770" t="s">
        <v>17</v>
      </c>
      <c r="W28" s="771">
        <f>J28</f>
        <v>100</v>
      </c>
      <c r="X28" s="772"/>
      <c r="Y28" s="3242"/>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9"/>
      <c r="Q29" s="1813">
        <f t="shared" si="11"/>
        <v>111</v>
      </c>
      <c r="R29" s="774" t="s">
        <v>17</v>
      </c>
      <c r="S29" s="775">
        <f t="shared" ref="S29:S47" si="12">F29</f>
        <v>100</v>
      </c>
      <c r="T29" s="774" t="s">
        <v>17</v>
      </c>
      <c r="U29" s="775">
        <f t="shared" ref="U29:U47" si="13">H29</f>
        <v>100</v>
      </c>
      <c r="V29" s="774" t="s">
        <v>17</v>
      </c>
      <c r="W29" s="775">
        <f t="shared" ref="W29:W47" si="14">J29</f>
        <v>100</v>
      </c>
      <c r="X29" s="1816"/>
      <c r="Y29" s="3242"/>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9"/>
      <c r="Q30" s="1813">
        <f t="shared" si="11"/>
        <v>111</v>
      </c>
      <c r="R30" s="774" t="s">
        <v>17</v>
      </c>
      <c r="S30" s="775">
        <f t="shared" si="12"/>
        <v>100</v>
      </c>
      <c r="T30" s="774" t="s">
        <v>17</v>
      </c>
      <c r="U30" s="775">
        <f t="shared" si="13"/>
        <v>100</v>
      </c>
      <c r="V30" s="774" t="s">
        <v>17</v>
      </c>
      <c r="W30" s="775">
        <f t="shared" si="14"/>
        <v>100</v>
      </c>
      <c r="X30" s="1816"/>
      <c r="Y30" s="3242"/>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9"/>
      <c r="Q31" s="1813">
        <f t="shared" si="11"/>
        <v>111</v>
      </c>
      <c r="R31" s="774" t="s">
        <v>17</v>
      </c>
      <c r="S31" s="775">
        <f t="shared" si="12"/>
        <v>100</v>
      </c>
      <c r="T31" s="774" t="s">
        <v>17</v>
      </c>
      <c r="U31" s="775">
        <f t="shared" si="13"/>
        <v>100</v>
      </c>
      <c r="V31" s="774" t="s">
        <v>17</v>
      </c>
      <c r="W31" s="775">
        <f t="shared" si="14"/>
        <v>100</v>
      </c>
      <c r="X31" s="1816"/>
      <c r="Y31" s="3242"/>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9"/>
      <c r="Q32" s="1813">
        <f t="shared" si="11"/>
        <v>111</v>
      </c>
      <c r="R32" s="774" t="s">
        <v>17</v>
      </c>
      <c r="S32" s="775">
        <f t="shared" si="12"/>
        <v>100</v>
      </c>
      <c r="T32" s="774" t="s">
        <v>17</v>
      </c>
      <c r="U32" s="775">
        <f t="shared" si="13"/>
        <v>100</v>
      </c>
      <c r="V32" s="774" t="s">
        <v>17</v>
      </c>
      <c r="W32" s="775">
        <f t="shared" si="14"/>
        <v>100</v>
      </c>
      <c r="X32" s="1816"/>
      <c r="Y32" s="3242"/>
      <c r="Z32" s="1817">
        <f t="shared" si="15"/>
        <v>111</v>
      </c>
      <c r="AA32" s="1814">
        <f t="shared" si="3"/>
        <v>1</v>
      </c>
      <c r="AB32" s="1814">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43" t="s">
        <v>2562</v>
      </c>
      <c r="Q33" s="1813" t="str">
        <f t="shared" si="11"/>
        <v>建筑类型</v>
      </c>
      <c r="R33" s="774" t="s">
        <v>17</v>
      </c>
      <c r="S33" s="775">
        <f t="shared" si="12"/>
        <v>100</v>
      </c>
      <c r="T33" s="774" t="s">
        <v>17</v>
      </c>
      <c r="U33" s="775">
        <f t="shared" si="13"/>
        <v>100</v>
      </c>
      <c r="V33" s="774" t="s">
        <v>17</v>
      </c>
      <c r="W33" s="775">
        <f t="shared" si="14"/>
        <v>100</v>
      </c>
      <c r="X33" s="1816"/>
      <c r="Y33" s="3246" t="s">
        <v>2562</v>
      </c>
      <c r="Z33" s="1817" t="str">
        <f t="shared" si="15"/>
        <v>建筑类型</v>
      </c>
      <c r="AA33" s="1814">
        <f t="shared" si="3"/>
        <v>1</v>
      </c>
      <c r="AB33" s="1814">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4"/>
      <c r="Q34" s="776" t="str">
        <f t="shared" si="11"/>
        <v>项目建筑规模</v>
      </c>
      <c r="R34" s="777" t="s">
        <v>17</v>
      </c>
      <c r="S34" s="778" t="e">
        <f t="shared" si="12"/>
        <v>#N/A</v>
      </c>
      <c r="T34" s="777" t="s">
        <v>17</v>
      </c>
      <c r="U34" s="778" t="e">
        <f t="shared" si="13"/>
        <v>#N/A</v>
      </c>
      <c r="V34" s="777" t="s">
        <v>17</v>
      </c>
      <c r="W34" s="778" t="e">
        <f t="shared" si="14"/>
        <v>#N/A</v>
      </c>
      <c r="X34" s="779"/>
      <c r="Y34" s="3246"/>
      <c r="Z34" s="780" t="str">
        <f t="shared" si="15"/>
        <v>项目建筑规模</v>
      </c>
      <c r="AA34" s="1814" t="e">
        <f t="shared" si="3"/>
        <v>#N/A</v>
      </c>
      <c r="AB34" s="1814"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4"/>
      <c r="Q35" s="1813" t="str">
        <f t="shared" si="11"/>
        <v>建筑结构</v>
      </c>
      <c r="R35" s="774" t="s">
        <v>17</v>
      </c>
      <c r="S35" s="775">
        <f t="shared" si="12"/>
        <v>100</v>
      </c>
      <c r="T35" s="774" t="s">
        <v>17</v>
      </c>
      <c r="U35" s="775">
        <f t="shared" si="13"/>
        <v>100</v>
      </c>
      <c r="V35" s="774" t="s">
        <v>17</v>
      </c>
      <c r="W35" s="775">
        <f t="shared" si="14"/>
        <v>100</v>
      </c>
      <c r="X35" s="1816"/>
      <c r="Y35" s="3246"/>
      <c r="Z35" s="1817" t="str">
        <f t="shared" si="15"/>
        <v>建筑结构</v>
      </c>
      <c r="AA35" s="1814">
        <f t="shared" si="3"/>
        <v>1</v>
      </c>
      <c r="AB35" s="1814">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4"/>
      <c r="Q36" s="1813" t="str">
        <f t="shared" si="11"/>
        <v>公共部分装修</v>
      </c>
      <c r="R36" s="774" t="s">
        <v>17</v>
      </c>
      <c r="S36" s="775">
        <f t="shared" si="12"/>
        <v>100</v>
      </c>
      <c r="T36" s="774" t="s">
        <v>17</v>
      </c>
      <c r="U36" s="775">
        <f t="shared" si="13"/>
        <v>100</v>
      </c>
      <c r="V36" s="774" t="s">
        <v>17</v>
      </c>
      <c r="W36" s="775">
        <f t="shared" si="14"/>
        <v>100</v>
      </c>
      <c r="X36" s="1816"/>
      <c r="Y36" s="3246"/>
      <c r="Z36" s="1817" t="str">
        <f t="shared" si="15"/>
        <v>公共部分装修</v>
      </c>
      <c r="AA36" s="1814">
        <f t="shared" si="3"/>
        <v>1</v>
      </c>
      <c r="AB36" s="1814">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4"/>
      <c r="Q37" s="1813" t="str">
        <f t="shared" si="11"/>
        <v>成新度</v>
      </c>
      <c r="R37" s="774" t="s">
        <v>17</v>
      </c>
      <c r="S37" s="775" t="e">
        <f t="shared" si="12"/>
        <v>#N/A</v>
      </c>
      <c r="T37" s="774" t="s">
        <v>17</v>
      </c>
      <c r="U37" s="775" t="e">
        <f t="shared" si="13"/>
        <v>#N/A</v>
      </c>
      <c r="V37" s="774" t="s">
        <v>17</v>
      </c>
      <c r="W37" s="775" t="e">
        <f t="shared" si="14"/>
        <v>#N/A</v>
      </c>
      <c r="X37" s="1816"/>
      <c r="Y37" s="3246"/>
      <c r="Z37" s="1817" t="str">
        <f t="shared" si="15"/>
        <v>成新度</v>
      </c>
      <c r="AA37" s="1814" t="e">
        <f t="shared" si="3"/>
        <v>#N/A</v>
      </c>
      <c r="AB37" s="1814"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4"/>
      <c r="Q38" s="1798" t="str">
        <f t="shared" si="11"/>
        <v>写字楼等级</v>
      </c>
      <c r="R38" s="770" t="s">
        <v>17</v>
      </c>
      <c r="S38" s="771">
        <f t="shared" si="12"/>
        <v>100</v>
      </c>
      <c r="T38" s="770" t="s">
        <v>17</v>
      </c>
      <c r="U38" s="771">
        <f t="shared" si="13"/>
        <v>100</v>
      </c>
      <c r="V38" s="770" t="s">
        <v>17</v>
      </c>
      <c r="W38" s="771">
        <f t="shared" si="14"/>
        <v>100</v>
      </c>
      <c r="X38" s="772"/>
      <c r="Y38" s="3246"/>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4" t="s">
        <v>2562</v>
      </c>
      <c r="Q39" s="1813" t="str">
        <f t="shared" si="11"/>
        <v>物业管理</v>
      </c>
      <c r="R39" s="774" t="s">
        <v>17</v>
      </c>
      <c r="S39" s="775">
        <f t="shared" si="12"/>
        <v>100</v>
      </c>
      <c r="T39" s="774" t="s">
        <v>17</v>
      </c>
      <c r="U39" s="775">
        <f t="shared" si="13"/>
        <v>100</v>
      </c>
      <c r="V39" s="774" t="s">
        <v>17</v>
      </c>
      <c r="W39" s="775">
        <f t="shared" si="14"/>
        <v>100</v>
      </c>
      <c r="X39" s="1816"/>
      <c r="Y39" s="3246" t="s">
        <v>2562</v>
      </c>
      <c r="Z39" s="1817" t="str">
        <f t="shared" si="15"/>
        <v>物业管理</v>
      </c>
      <c r="AA39" s="1814">
        <f t="shared" si="3"/>
        <v>1</v>
      </c>
      <c r="AB39" s="1814">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4"/>
      <c r="Q40" s="1813" t="str">
        <f t="shared" si="11"/>
        <v>市政基础设施</v>
      </c>
      <c r="R40" s="774" t="s">
        <v>17</v>
      </c>
      <c r="S40" s="775">
        <f t="shared" si="12"/>
        <v>100</v>
      </c>
      <c r="T40" s="774" t="s">
        <v>17</v>
      </c>
      <c r="U40" s="775">
        <f t="shared" si="13"/>
        <v>100</v>
      </c>
      <c r="V40" s="774" t="s">
        <v>17</v>
      </c>
      <c r="W40" s="775">
        <f t="shared" si="14"/>
        <v>100</v>
      </c>
      <c r="X40" s="1816"/>
      <c r="Y40" s="3246"/>
      <c r="Z40" s="1817" t="str">
        <f t="shared" si="15"/>
        <v>市政基础设施</v>
      </c>
      <c r="AA40" s="1814">
        <f t="shared" si="3"/>
        <v>1</v>
      </c>
      <c r="AB40" s="1814">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4"/>
      <c r="Q41" s="1813" t="str">
        <f t="shared" si="11"/>
        <v>层高</v>
      </c>
      <c r="R41" s="774" t="s">
        <v>17</v>
      </c>
      <c r="S41" s="775">
        <f t="shared" si="12"/>
        <v>100</v>
      </c>
      <c r="T41" s="774" t="s">
        <v>17</v>
      </c>
      <c r="U41" s="775">
        <f t="shared" si="13"/>
        <v>100</v>
      </c>
      <c r="V41" s="774" t="s">
        <v>17</v>
      </c>
      <c r="W41" s="775">
        <f t="shared" si="14"/>
        <v>100</v>
      </c>
      <c r="X41" s="1816"/>
      <c r="Y41" s="3246"/>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4"/>
      <c r="Q42" s="776" t="str">
        <f t="shared" si="11"/>
        <v>单套建筑面积</v>
      </c>
      <c r="R42" s="777" t="s">
        <v>17</v>
      </c>
      <c r="S42" s="778">
        <f t="shared" si="12"/>
        <v>100</v>
      </c>
      <c r="T42" s="777" t="s">
        <v>17</v>
      </c>
      <c r="U42" s="778">
        <f t="shared" si="13"/>
        <v>100</v>
      </c>
      <c r="V42" s="777" t="s">
        <v>17</v>
      </c>
      <c r="W42" s="778">
        <f t="shared" si="14"/>
        <v>100</v>
      </c>
      <c r="X42" s="779"/>
      <c r="Y42" s="3246"/>
      <c r="Z42" s="780" t="str">
        <f t="shared" si="15"/>
        <v>单套建筑面积</v>
      </c>
      <c r="AA42" s="1814">
        <f t="shared" si="3"/>
        <v>1</v>
      </c>
      <c r="AB42" s="1814">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4"/>
      <c r="Q43" s="1813" t="str">
        <f t="shared" si="11"/>
        <v>内部装修</v>
      </c>
      <c r="R43" s="774" t="s">
        <v>17</v>
      </c>
      <c r="S43" s="775">
        <f t="shared" si="12"/>
        <v>100</v>
      </c>
      <c r="T43" s="774" t="s">
        <v>17</v>
      </c>
      <c r="U43" s="775">
        <f t="shared" si="13"/>
        <v>100</v>
      </c>
      <c r="V43" s="774" t="s">
        <v>17</v>
      </c>
      <c r="W43" s="775">
        <f t="shared" si="14"/>
        <v>100</v>
      </c>
      <c r="X43" s="1816"/>
      <c r="Y43" s="3246"/>
      <c r="Z43" s="1817" t="str">
        <f t="shared" si="15"/>
        <v>内部装修</v>
      </c>
      <c r="AA43" s="1814">
        <f t="shared" si="3"/>
        <v>1</v>
      </c>
      <c r="AB43" s="1814">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44"/>
      <c r="Q44" s="1813" t="str">
        <f t="shared" si="11"/>
        <v>内部装修维护情况</v>
      </c>
      <c r="R44" s="774" t="s">
        <v>17</v>
      </c>
      <c r="S44" s="775">
        <f t="shared" si="12"/>
        <v>100</v>
      </c>
      <c r="T44" s="774" t="s">
        <v>17</v>
      </c>
      <c r="U44" s="775">
        <f t="shared" si="13"/>
        <v>100</v>
      </c>
      <c r="V44" s="774" t="s">
        <v>17</v>
      </c>
      <c r="W44" s="775">
        <f t="shared" si="14"/>
        <v>100</v>
      </c>
      <c r="X44" s="1816"/>
      <c r="Y44" s="3246"/>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4"/>
      <c r="Q45" s="1798">
        <f t="shared" si="11"/>
        <v>111</v>
      </c>
      <c r="R45" s="770" t="s">
        <v>17</v>
      </c>
      <c r="S45" s="771">
        <f t="shared" si="12"/>
        <v>100</v>
      </c>
      <c r="T45" s="770" t="s">
        <v>17</v>
      </c>
      <c r="U45" s="771">
        <f t="shared" si="13"/>
        <v>100</v>
      </c>
      <c r="V45" s="770" t="s">
        <v>17</v>
      </c>
      <c r="W45" s="771">
        <f t="shared" si="14"/>
        <v>100</v>
      </c>
      <c r="X45" s="772"/>
      <c r="Y45" s="3246"/>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4"/>
      <c r="Q46" s="1813">
        <f t="shared" si="11"/>
        <v>111</v>
      </c>
      <c r="R46" s="774" t="s">
        <v>17</v>
      </c>
      <c r="S46" s="775">
        <f t="shared" si="12"/>
        <v>100</v>
      </c>
      <c r="T46" s="774" t="s">
        <v>17</v>
      </c>
      <c r="U46" s="775">
        <f t="shared" si="13"/>
        <v>100</v>
      </c>
      <c r="V46" s="774" t="s">
        <v>17</v>
      </c>
      <c r="W46" s="775">
        <f t="shared" si="14"/>
        <v>100</v>
      </c>
      <c r="X46" s="1816"/>
      <c r="Y46" s="3246"/>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5"/>
      <c r="Q47" s="1813">
        <f t="shared" si="11"/>
        <v>111</v>
      </c>
      <c r="R47" s="774" t="s">
        <v>17</v>
      </c>
      <c r="S47" s="775">
        <f t="shared" si="12"/>
        <v>100</v>
      </c>
      <c r="T47" s="774" t="s">
        <v>17</v>
      </c>
      <c r="U47" s="775">
        <f t="shared" si="13"/>
        <v>100</v>
      </c>
      <c r="V47" s="774" t="s">
        <v>17</v>
      </c>
      <c r="W47" s="775">
        <f t="shared" si="14"/>
        <v>100</v>
      </c>
      <c r="X47" s="1816"/>
      <c r="Y47" s="3247"/>
      <c r="Z47" s="1817">
        <f t="shared" si="15"/>
        <v>111</v>
      </c>
      <c r="AA47" s="1814">
        <f t="shared" si="3"/>
        <v>1</v>
      </c>
      <c r="AB47" s="1814">
        <f t="shared" si="4"/>
        <v>1</v>
      </c>
      <c r="AC47" s="2676">
        <f t="shared" si="5"/>
        <v>1</v>
      </c>
    </row>
    <row r="48" spans="1:29" ht="15">
      <c r="A48" s="479" t="s">
        <v>2574</v>
      </c>
      <c r="B48" s="480"/>
      <c r="C48" s="1410" t="s">
        <v>1</v>
      </c>
      <c r="D48" s="1411"/>
      <c r="E48" s="1412"/>
      <c r="F48" s="1413"/>
      <c r="G48" s="1414"/>
      <c r="H48" s="1415"/>
      <c r="I48" s="1412"/>
      <c r="J48" s="485"/>
      <c r="K48" s="783"/>
      <c r="L48" s="1146"/>
      <c r="M48" s="1134"/>
      <c r="N48" s="1134"/>
      <c r="O48" s="1134"/>
      <c r="P48" s="3250" t="str">
        <f>A48</f>
        <v>成交单价（元/平方米）</v>
      </c>
      <c r="Q48" s="3239"/>
      <c r="R48" s="3240">
        <f>E48</f>
        <v>0</v>
      </c>
      <c r="S48" s="3240"/>
      <c r="T48" s="3240">
        <f>G48</f>
        <v>0</v>
      </c>
      <c r="U48" s="3240"/>
      <c r="V48" s="3240">
        <f>I48</f>
        <v>0</v>
      </c>
      <c r="W48" s="3240"/>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50"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86" t="str">
        <f>A50</f>
        <v>估价对象XX用房的比较价值（楼面单价，元/平方米）</v>
      </c>
      <c r="Q50" s="3287"/>
      <c r="R50" s="3288" t="e">
        <f>IF(F1="售价",ROUND(AVERAGE(R49:V49),0),ROUND(AVERAGE(R49:V49),1))</f>
        <v>#DIV/0!</v>
      </c>
      <c r="S50" s="3288"/>
      <c r="T50" s="3288"/>
      <c r="U50" s="3288"/>
      <c r="V50" s="3288"/>
      <c r="W50" s="3288"/>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1398.7300000000002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4" t="s">
        <v>2643</v>
      </c>
      <c r="D4" s="3255"/>
      <c r="E4" s="3256" t="s">
        <v>2644</v>
      </c>
      <c r="F4" s="3257"/>
      <c r="G4" s="3254" t="s">
        <v>2645</v>
      </c>
      <c r="H4" s="3255"/>
      <c r="I4" s="3254" t="s">
        <v>2646</v>
      </c>
      <c r="J4" s="3255"/>
      <c r="K4" s="610" t="s">
        <v>2647</v>
      </c>
      <c r="L4" s="1133"/>
      <c r="M4" s="1134"/>
      <c r="N4" s="1134"/>
      <c r="O4" s="1134"/>
      <c r="P4" s="3258" t="s">
        <v>2648</v>
      </c>
      <c r="Q4" s="3259"/>
      <c r="R4" s="3264" t="s">
        <v>2644</v>
      </c>
      <c r="S4" s="3265"/>
      <c r="T4" s="3264" t="s">
        <v>2645</v>
      </c>
      <c r="U4" s="3265"/>
      <c r="V4" s="3270" t="s">
        <v>2646</v>
      </c>
      <c r="W4" s="3270"/>
      <c r="X4" s="1816"/>
      <c r="Y4" s="3264" t="s">
        <v>2648</v>
      </c>
      <c r="Z4" s="3265"/>
      <c r="AA4" s="3251" t="s">
        <v>2644</v>
      </c>
      <c r="AB4" s="3252" t="s">
        <v>2645</v>
      </c>
      <c r="AC4" s="3251" t="s">
        <v>2646</v>
      </c>
    </row>
    <row r="5" spans="1:29" ht="15">
      <c r="A5" s="404"/>
      <c r="B5" s="405"/>
      <c r="C5" s="3273" t="s">
        <v>2539</v>
      </c>
      <c r="D5" s="3274"/>
      <c r="E5" s="3280" t="s">
        <v>2540</v>
      </c>
      <c r="F5" s="3281"/>
      <c r="G5" s="3273" t="s">
        <v>2541</v>
      </c>
      <c r="H5" s="3274"/>
      <c r="I5" s="3273" t="s">
        <v>2542</v>
      </c>
      <c r="J5" s="3274"/>
      <c r="K5" s="610"/>
      <c r="L5" s="1133"/>
      <c r="M5" s="1134"/>
      <c r="N5" s="1134"/>
      <c r="O5" s="1134"/>
      <c r="P5" s="3260"/>
      <c r="Q5" s="3261"/>
      <c r="R5" s="3266"/>
      <c r="S5" s="3267"/>
      <c r="T5" s="3266"/>
      <c r="U5" s="3267"/>
      <c r="V5" s="3270"/>
      <c r="W5" s="3270"/>
      <c r="X5" s="1816"/>
      <c r="Y5" s="3266"/>
      <c r="Z5" s="3267"/>
      <c r="AA5" s="3252"/>
      <c r="AB5" s="3252"/>
      <c r="AC5" s="3252"/>
    </row>
    <row r="6" spans="1:29" ht="15.75" thickBot="1">
      <c r="A6" s="406"/>
      <c r="B6" s="407"/>
      <c r="C6" s="3271" t="s">
        <v>2543</v>
      </c>
      <c r="D6" s="3272"/>
      <c r="E6" s="3278" t="s">
        <v>2543</v>
      </c>
      <c r="F6" s="3279"/>
      <c r="G6" s="3271" t="s">
        <v>2543</v>
      </c>
      <c r="H6" s="3272"/>
      <c r="I6" s="3271" t="s">
        <v>2543</v>
      </c>
      <c r="J6" s="3272"/>
      <c r="K6" s="610" t="s">
        <v>2544</v>
      </c>
      <c r="L6" s="1133"/>
      <c r="M6" s="1134"/>
      <c r="N6" s="1134"/>
      <c r="O6" s="1134"/>
      <c r="P6" s="3262"/>
      <c r="Q6" s="3263"/>
      <c r="R6" s="3266"/>
      <c r="S6" s="3267"/>
      <c r="T6" s="3268"/>
      <c r="U6" s="3269"/>
      <c r="V6" s="3270"/>
      <c r="W6" s="3270"/>
      <c r="X6" s="1816"/>
      <c r="Y6" s="3268"/>
      <c r="Z6" s="3269"/>
      <c r="AA6" s="3253"/>
      <c r="AB6" s="3253"/>
      <c r="AC6" s="3253"/>
    </row>
    <row r="7" spans="1:29" s="117" customFormat="1" ht="15.75" thickBot="1">
      <c r="A7" s="408" t="s">
        <v>2545</v>
      </c>
      <c r="B7" s="409"/>
      <c r="C7" s="410">
        <f>'数据-取费表'!B2</f>
        <v>43335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5" t="s">
        <v>2546</v>
      </c>
      <c r="Q7" s="3277"/>
      <c r="R7" s="770" t="s">
        <v>17</v>
      </c>
      <c r="S7" s="771">
        <f t="shared" ref="S7:S15" si="0">F7</f>
        <v>0</v>
      </c>
      <c r="T7" s="770" t="s">
        <v>17</v>
      </c>
      <c r="U7" s="771">
        <f t="shared" ref="U7:U15" si="1">H7</f>
        <v>0</v>
      </c>
      <c r="V7" s="770" t="s">
        <v>17</v>
      </c>
      <c r="W7" s="771">
        <f t="shared" ref="W7:W15" si="2">J7</f>
        <v>0</v>
      </c>
      <c r="X7" s="772"/>
      <c r="Y7" s="3275" t="s">
        <v>2546</v>
      </c>
      <c r="Z7" s="3276"/>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5" t="s">
        <v>2549</v>
      </c>
      <c r="Q8" s="3276"/>
      <c r="R8" s="770" t="s">
        <v>17</v>
      </c>
      <c r="S8" s="771">
        <f t="shared" si="0"/>
        <v>0</v>
      </c>
      <c r="T8" s="770" t="s">
        <v>17</v>
      </c>
      <c r="U8" s="771">
        <f t="shared" si="1"/>
        <v>0</v>
      </c>
      <c r="V8" s="770" t="s">
        <v>17</v>
      </c>
      <c r="W8" s="771">
        <f t="shared" si="2"/>
        <v>0</v>
      </c>
      <c r="X8" s="772"/>
      <c r="Y8" s="3275" t="s">
        <v>2549</v>
      </c>
      <c r="Z8" s="3276"/>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9" t="s">
        <v>2552</v>
      </c>
      <c r="Q9" s="1798" t="str">
        <f t="shared" ref="Q9:Q15" si="6">B9</f>
        <v>用途</v>
      </c>
      <c r="R9" s="770" t="s">
        <v>17</v>
      </c>
      <c r="S9" s="771">
        <f t="shared" si="0"/>
        <v>100</v>
      </c>
      <c r="T9" s="770" t="s">
        <v>17</v>
      </c>
      <c r="U9" s="771">
        <f t="shared" si="1"/>
        <v>100</v>
      </c>
      <c r="V9" s="770" t="s">
        <v>17</v>
      </c>
      <c r="W9" s="771">
        <f t="shared" si="2"/>
        <v>100</v>
      </c>
      <c r="X9" s="772"/>
      <c r="Y9" s="3064"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1" t="s">
        <v>2557</v>
      </c>
      <c r="Q15" s="1813" t="str">
        <f t="shared" si="6"/>
        <v>产业集聚程度</v>
      </c>
      <c r="R15" s="774" t="s">
        <v>17</v>
      </c>
      <c r="S15" s="775">
        <f t="shared" si="0"/>
        <v>100</v>
      </c>
      <c r="T15" s="774" t="s">
        <v>17</v>
      </c>
      <c r="U15" s="775">
        <f t="shared" si="1"/>
        <v>100</v>
      </c>
      <c r="V15" s="774" t="s">
        <v>17</v>
      </c>
      <c r="W15" s="775">
        <f t="shared" si="2"/>
        <v>100</v>
      </c>
      <c r="X15" s="1816"/>
      <c r="Y15" s="3241"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2"/>
      <c r="Q16" s="1813"/>
      <c r="R16" s="774"/>
      <c r="S16" s="775"/>
      <c r="T16" s="774"/>
      <c r="U16" s="775"/>
      <c r="V16" s="774"/>
      <c r="W16" s="775"/>
      <c r="X16" s="1816"/>
      <c r="Y16" s="3242"/>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2"/>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42"/>
      <c r="Q18" s="1813"/>
      <c r="R18" s="774"/>
      <c r="S18" s="775"/>
      <c r="T18" s="774"/>
      <c r="U18" s="775"/>
      <c r="V18" s="774"/>
      <c r="W18" s="775"/>
      <c r="X18" s="1816"/>
      <c r="Y18" s="3242"/>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2"/>
      <c r="Q19" s="1813" t="str">
        <f>B19</f>
        <v>公共配套设施</v>
      </c>
      <c r="R19" s="774" t="s">
        <v>17</v>
      </c>
      <c r="S19" s="775">
        <f>F19</f>
        <v>100</v>
      </c>
      <c r="T19" s="774" t="s">
        <v>17</v>
      </c>
      <c r="U19" s="775">
        <f>H19</f>
        <v>100</v>
      </c>
      <c r="V19" s="774" t="s">
        <v>17</v>
      </c>
      <c r="W19" s="775">
        <f>J19</f>
        <v>100</v>
      </c>
      <c r="X19" s="1816"/>
      <c r="Y19" s="3242"/>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42"/>
      <c r="Q20" s="1813"/>
      <c r="R20" s="774"/>
      <c r="S20" s="775"/>
      <c r="T20" s="774"/>
      <c r="U20" s="775"/>
      <c r="V20" s="774"/>
      <c r="W20" s="775"/>
      <c r="X20" s="1816"/>
      <c r="Y20" s="3242"/>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2"/>
      <c r="Q21" s="1813" t="str">
        <f>B21</f>
        <v>基础设施水平</v>
      </c>
      <c r="R21" s="774" t="s">
        <v>17</v>
      </c>
      <c r="S21" s="775">
        <f>F21</f>
        <v>100</v>
      </c>
      <c r="T21" s="774" t="s">
        <v>17</v>
      </c>
      <c r="U21" s="775">
        <f>H21</f>
        <v>100</v>
      </c>
      <c r="V21" s="774" t="s">
        <v>17</v>
      </c>
      <c r="W21" s="775">
        <f>J21</f>
        <v>100</v>
      </c>
      <c r="X21" s="1816"/>
      <c r="Y21" s="324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42"/>
      <c r="Q22" s="1813"/>
      <c r="R22" s="774"/>
      <c r="S22" s="775"/>
      <c r="T22" s="774"/>
      <c r="U22" s="775"/>
      <c r="V22" s="774"/>
      <c r="W22" s="775"/>
      <c r="X22" s="1816"/>
      <c r="Y22" s="3242"/>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2"/>
      <c r="Q23" s="1813" t="str">
        <f>B23</f>
        <v>环境质量</v>
      </c>
      <c r="R23" s="774" t="s">
        <v>17</v>
      </c>
      <c r="S23" s="775">
        <f>F23</f>
        <v>100</v>
      </c>
      <c r="T23" s="774" t="s">
        <v>17</v>
      </c>
      <c r="U23" s="775">
        <f>H23</f>
        <v>100</v>
      </c>
      <c r="V23" s="774" t="s">
        <v>17</v>
      </c>
      <c r="W23" s="775">
        <f>J23</f>
        <v>100</v>
      </c>
      <c r="X23" s="1816"/>
      <c r="Y23" s="3242"/>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42"/>
      <c r="Q24" s="1813"/>
      <c r="R24" s="774"/>
      <c r="S24" s="775"/>
      <c r="T24" s="774"/>
      <c r="U24" s="775"/>
      <c r="V24" s="774"/>
      <c r="W24" s="775"/>
      <c r="X24" s="1816"/>
      <c r="Y24" s="324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2"/>
      <c r="Q25" s="1813">
        <f>B25</f>
        <v>111</v>
      </c>
      <c r="R25" s="774" t="s">
        <v>17</v>
      </c>
      <c r="S25" s="775">
        <f>F25</f>
        <v>100</v>
      </c>
      <c r="T25" s="774" t="s">
        <v>17</v>
      </c>
      <c r="U25" s="775">
        <f>H25</f>
        <v>100</v>
      </c>
      <c r="V25" s="774" t="s">
        <v>17</v>
      </c>
      <c r="W25" s="775">
        <f>J25</f>
        <v>100</v>
      </c>
      <c r="X25" s="1816"/>
      <c r="Y25" s="324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2"/>
      <c r="Q26" s="1813">
        <f t="shared" ref="Q26:Q40" si="11">B26</f>
        <v>111</v>
      </c>
      <c r="R26" s="774" t="s">
        <v>17</v>
      </c>
      <c r="S26" s="775">
        <f>F26</f>
        <v>100</v>
      </c>
      <c r="T26" s="774" t="s">
        <v>17</v>
      </c>
      <c r="U26" s="775">
        <f>H26</f>
        <v>100</v>
      </c>
      <c r="V26" s="774" t="s">
        <v>17</v>
      </c>
      <c r="W26" s="775">
        <f>J26</f>
        <v>100</v>
      </c>
      <c r="X26" s="1816"/>
      <c r="Y26" s="324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2"/>
      <c r="Q27" s="1798">
        <f t="shared" si="11"/>
        <v>111</v>
      </c>
      <c r="R27" s="770" t="s">
        <v>17</v>
      </c>
      <c r="S27" s="771">
        <f>F27</f>
        <v>100</v>
      </c>
      <c r="T27" s="770" t="s">
        <v>17</v>
      </c>
      <c r="U27" s="771">
        <f>H27</f>
        <v>100</v>
      </c>
      <c r="V27" s="770" t="s">
        <v>17</v>
      </c>
      <c r="W27" s="771">
        <f>J27</f>
        <v>100</v>
      </c>
      <c r="X27" s="772"/>
      <c r="Y27" s="324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2"/>
      <c r="Q28" s="1813">
        <f t="shared" si="11"/>
        <v>111</v>
      </c>
      <c r="R28" s="774" t="s">
        <v>17</v>
      </c>
      <c r="S28" s="775">
        <f t="shared" ref="S28:S40" si="12">F28</f>
        <v>100</v>
      </c>
      <c r="T28" s="774" t="s">
        <v>17</v>
      </c>
      <c r="U28" s="775">
        <f t="shared" ref="U28:U40" si="13">H28</f>
        <v>100</v>
      </c>
      <c r="V28" s="774" t="s">
        <v>17</v>
      </c>
      <c r="W28" s="775">
        <f t="shared" ref="W28:W40" si="14">J28</f>
        <v>100</v>
      </c>
      <c r="X28" s="1816"/>
      <c r="Y28" s="3242"/>
      <c r="Z28" s="1817">
        <f t="shared" ref="Z28:Z40" si="15">Q28</f>
        <v>111</v>
      </c>
      <c r="AA28" s="1814">
        <f t="shared" si="3"/>
        <v>1</v>
      </c>
      <c r="AB28" s="1814">
        <f t="shared" si="4"/>
        <v>1</v>
      </c>
      <c r="AC28" s="1814">
        <f t="shared" si="5"/>
        <v>1</v>
      </c>
    </row>
    <row r="29" spans="1:29" ht="1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301" t="s">
        <v>2562</v>
      </c>
      <c r="Q29" s="1813" t="str">
        <f t="shared" si="11"/>
        <v>建筑类型</v>
      </c>
      <c r="R29" s="774" t="s">
        <v>17</v>
      </c>
      <c r="S29" s="775">
        <f t="shared" si="12"/>
        <v>100</v>
      </c>
      <c r="T29" s="774" t="s">
        <v>17</v>
      </c>
      <c r="U29" s="775">
        <f t="shared" si="13"/>
        <v>100</v>
      </c>
      <c r="V29" s="774" t="s">
        <v>17</v>
      </c>
      <c r="W29" s="775">
        <f t="shared" si="14"/>
        <v>100</v>
      </c>
      <c r="X29" s="1816"/>
      <c r="Y29" s="3246"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6"/>
      <c r="Q30" s="776" t="str">
        <f t="shared" si="11"/>
        <v>项目建筑规模</v>
      </c>
      <c r="R30" s="777" t="s">
        <v>17</v>
      </c>
      <c r="S30" s="778" t="e">
        <f t="shared" si="12"/>
        <v>#N/A</v>
      </c>
      <c r="T30" s="777" t="s">
        <v>17</v>
      </c>
      <c r="U30" s="778" t="e">
        <f t="shared" si="13"/>
        <v>#N/A</v>
      </c>
      <c r="V30" s="777" t="s">
        <v>17</v>
      </c>
      <c r="W30" s="778" t="e">
        <f t="shared" si="14"/>
        <v>#N/A</v>
      </c>
      <c r="X30" s="779"/>
      <c r="Y30" s="3246"/>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6"/>
      <c r="Q31" s="1813" t="str">
        <f t="shared" si="11"/>
        <v>建筑结构</v>
      </c>
      <c r="R31" s="774" t="s">
        <v>17</v>
      </c>
      <c r="S31" s="775">
        <f t="shared" si="12"/>
        <v>100</v>
      </c>
      <c r="T31" s="774" t="s">
        <v>17</v>
      </c>
      <c r="U31" s="775">
        <f t="shared" si="13"/>
        <v>100</v>
      </c>
      <c r="V31" s="774" t="s">
        <v>17</v>
      </c>
      <c r="W31" s="775">
        <f t="shared" si="14"/>
        <v>100</v>
      </c>
      <c r="X31" s="1816"/>
      <c r="Y31" s="3246"/>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6"/>
      <c r="Q32" s="1813" t="str">
        <f t="shared" si="11"/>
        <v>公共部分装修</v>
      </c>
      <c r="R32" s="774" t="s">
        <v>17</v>
      </c>
      <c r="S32" s="775">
        <f t="shared" si="12"/>
        <v>100</v>
      </c>
      <c r="T32" s="774" t="s">
        <v>17</v>
      </c>
      <c r="U32" s="775">
        <f t="shared" si="13"/>
        <v>100</v>
      </c>
      <c r="V32" s="774" t="s">
        <v>17</v>
      </c>
      <c r="W32" s="775">
        <f t="shared" si="14"/>
        <v>100</v>
      </c>
      <c r="X32" s="1816"/>
      <c r="Y32" s="3246"/>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6"/>
      <c r="Q33" s="1813" t="str">
        <f t="shared" si="11"/>
        <v>成新度</v>
      </c>
      <c r="R33" s="774" t="s">
        <v>17</v>
      </c>
      <c r="S33" s="775" t="e">
        <f t="shared" si="12"/>
        <v>#N/A</v>
      </c>
      <c r="T33" s="774" t="s">
        <v>17</v>
      </c>
      <c r="U33" s="775" t="e">
        <f t="shared" si="13"/>
        <v>#N/A</v>
      </c>
      <c r="V33" s="774" t="s">
        <v>17</v>
      </c>
      <c r="W33" s="775" t="e">
        <f t="shared" si="14"/>
        <v>#N/A</v>
      </c>
      <c r="X33" s="1816"/>
      <c r="Y33" s="3246"/>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6"/>
      <c r="Q34" s="1798" t="str">
        <f t="shared" si="11"/>
        <v>物业管理</v>
      </c>
      <c r="R34" s="770" t="s">
        <v>17</v>
      </c>
      <c r="S34" s="771">
        <f t="shared" si="12"/>
        <v>100</v>
      </c>
      <c r="T34" s="770" t="s">
        <v>17</v>
      </c>
      <c r="U34" s="771">
        <f t="shared" si="13"/>
        <v>100</v>
      </c>
      <c r="V34" s="770" t="s">
        <v>17</v>
      </c>
      <c r="W34" s="771">
        <f t="shared" si="14"/>
        <v>100</v>
      </c>
      <c r="X34" s="772"/>
      <c r="Y34" s="324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6" t="s">
        <v>2562</v>
      </c>
      <c r="Q35" s="1813" t="str">
        <f t="shared" si="11"/>
        <v>市政基础设施</v>
      </c>
      <c r="R35" s="774" t="s">
        <v>17</v>
      </c>
      <c r="S35" s="775">
        <f t="shared" si="12"/>
        <v>100</v>
      </c>
      <c r="T35" s="774" t="s">
        <v>17</v>
      </c>
      <c r="U35" s="775">
        <f t="shared" si="13"/>
        <v>100</v>
      </c>
      <c r="V35" s="774" t="s">
        <v>17</v>
      </c>
      <c r="W35" s="775">
        <f t="shared" si="14"/>
        <v>100</v>
      </c>
      <c r="X35" s="1816"/>
      <c r="Y35" s="3246"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6"/>
      <c r="Q36" s="1813" t="str">
        <f t="shared" si="11"/>
        <v>内部装修</v>
      </c>
      <c r="R36" s="774" t="s">
        <v>17</v>
      </c>
      <c r="S36" s="775">
        <f t="shared" si="12"/>
        <v>100</v>
      </c>
      <c r="T36" s="774" t="s">
        <v>17</v>
      </c>
      <c r="U36" s="775">
        <f t="shared" si="13"/>
        <v>100</v>
      </c>
      <c r="V36" s="774" t="s">
        <v>17</v>
      </c>
      <c r="W36" s="775">
        <f t="shared" si="14"/>
        <v>100</v>
      </c>
      <c r="X36" s="1816"/>
      <c r="Y36" s="3246"/>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6"/>
      <c r="Q37" s="1813" t="str">
        <f t="shared" si="11"/>
        <v>内部装修状况</v>
      </c>
      <c r="R37" s="774" t="s">
        <v>17</v>
      </c>
      <c r="S37" s="775">
        <f t="shared" si="12"/>
        <v>100</v>
      </c>
      <c r="T37" s="774" t="s">
        <v>17</v>
      </c>
      <c r="U37" s="775">
        <f t="shared" si="13"/>
        <v>100</v>
      </c>
      <c r="V37" s="774" t="s">
        <v>17</v>
      </c>
      <c r="W37" s="775">
        <f t="shared" si="14"/>
        <v>100</v>
      </c>
      <c r="X37" s="1816"/>
      <c r="Y37" s="324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6"/>
      <c r="Q38" s="776">
        <f t="shared" si="11"/>
        <v>111</v>
      </c>
      <c r="R38" s="777" t="s">
        <v>17</v>
      </c>
      <c r="S38" s="778">
        <f t="shared" si="12"/>
        <v>100</v>
      </c>
      <c r="T38" s="777" t="s">
        <v>17</v>
      </c>
      <c r="U38" s="778">
        <f t="shared" si="13"/>
        <v>100</v>
      </c>
      <c r="V38" s="777" t="s">
        <v>17</v>
      </c>
      <c r="W38" s="778">
        <f t="shared" si="14"/>
        <v>100</v>
      </c>
      <c r="X38" s="779"/>
      <c r="Y38" s="324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6"/>
      <c r="Q39" s="1813">
        <f t="shared" si="11"/>
        <v>111</v>
      </c>
      <c r="R39" s="774" t="s">
        <v>17</v>
      </c>
      <c r="S39" s="775">
        <f t="shared" si="12"/>
        <v>100</v>
      </c>
      <c r="T39" s="774" t="s">
        <v>17</v>
      </c>
      <c r="U39" s="775">
        <f t="shared" si="13"/>
        <v>100</v>
      </c>
      <c r="V39" s="774" t="s">
        <v>17</v>
      </c>
      <c r="W39" s="775">
        <f t="shared" si="14"/>
        <v>100</v>
      </c>
      <c r="X39" s="1816"/>
      <c r="Y39" s="3246"/>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7"/>
      <c r="Q40" s="1813">
        <f t="shared" si="11"/>
        <v>111</v>
      </c>
      <c r="R40" s="774" t="s">
        <v>17</v>
      </c>
      <c r="S40" s="775">
        <f t="shared" si="12"/>
        <v>100</v>
      </c>
      <c r="T40" s="774" t="s">
        <v>17</v>
      </c>
      <c r="U40" s="775">
        <f t="shared" si="13"/>
        <v>100</v>
      </c>
      <c r="V40" s="774" t="s">
        <v>17</v>
      </c>
      <c r="W40" s="775">
        <f t="shared" si="14"/>
        <v>100</v>
      </c>
      <c r="X40" s="1816"/>
      <c r="Y40" s="3247"/>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54" t="s">
        <v>2643</v>
      </c>
      <c r="D4" s="3255"/>
      <c r="E4" s="3256" t="s">
        <v>2644</v>
      </c>
      <c r="F4" s="3257"/>
      <c r="G4" s="3254" t="s">
        <v>2645</v>
      </c>
      <c r="H4" s="3255"/>
      <c r="I4" s="3254" t="s">
        <v>2646</v>
      </c>
      <c r="J4" s="3255"/>
      <c r="K4" s="610" t="s">
        <v>2647</v>
      </c>
      <c r="L4" s="1133"/>
      <c r="M4" s="1134"/>
      <c r="N4" s="1134"/>
      <c r="O4" s="1134"/>
      <c r="P4" s="3258" t="s">
        <v>2648</v>
      </c>
      <c r="Q4" s="3259"/>
      <c r="R4" s="3264" t="s">
        <v>2644</v>
      </c>
      <c r="S4" s="3265"/>
      <c r="T4" s="3264" t="s">
        <v>2645</v>
      </c>
      <c r="U4" s="3265"/>
      <c r="V4" s="3270" t="s">
        <v>2646</v>
      </c>
      <c r="W4" s="3270"/>
      <c r="X4" s="1816"/>
      <c r="Y4" s="3264" t="s">
        <v>2648</v>
      </c>
      <c r="Z4" s="3265"/>
      <c r="AA4" s="3251" t="s">
        <v>2644</v>
      </c>
      <c r="AB4" s="3252" t="s">
        <v>2645</v>
      </c>
      <c r="AC4" s="3251" t="s">
        <v>2646</v>
      </c>
    </row>
    <row r="5" spans="1:29" ht="15">
      <c r="A5" s="404"/>
      <c r="B5" s="405"/>
      <c r="C5" s="3273" t="s">
        <v>2539</v>
      </c>
      <c r="D5" s="3274"/>
      <c r="E5" s="3280" t="s">
        <v>2540</v>
      </c>
      <c r="F5" s="3281"/>
      <c r="G5" s="3273" t="s">
        <v>2541</v>
      </c>
      <c r="H5" s="3274"/>
      <c r="I5" s="3273" t="s">
        <v>2542</v>
      </c>
      <c r="J5" s="3274"/>
      <c r="K5" s="610"/>
      <c r="L5" s="1133"/>
      <c r="M5" s="1134"/>
      <c r="N5" s="1134"/>
      <c r="O5" s="1134"/>
      <c r="P5" s="3260"/>
      <c r="Q5" s="3261"/>
      <c r="R5" s="3266"/>
      <c r="S5" s="3267"/>
      <c r="T5" s="3266"/>
      <c r="U5" s="3267"/>
      <c r="V5" s="3270"/>
      <c r="W5" s="3270"/>
      <c r="X5" s="1816"/>
      <c r="Y5" s="3266"/>
      <c r="Z5" s="3267"/>
      <c r="AA5" s="3252"/>
      <c r="AB5" s="3252"/>
      <c r="AC5" s="3252"/>
    </row>
    <row r="6" spans="1:29" ht="15.75" thickBot="1">
      <c r="A6" s="406"/>
      <c r="B6" s="407"/>
      <c r="C6" s="3271" t="s">
        <v>2543</v>
      </c>
      <c r="D6" s="3272"/>
      <c r="E6" s="3278" t="s">
        <v>2543</v>
      </c>
      <c r="F6" s="3279"/>
      <c r="G6" s="3271" t="s">
        <v>2543</v>
      </c>
      <c r="H6" s="3272"/>
      <c r="I6" s="3271" t="s">
        <v>2543</v>
      </c>
      <c r="J6" s="3272"/>
      <c r="K6" s="610" t="s">
        <v>2544</v>
      </c>
      <c r="L6" s="1133"/>
      <c r="M6" s="1134"/>
      <c r="N6" s="1134"/>
      <c r="O6" s="1134"/>
      <c r="P6" s="3262"/>
      <c r="Q6" s="3263"/>
      <c r="R6" s="3266"/>
      <c r="S6" s="3267"/>
      <c r="T6" s="3268"/>
      <c r="U6" s="3269"/>
      <c r="V6" s="3270"/>
      <c r="W6" s="3270"/>
      <c r="X6" s="1816"/>
      <c r="Y6" s="3268"/>
      <c r="Z6" s="3269"/>
      <c r="AA6" s="3253"/>
      <c r="AB6" s="3253"/>
      <c r="AC6" s="3253"/>
    </row>
    <row r="7" spans="1:29" s="117" customFormat="1" ht="15.75" thickBot="1">
      <c r="A7" s="408" t="s">
        <v>2545</v>
      </c>
      <c r="B7" s="409"/>
      <c r="C7" s="410">
        <f>'数据-取费表'!B2</f>
        <v>43335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5" t="s">
        <v>2546</v>
      </c>
      <c r="Q7" s="3277"/>
      <c r="R7" s="770" t="s">
        <v>17</v>
      </c>
      <c r="S7" s="771">
        <f t="shared" ref="S7:S14" si="0">F7</f>
        <v>0</v>
      </c>
      <c r="T7" s="770" t="s">
        <v>17</v>
      </c>
      <c r="U7" s="771">
        <f t="shared" ref="U7:U14" si="1">H7</f>
        <v>0</v>
      </c>
      <c r="V7" s="770" t="s">
        <v>17</v>
      </c>
      <c r="W7" s="771">
        <f t="shared" ref="W7:W14" si="2">J7</f>
        <v>0</v>
      </c>
      <c r="X7" s="772"/>
      <c r="Y7" s="3275" t="s">
        <v>2546</v>
      </c>
      <c r="Z7" s="3276"/>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5" t="s">
        <v>2549</v>
      </c>
      <c r="Q8" s="3276"/>
      <c r="R8" s="770" t="s">
        <v>17</v>
      </c>
      <c r="S8" s="771">
        <f t="shared" si="0"/>
        <v>0</v>
      </c>
      <c r="T8" s="770" t="s">
        <v>17</v>
      </c>
      <c r="U8" s="771">
        <f t="shared" si="1"/>
        <v>0</v>
      </c>
      <c r="V8" s="770" t="s">
        <v>17</v>
      </c>
      <c r="W8" s="771">
        <f t="shared" si="2"/>
        <v>0</v>
      </c>
      <c r="X8" s="772"/>
      <c r="Y8" s="3275" t="s">
        <v>2549</v>
      </c>
      <c r="Z8" s="3276"/>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9" t="s">
        <v>2552</v>
      </c>
      <c r="Q9" s="1798" t="str">
        <f t="shared" ref="Q9:Q14" si="6">B9</f>
        <v>用途</v>
      </c>
      <c r="R9" s="770" t="s">
        <v>17</v>
      </c>
      <c r="S9" s="771">
        <f t="shared" si="0"/>
        <v>100</v>
      </c>
      <c r="T9" s="770" t="s">
        <v>17</v>
      </c>
      <c r="U9" s="771">
        <f t="shared" si="1"/>
        <v>100</v>
      </c>
      <c r="V9" s="770" t="s">
        <v>17</v>
      </c>
      <c r="W9" s="771">
        <f t="shared" si="2"/>
        <v>100</v>
      </c>
      <c r="X9" s="772"/>
      <c r="Y9" s="3064"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9"/>
      <c r="Q10" s="1798"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9"/>
      <c r="Q11" s="1798">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9"/>
      <c r="Q12" s="1798">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9"/>
      <c r="Q13" s="1798">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42.5">
      <c r="A14" s="401" t="s">
        <v>2556</v>
      </c>
      <c r="B14" s="629" t="s">
        <v>2706</v>
      </c>
      <c r="C14" s="2695"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1" t="s">
        <v>2557</v>
      </c>
      <c r="Q14" s="1813" t="str">
        <f t="shared" si="6"/>
        <v>交通便捷度</v>
      </c>
      <c r="R14" s="774" t="s">
        <v>17</v>
      </c>
      <c r="S14" s="775">
        <f t="shared" si="0"/>
        <v>100</v>
      </c>
      <c r="T14" s="774" t="s">
        <v>17</v>
      </c>
      <c r="U14" s="775">
        <f t="shared" si="1"/>
        <v>100</v>
      </c>
      <c r="V14" s="774" t="s">
        <v>17</v>
      </c>
      <c r="W14" s="775">
        <f t="shared" si="2"/>
        <v>100</v>
      </c>
      <c r="X14" s="1816"/>
      <c r="Y14" s="3241"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2"/>
      <c r="Q15" s="1813"/>
      <c r="R15" s="774"/>
      <c r="S15" s="775"/>
      <c r="T15" s="774"/>
      <c r="U15" s="775"/>
      <c r="V15" s="774"/>
      <c r="W15" s="775"/>
      <c r="X15" s="1816"/>
      <c r="Y15" s="3242"/>
      <c r="Z15" s="1817"/>
      <c r="AA15" s="1814">
        <v>1</v>
      </c>
      <c r="AB15" s="1814">
        <v>1</v>
      </c>
      <c r="AC15" s="1814">
        <v>1</v>
      </c>
    </row>
    <row r="16" spans="1:29" ht="213.75">
      <c r="A16" s="404"/>
      <c r="B16" s="631" t="s">
        <v>2685</v>
      </c>
      <c r="C16" s="2609"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2"/>
      <c r="Q16" s="1813" t="str">
        <f>B16</f>
        <v>公共配套设施</v>
      </c>
      <c r="R16" s="774" t="s">
        <v>17</v>
      </c>
      <c r="S16" s="775">
        <f>F16</f>
        <v>100</v>
      </c>
      <c r="T16" s="774" t="s">
        <v>17</v>
      </c>
      <c r="U16" s="775">
        <f>H16</f>
        <v>100</v>
      </c>
      <c r="V16" s="774" t="s">
        <v>17</v>
      </c>
      <c r="W16" s="775">
        <f>J16</f>
        <v>100</v>
      </c>
      <c r="X16" s="1816"/>
      <c r="Y16" s="3242"/>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42"/>
      <c r="Q17" s="1813"/>
      <c r="R17" s="774"/>
      <c r="S17" s="775"/>
      <c r="T17" s="774"/>
      <c r="U17" s="775"/>
      <c r="V17" s="774"/>
      <c r="W17" s="775"/>
      <c r="X17" s="1816"/>
      <c r="Y17" s="3242"/>
      <c r="Z17" s="1817"/>
      <c r="AA17" s="1814">
        <v>1</v>
      </c>
      <c r="AB17" s="1814">
        <v>1</v>
      </c>
      <c r="AC17" s="1814">
        <v>1</v>
      </c>
    </row>
    <row r="18" spans="1:29" ht="42.75">
      <c r="A18" s="404"/>
      <c r="B18" s="633" t="s">
        <v>2686</v>
      </c>
      <c r="C18" s="2609"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2"/>
      <c r="Q18" s="1813" t="str">
        <f>B18</f>
        <v>基础设施水平</v>
      </c>
      <c r="R18" s="774" t="s">
        <v>17</v>
      </c>
      <c r="S18" s="775">
        <f>F18</f>
        <v>100</v>
      </c>
      <c r="T18" s="774" t="s">
        <v>17</v>
      </c>
      <c r="U18" s="775">
        <f>H18</f>
        <v>100</v>
      </c>
      <c r="V18" s="774" t="s">
        <v>17</v>
      </c>
      <c r="W18" s="775">
        <f>J18</f>
        <v>100</v>
      </c>
      <c r="X18" s="1816"/>
      <c r="Y18" s="3242"/>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42"/>
      <c r="Q19" s="1813"/>
      <c r="R19" s="774"/>
      <c r="S19" s="775"/>
      <c r="T19" s="774"/>
      <c r="U19" s="775"/>
      <c r="V19" s="774"/>
      <c r="W19" s="775"/>
      <c r="X19" s="1816"/>
      <c r="Y19" s="3242"/>
      <c r="Z19" s="1817"/>
      <c r="AA19" s="1814">
        <v>1</v>
      </c>
      <c r="AB19" s="1814">
        <v>1</v>
      </c>
      <c r="AC19" s="1814">
        <v>1</v>
      </c>
    </row>
    <row r="20" spans="1:29" ht="71.25">
      <c r="A20" s="404"/>
      <c r="B20" s="631" t="s">
        <v>2707</v>
      </c>
      <c r="C20" s="2609" t="str">
        <f>IF(B1="工业",估价对象房地状况!G7,估价对象房地状况!C9)</f>
        <v>区域自然环境：休闲公园；人文环境：北京园博园；综合评价环境状况一般。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2"/>
      <c r="Q20" s="1813" t="str">
        <f>B20</f>
        <v>自然及人文环境</v>
      </c>
      <c r="R20" s="774" t="s">
        <v>17</v>
      </c>
      <c r="S20" s="775">
        <f>F20</f>
        <v>100</v>
      </c>
      <c r="T20" s="774" t="s">
        <v>17</v>
      </c>
      <c r="U20" s="775">
        <f>H20</f>
        <v>100</v>
      </c>
      <c r="V20" s="774" t="s">
        <v>17</v>
      </c>
      <c r="W20" s="775">
        <f>J20</f>
        <v>100</v>
      </c>
      <c r="X20" s="1816"/>
      <c r="Y20" s="324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2"/>
      <c r="Q21" s="1813"/>
      <c r="R21" s="774"/>
      <c r="S21" s="775"/>
      <c r="T21" s="774"/>
      <c r="U21" s="775"/>
      <c r="V21" s="774"/>
      <c r="W21" s="775"/>
      <c r="X21" s="1816"/>
      <c r="Y21" s="3242"/>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2"/>
      <c r="Q22" s="1813" t="str">
        <f>B22</f>
        <v>楼层</v>
      </c>
      <c r="R22" s="774" t="s">
        <v>17</v>
      </c>
      <c r="S22" s="775">
        <f>F22</f>
        <v>100</v>
      </c>
      <c r="T22" s="774" t="s">
        <v>17</v>
      </c>
      <c r="U22" s="775">
        <f>H22</f>
        <v>100</v>
      </c>
      <c r="V22" s="774" t="s">
        <v>17</v>
      </c>
      <c r="W22" s="775">
        <f>J22</f>
        <v>100</v>
      </c>
      <c r="X22" s="1816"/>
      <c r="Y22" s="324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2"/>
      <c r="Q23" s="1813">
        <f>B23</f>
        <v>111</v>
      </c>
      <c r="R23" s="774" t="s">
        <v>17</v>
      </c>
      <c r="S23" s="775">
        <f>F23</f>
        <v>100</v>
      </c>
      <c r="T23" s="774" t="s">
        <v>17</v>
      </c>
      <c r="U23" s="775">
        <f>H23</f>
        <v>100</v>
      </c>
      <c r="V23" s="774" t="s">
        <v>17</v>
      </c>
      <c r="W23" s="775">
        <f>J23</f>
        <v>100</v>
      </c>
      <c r="X23" s="1816"/>
      <c r="Y23" s="324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2"/>
      <c r="Q24" s="1813">
        <f t="shared" ref="Q24:Q36" si="11">B24</f>
        <v>111</v>
      </c>
      <c r="R24" s="774" t="s">
        <v>17</v>
      </c>
      <c r="S24" s="775">
        <f>F24</f>
        <v>100</v>
      </c>
      <c r="T24" s="774" t="s">
        <v>17</v>
      </c>
      <c r="U24" s="775">
        <f>H24</f>
        <v>100</v>
      </c>
      <c r="V24" s="774" t="s">
        <v>17</v>
      </c>
      <c r="W24" s="775">
        <f>J24</f>
        <v>100</v>
      </c>
      <c r="X24" s="1816"/>
      <c r="Y24" s="324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2"/>
      <c r="Q25" s="1798">
        <f t="shared" si="11"/>
        <v>111</v>
      </c>
      <c r="R25" s="770" t="s">
        <v>17</v>
      </c>
      <c r="S25" s="771">
        <f>F25</f>
        <v>100</v>
      </c>
      <c r="T25" s="770" t="s">
        <v>17</v>
      </c>
      <c r="U25" s="771">
        <f>H25</f>
        <v>100</v>
      </c>
      <c r="V25" s="770" t="s">
        <v>17</v>
      </c>
      <c r="W25" s="771">
        <f>J25</f>
        <v>100</v>
      </c>
      <c r="X25" s="772"/>
      <c r="Y25" s="3242"/>
      <c r="Z25" s="55">
        <f>Q25</f>
        <v>111</v>
      </c>
      <c r="AA25" s="1814">
        <f>D25/F25</f>
        <v>1</v>
      </c>
      <c r="AB25" s="1814">
        <f>D25/H25</f>
        <v>1</v>
      </c>
      <c r="AC25" s="1814">
        <f>D25/J25</f>
        <v>1</v>
      </c>
    </row>
    <row r="26" spans="1:29" ht="1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1"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6"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6"/>
      <c r="Q27" s="776" t="str">
        <f t="shared" si="11"/>
        <v>项目停车位配比</v>
      </c>
      <c r="R27" s="777" t="s">
        <v>17</v>
      </c>
      <c r="S27" s="778">
        <f t="shared" si="12"/>
        <v>100</v>
      </c>
      <c r="T27" s="777" t="s">
        <v>17</v>
      </c>
      <c r="U27" s="778">
        <f t="shared" si="13"/>
        <v>100</v>
      </c>
      <c r="V27" s="777" t="s">
        <v>17</v>
      </c>
      <c r="W27" s="778">
        <f t="shared" si="14"/>
        <v>100</v>
      </c>
      <c r="X27" s="779"/>
      <c r="Y27" s="3246"/>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6"/>
      <c r="Q28" s="1813" t="str">
        <f t="shared" si="11"/>
        <v>公共部分装修</v>
      </c>
      <c r="R28" s="774" t="s">
        <v>17</v>
      </c>
      <c r="S28" s="775">
        <f t="shared" si="12"/>
        <v>100</v>
      </c>
      <c r="T28" s="774" t="s">
        <v>17</v>
      </c>
      <c r="U28" s="775">
        <f t="shared" si="13"/>
        <v>100</v>
      </c>
      <c r="V28" s="774" t="s">
        <v>17</v>
      </c>
      <c r="W28" s="775">
        <f t="shared" si="14"/>
        <v>100</v>
      </c>
      <c r="X28" s="1816"/>
      <c r="Y28" s="3246"/>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6"/>
      <c r="Q29" s="1813" t="str">
        <f t="shared" si="11"/>
        <v>成新率</v>
      </c>
      <c r="R29" s="774" t="s">
        <v>17</v>
      </c>
      <c r="S29" s="775" t="e">
        <f t="shared" si="12"/>
        <v>#N/A</v>
      </c>
      <c r="T29" s="774" t="s">
        <v>17</v>
      </c>
      <c r="U29" s="775" t="e">
        <f t="shared" si="13"/>
        <v>#N/A</v>
      </c>
      <c r="V29" s="774" t="s">
        <v>17</v>
      </c>
      <c r="W29" s="775" t="e">
        <f t="shared" si="14"/>
        <v>#N/A</v>
      </c>
      <c r="X29" s="1816"/>
      <c r="Y29" s="3246"/>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6"/>
      <c r="Q30" s="1813" t="str">
        <f t="shared" si="11"/>
        <v>物业等级</v>
      </c>
      <c r="R30" s="774" t="s">
        <v>17</v>
      </c>
      <c r="S30" s="775">
        <f t="shared" si="12"/>
        <v>100</v>
      </c>
      <c r="T30" s="774" t="s">
        <v>17</v>
      </c>
      <c r="U30" s="775">
        <f t="shared" si="13"/>
        <v>100</v>
      </c>
      <c r="V30" s="774" t="s">
        <v>17</v>
      </c>
      <c r="W30" s="775">
        <f t="shared" si="14"/>
        <v>100</v>
      </c>
      <c r="X30" s="1816"/>
      <c r="Y30" s="3246"/>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6"/>
      <c r="Q31" s="1798" t="str">
        <f t="shared" si="11"/>
        <v>停车位面积</v>
      </c>
      <c r="R31" s="770" t="s">
        <v>17</v>
      </c>
      <c r="S31" s="771" t="e">
        <f t="shared" si="12"/>
        <v>#N/A</v>
      </c>
      <c r="T31" s="770" t="s">
        <v>17</v>
      </c>
      <c r="U31" s="771" t="e">
        <f t="shared" si="13"/>
        <v>#N/A</v>
      </c>
      <c r="V31" s="770" t="s">
        <v>17</v>
      </c>
      <c r="W31" s="771" t="e">
        <f t="shared" si="14"/>
        <v>#N/A</v>
      </c>
      <c r="X31" s="772"/>
      <c r="Y31" s="324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6" t="s">
        <v>2562</v>
      </c>
      <c r="Q32" s="1813" t="str">
        <f t="shared" si="11"/>
        <v>车位类型</v>
      </c>
      <c r="R32" s="774" t="s">
        <v>17</v>
      </c>
      <c r="S32" s="775">
        <f t="shared" si="12"/>
        <v>100</v>
      </c>
      <c r="T32" s="774" t="s">
        <v>17</v>
      </c>
      <c r="U32" s="775">
        <f t="shared" si="13"/>
        <v>100</v>
      </c>
      <c r="V32" s="774" t="s">
        <v>17</v>
      </c>
      <c r="W32" s="775">
        <f t="shared" si="14"/>
        <v>100</v>
      </c>
      <c r="X32" s="1816"/>
      <c r="Y32" s="3246"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6"/>
      <c r="Q33" s="1813" t="str">
        <f t="shared" si="11"/>
        <v>是否直接入户</v>
      </c>
      <c r="R33" s="774" t="s">
        <v>17</v>
      </c>
      <c r="S33" s="775">
        <f t="shared" si="12"/>
        <v>100</v>
      </c>
      <c r="T33" s="774" t="s">
        <v>17</v>
      </c>
      <c r="U33" s="775">
        <f t="shared" si="13"/>
        <v>100</v>
      </c>
      <c r="V33" s="774" t="s">
        <v>17</v>
      </c>
      <c r="W33" s="775">
        <f t="shared" si="14"/>
        <v>100</v>
      </c>
      <c r="X33" s="1816"/>
      <c r="Y33" s="324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6"/>
      <c r="Q34" s="1813">
        <f t="shared" si="11"/>
        <v>111</v>
      </c>
      <c r="R34" s="774" t="s">
        <v>17</v>
      </c>
      <c r="S34" s="775">
        <f t="shared" si="12"/>
        <v>100</v>
      </c>
      <c r="T34" s="774" t="s">
        <v>17</v>
      </c>
      <c r="U34" s="775">
        <f t="shared" si="13"/>
        <v>100</v>
      </c>
      <c r="V34" s="774" t="s">
        <v>17</v>
      </c>
      <c r="W34" s="775">
        <f t="shared" si="14"/>
        <v>100</v>
      </c>
      <c r="X34" s="1816"/>
      <c r="Y34" s="324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6"/>
      <c r="Q35" s="776">
        <f t="shared" si="11"/>
        <v>111</v>
      </c>
      <c r="R35" s="777" t="s">
        <v>17</v>
      </c>
      <c r="S35" s="778">
        <f t="shared" si="12"/>
        <v>100</v>
      </c>
      <c r="T35" s="777" t="s">
        <v>17</v>
      </c>
      <c r="U35" s="778">
        <f t="shared" si="13"/>
        <v>100</v>
      </c>
      <c r="V35" s="777" t="s">
        <v>17</v>
      </c>
      <c r="W35" s="778">
        <f t="shared" si="14"/>
        <v>100</v>
      </c>
      <c r="X35" s="779"/>
      <c r="Y35" s="324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6"/>
      <c r="Q36" s="1813">
        <f t="shared" si="11"/>
        <v>111</v>
      </c>
      <c r="R36" s="774" t="s">
        <v>17</v>
      </c>
      <c r="S36" s="775">
        <f t="shared" si="12"/>
        <v>100</v>
      </c>
      <c r="T36" s="774" t="s">
        <v>17</v>
      </c>
      <c r="U36" s="775">
        <f t="shared" si="13"/>
        <v>100</v>
      </c>
      <c r="V36" s="774" t="s">
        <v>17</v>
      </c>
      <c r="W36" s="775">
        <f t="shared" si="14"/>
        <v>100</v>
      </c>
      <c r="X36" s="1816"/>
      <c r="Y36" s="3246"/>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36" t="str">
        <f>A39</f>
        <v>估价对象XX用房的比较价值（楼面单价，元/平方米）</v>
      </c>
      <c r="Q39" s="3237"/>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4" t="s">
        <v>2643</v>
      </c>
      <c r="D4" s="3255"/>
      <c r="E4" s="3256" t="s">
        <v>2644</v>
      </c>
      <c r="F4" s="3257"/>
      <c r="G4" s="3254" t="s">
        <v>2645</v>
      </c>
      <c r="H4" s="3255"/>
      <c r="I4" s="3254" t="s">
        <v>2646</v>
      </c>
      <c r="J4" s="3255"/>
      <c r="K4" s="610" t="s">
        <v>2647</v>
      </c>
      <c r="L4" s="1133"/>
      <c r="M4" s="1134"/>
      <c r="N4" s="1134"/>
      <c r="O4" s="1134"/>
      <c r="P4" s="3258" t="s">
        <v>2648</v>
      </c>
      <c r="Q4" s="3259"/>
      <c r="R4" s="3264" t="s">
        <v>2644</v>
      </c>
      <c r="S4" s="3265"/>
      <c r="T4" s="3264" t="s">
        <v>2645</v>
      </c>
      <c r="U4" s="3265"/>
      <c r="V4" s="3270" t="s">
        <v>2646</v>
      </c>
      <c r="W4" s="3270"/>
      <c r="X4" s="1816"/>
      <c r="Y4" s="3264" t="s">
        <v>2648</v>
      </c>
      <c r="Z4" s="3265"/>
      <c r="AA4" s="3251" t="s">
        <v>2644</v>
      </c>
      <c r="AB4" s="3252" t="s">
        <v>2645</v>
      </c>
      <c r="AC4" s="3251" t="s">
        <v>2646</v>
      </c>
    </row>
    <row r="5" spans="1:29" ht="15">
      <c r="A5" s="404"/>
      <c r="B5" s="405"/>
      <c r="C5" s="3273" t="s">
        <v>2539</v>
      </c>
      <c r="D5" s="3274"/>
      <c r="E5" s="3280" t="s">
        <v>2540</v>
      </c>
      <c r="F5" s="3281"/>
      <c r="G5" s="3273" t="s">
        <v>2541</v>
      </c>
      <c r="H5" s="3274"/>
      <c r="I5" s="3273" t="s">
        <v>2542</v>
      </c>
      <c r="J5" s="3274"/>
      <c r="K5" s="610"/>
      <c r="L5" s="1133"/>
      <c r="M5" s="1134"/>
      <c r="N5" s="1134"/>
      <c r="O5" s="1134"/>
      <c r="P5" s="3260"/>
      <c r="Q5" s="3261"/>
      <c r="R5" s="3266"/>
      <c r="S5" s="3267"/>
      <c r="T5" s="3266"/>
      <c r="U5" s="3267"/>
      <c r="V5" s="3270"/>
      <c r="W5" s="3270"/>
      <c r="X5" s="1816"/>
      <c r="Y5" s="3266"/>
      <c r="Z5" s="3267"/>
      <c r="AA5" s="3252"/>
      <c r="AB5" s="3252"/>
      <c r="AC5" s="3252"/>
    </row>
    <row r="6" spans="1:29" ht="15.75" thickBot="1">
      <c r="A6" s="406"/>
      <c r="B6" s="407"/>
      <c r="C6" s="3271" t="s">
        <v>2543</v>
      </c>
      <c r="D6" s="3272"/>
      <c r="E6" s="3278" t="s">
        <v>2543</v>
      </c>
      <c r="F6" s="3279"/>
      <c r="G6" s="3271" t="s">
        <v>2543</v>
      </c>
      <c r="H6" s="3272"/>
      <c r="I6" s="3271" t="s">
        <v>2543</v>
      </c>
      <c r="J6" s="3272"/>
      <c r="K6" s="610" t="s">
        <v>2544</v>
      </c>
      <c r="L6" s="1133"/>
      <c r="M6" s="1134"/>
      <c r="N6" s="1134"/>
      <c r="O6" s="1134"/>
      <c r="P6" s="3262"/>
      <c r="Q6" s="3263"/>
      <c r="R6" s="3266"/>
      <c r="S6" s="3267"/>
      <c r="T6" s="3268"/>
      <c r="U6" s="3269"/>
      <c r="V6" s="3270"/>
      <c r="W6" s="3270"/>
      <c r="X6" s="1816"/>
      <c r="Y6" s="3268"/>
      <c r="Z6" s="3269"/>
      <c r="AA6" s="3253"/>
      <c r="AB6" s="3253"/>
      <c r="AC6" s="3253"/>
    </row>
    <row r="7" spans="1:29" s="117" customFormat="1" ht="15.75" thickBot="1">
      <c r="A7" s="408" t="s">
        <v>2545</v>
      </c>
      <c r="B7" s="409"/>
      <c r="C7" s="410">
        <f>'数据-取费表'!B2</f>
        <v>43335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75" t="s">
        <v>2546</v>
      </c>
      <c r="Q7" s="3277"/>
      <c r="R7" s="770" t="s">
        <v>17</v>
      </c>
      <c r="S7" s="771">
        <f t="shared" ref="S7:S14" si="0">F7</f>
        <v>0</v>
      </c>
      <c r="T7" s="770" t="s">
        <v>17</v>
      </c>
      <c r="U7" s="771">
        <f t="shared" ref="U7:U14" si="1">H7</f>
        <v>0</v>
      </c>
      <c r="V7" s="770" t="s">
        <v>17</v>
      </c>
      <c r="W7" s="771">
        <f t="shared" ref="W7:W14" si="2">J7</f>
        <v>0</v>
      </c>
      <c r="X7" s="772"/>
      <c r="Y7" s="3275" t="s">
        <v>2546</v>
      </c>
      <c r="Z7" s="3276"/>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5" t="s">
        <v>2549</v>
      </c>
      <c r="Q8" s="3276"/>
      <c r="R8" s="770" t="s">
        <v>17</v>
      </c>
      <c r="S8" s="771">
        <f t="shared" si="0"/>
        <v>0</v>
      </c>
      <c r="T8" s="770" t="s">
        <v>17</v>
      </c>
      <c r="U8" s="771">
        <f t="shared" si="1"/>
        <v>0</v>
      </c>
      <c r="V8" s="770" t="s">
        <v>17</v>
      </c>
      <c r="W8" s="771">
        <f t="shared" si="2"/>
        <v>0</v>
      </c>
      <c r="X8" s="772"/>
      <c r="Y8" s="3275" t="s">
        <v>2549</v>
      </c>
      <c r="Z8" s="3276"/>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9" t="s">
        <v>2552</v>
      </c>
      <c r="Q9" s="1798" t="str">
        <f t="shared" ref="Q9:Q14" si="6">B9</f>
        <v>用途</v>
      </c>
      <c r="R9" s="770" t="s">
        <v>17</v>
      </c>
      <c r="S9" s="771">
        <f t="shared" si="0"/>
        <v>100</v>
      </c>
      <c r="T9" s="770" t="s">
        <v>17</v>
      </c>
      <c r="U9" s="771">
        <f t="shared" si="1"/>
        <v>100</v>
      </c>
      <c r="V9" s="770" t="s">
        <v>17</v>
      </c>
      <c r="W9" s="771">
        <f t="shared" si="2"/>
        <v>100</v>
      </c>
      <c r="X9" s="772"/>
      <c r="Y9" s="3064"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9"/>
      <c r="Q10" s="1798"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9"/>
      <c r="Q11" s="1798">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42.5">
      <c r="A14" s="440" t="s">
        <v>2556</v>
      </c>
      <c r="B14" s="69" t="s">
        <v>2706</v>
      </c>
      <c r="C14" s="2695" t="str">
        <f>IF(B1="工业",估价对象房地状况!G4,估价对象房地状况!C6)</f>
        <v>估价对象周边路网密集程度一般，公共交通通达情况较好，有310、565路及地铁14号线等公共交通，停车便捷程度较好，综合评价交通便捷度较好。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1" t="s">
        <v>2557</v>
      </c>
      <c r="Q14" s="1813" t="str">
        <f t="shared" si="6"/>
        <v>交通便捷度</v>
      </c>
      <c r="R14" s="774" t="s">
        <v>17</v>
      </c>
      <c r="S14" s="775">
        <f t="shared" si="0"/>
        <v>100</v>
      </c>
      <c r="T14" s="774" t="s">
        <v>17</v>
      </c>
      <c r="U14" s="775">
        <f t="shared" si="1"/>
        <v>100</v>
      </c>
      <c r="V14" s="774" t="s">
        <v>17</v>
      </c>
      <c r="W14" s="775">
        <f t="shared" si="2"/>
        <v>100</v>
      </c>
      <c r="X14" s="1816"/>
      <c r="Y14" s="3241"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2"/>
      <c r="Q15" s="1813"/>
      <c r="R15" s="774"/>
      <c r="S15" s="775"/>
      <c r="T15" s="774"/>
      <c r="U15" s="775"/>
      <c r="V15" s="774"/>
      <c r="W15" s="775"/>
      <c r="X15" s="1816"/>
      <c r="Y15" s="3242"/>
      <c r="Z15" s="1817"/>
      <c r="AA15" s="1814">
        <v>1</v>
      </c>
      <c r="AB15" s="1814">
        <v>1</v>
      </c>
      <c r="AC15" s="1814">
        <v>1</v>
      </c>
    </row>
    <row r="16" spans="1:29" ht="213.75">
      <c r="A16" s="428"/>
      <c r="B16" s="451" t="s">
        <v>2685</v>
      </c>
      <c r="C16" s="2609" t="str">
        <f>IF(B1="工业",估价对象房地状况!G5,估价对象房地状况!C7)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2"/>
      <c r="Q16" s="1813" t="str">
        <f>B16</f>
        <v>公共配套设施</v>
      </c>
      <c r="R16" s="774" t="s">
        <v>17</v>
      </c>
      <c r="S16" s="775">
        <f>F16</f>
        <v>100</v>
      </c>
      <c r="T16" s="774" t="s">
        <v>17</v>
      </c>
      <c r="U16" s="775">
        <f>H16</f>
        <v>100</v>
      </c>
      <c r="V16" s="774" t="s">
        <v>17</v>
      </c>
      <c r="W16" s="775">
        <f>J16</f>
        <v>100</v>
      </c>
      <c r="X16" s="1816"/>
      <c r="Y16" s="3242"/>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42"/>
      <c r="Q17" s="1813"/>
      <c r="R17" s="774"/>
      <c r="S17" s="775"/>
      <c r="T17" s="774"/>
      <c r="U17" s="775"/>
      <c r="V17" s="774"/>
      <c r="W17" s="775"/>
      <c r="X17" s="1816"/>
      <c r="Y17" s="3242"/>
      <c r="Z17" s="1817"/>
      <c r="AA17" s="1814">
        <v>1</v>
      </c>
      <c r="AB17" s="1814">
        <v>1</v>
      </c>
      <c r="AC17" s="1814">
        <v>1</v>
      </c>
    </row>
    <row r="18" spans="1:29" ht="42.75">
      <c r="A18" s="428"/>
      <c r="B18" s="1387" t="s">
        <v>2686</v>
      </c>
      <c r="C18" s="2609"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2"/>
      <c r="Q18" s="1813" t="str">
        <f>B18</f>
        <v>基础设施水平</v>
      </c>
      <c r="R18" s="774" t="s">
        <v>17</v>
      </c>
      <c r="S18" s="775">
        <f>F18</f>
        <v>100</v>
      </c>
      <c r="T18" s="774" t="s">
        <v>17</v>
      </c>
      <c r="U18" s="775">
        <f>H18</f>
        <v>100</v>
      </c>
      <c r="V18" s="774" t="s">
        <v>17</v>
      </c>
      <c r="W18" s="775">
        <f>J18</f>
        <v>100</v>
      </c>
      <c r="X18" s="1816"/>
      <c r="Y18" s="3242"/>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42"/>
      <c r="Q19" s="1813"/>
      <c r="R19" s="774"/>
      <c r="S19" s="775"/>
      <c r="T19" s="774"/>
      <c r="U19" s="775"/>
      <c r="V19" s="774"/>
      <c r="W19" s="775"/>
      <c r="X19" s="1816"/>
      <c r="Y19" s="3242"/>
      <c r="Z19" s="1817"/>
      <c r="AA19" s="1814">
        <v>1</v>
      </c>
      <c r="AB19" s="1814">
        <v>1</v>
      </c>
      <c r="AC19" s="1814">
        <v>1</v>
      </c>
    </row>
    <row r="20" spans="1:29" ht="71.25">
      <c r="A20" s="428"/>
      <c r="B20" s="451" t="s">
        <v>2707</v>
      </c>
      <c r="C20" s="2609" t="str">
        <f>IF(B1="工业",估价对象房地状况!G7,估价对象房地状况!C9)</f>
        <v>区域自然环境：休闲公园；人文环境：北京园博园；综合评价环境状况一般。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2"/>
      <c r="Q20" s="1813" t="str">
        <f>B20</f>
        <v>自然及人文环境</v>
      </c>
      <c r="R20" s="774" t="s">
        <v>17</v>
      </c>
      <c r="S20" s="775">
        <f>F20</f>
        <v>100</v>
      </c>
      <c r="T20" s="774" t="s">
        <v>17</v>
      </c>
      <c r="U20" s="775">
        <f>H20</f>
        <v>100</v>
      </c>
      <c r="V20" s="774" t="s">
        <v>17</v>
      </c>
      <c r="W20" s="775">
        <f>J20</f>
        <v>100</v>
      </c>
      <c r="X20" s="1816"/>
      <c r="Y20" s="324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2"/>
      <c r="Q21" s="1813"/>
      <c r="R21" s="774"/>
      <c r="S21" s="775"/>
      <c r="T21" s="774"/>
      <c r="U21" s="775"/>
      <c r="V21" s="774"/>
      <c r="W21" s="775"/>
      <c r="X21" s="1816"/>
      <c r="Y21" s="3242"/>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2"/>
      <c r="Q22" s="1813" t="str">
        <f>B22</f>
        <v>楼层</v>
      </c>
      <c r="R22" s="774" t="s">
        <v>17</v>
      </c>
      <c r="S22" s="775">
        <f>F22</f>
        <v>100</v>
      </c>
      <c r="T22" s="774" t="s">
        <v>17</v>
      </c>
      <c r="U22" s="775">
        <f>H22</f>
        <v>100</v>
      </c>
      <c r="V22" s="774" t="s">
        <v>17</v>
      </c>
      <c r="W22" s="775">
        <f>J22</f>
        <v>100</v>
      </c>
      <c r="X22" s="1816"/>
      <c r="Y22" s="3242"/>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2"/>
      <c r="Q23" s="1813">
        <f>B23</f>
        <v>111</v>
      </c>
      <c r="R23" s="774" t="s">
        <v>17</v>
      </c>
      <c r="S23" s="775">
        <f>F23</f>
        <v>100</v>
      </c>
      <c r="T23" s="774" t="s">
        <v>17</v>
      </c>
      <c r="U23" s="775">
        <f>H23</f>
        <v>100</v>
      </c>
      <c r="V23" s="774" t="s">
        <v>17</v>
      </c>
      <c r="W23" s="775">
        <f>J23</f>
        <v>100</v>
      </c>
      <c r="X23" s="1816"/>
      <c r="Y23" s="3242"/>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2"/>
      <c r="Q24" s="1813">
        <f t="shared" ref="Q24:Q34" si="11">B24</f>
        <v>111</v>
      </c>
      <c r="R24" s="774" t="s">
        <v>17</v>
      </c>
      <c r="S24" s="775">
        <f>F24</f>
        <v>100</v>
      </c>
      <c r="T24" s="774" t="s">
        <v>17</v>
      </c>
      <c r="U24" s="775">
        <f>H24</f>
        <v>100</v>
      </c>
      <c r="V24" s="774" t="s">
        <v>17</v>
      </c>
      <c r="W24" s="775">
        <f>J24</f>
        <v>100</v>
      </c>
      <c r="X24" s="1816"/>
      <c r="Y24" s="3242"/>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42"/>
      <c r="Q25" s="1798">
        <f t="shared" si="11"/>
        <v>111</v>
      </c>
      <c r="R25" s="770" t="s">
        <v>17</v>
      </c>
      <c r="S25" s="771">
        <f>F25</f>
        <v>100</v>
      </c>
      <c r="T25" s="770" t="s">
        <v>17</v>
      </c>
      <c r="U25" s="771">
        <f>H25</f>
        <v>100</v>
      </c>
      <c r="V25" s="770" t="s">
        <v>17</v>
      </c>
      <c r="W25" s="771">
        <f>J25</f>
        <v>100</v>
      </c>
      <c r="X25" s="772"/>
      <c r="Y25" s="3242"/>
      <c r="Z25" s="55">
        <f>Q25</f>
        <v>111</v>
      </c>
      <c r="AA25" s="1814">
        <f>D25/F25</f>
        <v>1</v>
      </c>
      <c r="AB25" s="1814">
        <f>D25/H25</f>
        <v>1</v>
      </c>
      <c r="AC25" s="1814">
        <f>D25/J25</f>
        <v>1</v>
      </c>
    </row>
    <row r="26" spans="1:29" ht="1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301"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6"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6"/>
      <c r="Q27" s="776" t="str">
        <f t="shared" si="11"/>
        <v>成新率</v>
      </c>
      <c r="R27" s="777" t="s">
        <v>17</v>
      </c>
      <c r="S27" s="778" t="e">
        <f t="shared" si="12"/>
        <v>#N/A</v>
      </c>
      <c r="T27" s="777" t="s">
        <v>17</v>
      </c>
      <c r="U27" s="778" t="e">
        <f t="shared" si="13"/>
        <v>#N/A</v>
      </c>
      <c r="V27" s="777" t="s">
        <v>17</v>
      </c>
      <c r="W27" s="778" t="e">
        <f t="shared" si="14"/>
        <v>#N/A</v>
      </c>
      <c r="X27" s="779"/>
      <c r="Y27" s="3246"/>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6"/>
      <c r="Q28" s="1813" t="str">
        <f t="shared" si="11"/>
        <v>物业等级</v>
      </c>
      <c r="R28" s="774" t="s">
        <v>17</v>
      </c>
      <c r="S28" s="775">
        <f t="shared" si="12"/>
        <v>100</v>
      </c>
      <c r="T28" s="774" t="s">
        <v>17</v>
      </c>
      <c r="U28" s="775">
        <f t="shared" si="13"/>
        <v>100</v>
      </c>
      <c r="V28" s="774" t="s">
        <v>17</v>
      </c>
      <c r="W28" s="775">
        <f t="shared" si="14"/>
        <v>100</v>
      </c>
      <c r="X28" s="1816"/>
      <c r="Y28" s="3246"/>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6"/>
      <c r="Q29" s="1813" t="str">
        <f t="shared" si="11"/>
        <v>有无电梯</v>
      </c>
      <c r="R29" s="774" t="s">
        <v>17</v>
      </c>
      <c r="S29" s="775">
        <f t="shared" si="12"/>
        <v>100</v>
      </c>
      <c r="T29" s="774" t="s">
        <v>17</v>
      </c>
      <c r="U29" s="775">
        <f t="shared" si="13"/>
        <v>100</v>
      </c>
      <c r="V29" s="774" t="s">
        <v>17</v>
      </c>
      <c r="W29" s="775">
        <f t="shared" si="14"/>
        <v>100</v>
      </c>
      <c r="X29" s="1816"/>
      <c r="Y29" s="3246"/>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6"/>
      <c r="Q30" s="1813" t="str">
        <f t="shared" si="11"/>
        <v>建筑面积</v>
      </c>
      <c r="R30" s="774" t="s">
        <v>17</v>
      </c>
      <c r="S30" s="775" t="e">
        <f t="shared" si="12"/>
        <v>#N/A</v>
      </c>
      <c r="T30" s="774" t="s">
        <v>17</v>
      </c>
      <c r="U30" s="775" t="e">
        <f t="shared" si="13"/>
        <v>#N/A</v>
      </c>
      <c r="V30" s="774" t="s">
        <v>17</v>
      </c>
      <c r="W30" s="775" t="e">
        <f t="shared" si="14"/>
        <v>#N/A</v>
      </c>
      <c r="X30" s="1816"/>
      <c r="Y30" s="3246"/>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6"/>
      <c r="Q31" s="1798" t="str">
        <f t="shared" si="11"/>
        <v>是否封闭</v>
      </c>
      <c r="R31" s="770" t="s">
        <v>17</v>
      </c>
      <c r="S31" s="771">
        <f t="shared" si="12"/>
        <v>100</v>
      </c>
      <c r="T31" s="770" t="s">
        <v>17</v>
      </c>
      <c r="U31" s="771">
        <f t="shared" si="13"/>
        <v>100</v>
      </c>
      <c r="V31" s="770" t="s">
        <v>17</v>
      </c>
      <c r="W31" s="771">
        <f t="shared" si="14"/>
        <v>100</v>
      </c>
      <c r="X31" s="772"/>
      <c r="Y31" s="324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6" t="s">
        <v>2562</v>
      </c>
      <c r="Q32" s="1813">
        <f t="shared" si="11"/>
        <v>111</v>
      </c>
      <c r="R32" s="774" t="s">
        <v>17</v>
      </c>
      <c r="S32" s="775">
        <f t="shared" si="12"/>
        <v>100</v>
      </c>
      <c r="T32" s="774" t="s">
        <v>17</v>
      </c>
      <c r="U32" s="775">
        <f t="shared" si="13"/>
        <v>100</v>
      </c>
      <c r="V32" s="774" t="s">
        <v>17</v>
      </c>
      <c r="W32" s="775">
        <f t="shared" si="14"/>
        <v>100</v>
      </c>
      <c r="X32" s="1816"/>
      <c r="Y32" s="3246"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6"/>
      <c r="Q33" s="1813">
        <f t="shared" si="11"/>
        <v>111</v>
      </c>
      <c r="R33" s="774" t="s">
        <v>17</v>
      </c>
      <c r="S33" s="775">
        <f t="shared" si="12"/>
        <v>100</v>
      </c>
      <c r="T33" s="774" t="s">
        <v>17</v>
      </c>
      <c r="U33" s="775">
        <f t="shared" si="13"/>
        <v>100</v>
      </c>
      <c r="V33" s="774" t="s">
        <v>17</v>
      </c>
      <c r="W33" s="775">
        <f t="shared" si="14"/>
        <v>100</v>
      </c>
      <c r="X33" s="1816"/>
      <c r="Y33" s="3246"/>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46"/>
      <c r="Q34" s="1813">
        <f t="shared" si="11"/>
        <v>111</v>
      </c>
      <c r="R34" s="774" t="s">
        <v>17</v>
      </c>
      <c r="S34" s="775">
        <f t="shared" si="12"/>
        <v>100</v>
      </c>
      <c r="T34" s="774" t="s">
        <v>17</v>
      </c>
      <c r="U34" s="775">
        <f t="shared" si="13"/>
        <v>100</v>
      </c>
      <c r="V34" s="774" t="s">
        <v>17</v>
      </c>
      <c r="W34" s="775">
        <f t="shared" si="14"/>
        <v>100</v>
      </c>
      <c r="X34" s="1816"/>
      <c r="Y34" s="3246"/>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北京万年基业房地产开发有限公司：</v>
      </c>
    </row>
    <row r="4" spans="1:1" ht="36">
      <c r="A4" s="1951" t="str">
        <f>"受贵公司委托，我公司对"&amp;项目基本情况!S1&amp;"进行了预评估。"</f>
        <v>受贵公司委托，我公司对北京市丰台区万兴路1号院1号楼房地产抵押价值进行了预评估。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万兴路1号院1号楼房地产，为北京万年基业房地产开发有限公司所有。根据《国有土地使用证》[京丰国用（2012出）第00123号]，估价对象（分摊）出让国有建设用地使用权面积为1281.4平方米。根据《房屋所有权证》[X京房权证丰字第478807号]，估价对象建筑面积为1398.73平方米。</v>
      </c>
    </row>
    <row r="8" spans="1:1" ht="57.75">
      <c r="A8" s="1954" t="s">
        <v>1613</v>
      </c>
    </row>
    <row r="9" spans="1:1" ht="18.75">
      <c r="A9" s="1953" t="s">
        <v>1614</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万兴路1号院1号楼房地产,属北京万年基业房地产开发有限公司开发建设的商业项目，该项目尚在开发建设中。根据《国有土地使用证》[京丰国用（2012出）第00123号]，估价对象（分摊）出让国有建设用地使用权面积为1281.4平方米。根据《房屋所有权证》[X京房权证丰字第478807号]，估价对象规划建筑面积为1398.73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为估价委托人在向华融资管北京分公司办理贷款手续过程中，确定房地产抵押贷款额度提供参考依据而评估房地产抵押价值。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2018年8月23日（评估专业人员实地查勘之日）</v>
      </c>
    </row>
    <row r="16" spans="1:1" ht="18.75">
      <c r="A16" s="1956" t="s">
        <v>1618</v>
      </c>
    </row>
    <row r="17" spans="1:1" ht="75">
      <c r="A17" s="1951" t="s">
        <v>1619</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商业，土地取得方式为出让，出让国有建设用地使用权剩余土地使用年限为商业32.56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讯、通下水、燃气、）、红线内场地平整条件下，剩余土地使用年限为商业32.56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54" t="s">
        <v>2643</v>
      </c>
      <c r="D4" s="3255"/>
      <c r="E4" s="3256" t="s">
        <v>2644</v>
      </c>
      <c r="F4" s="3257"/>
      <c r="G4" s="3254" t="s">
        <v>2645</v>
      </c>
      <c r="H4" s="3255"/>
      <c r="I4" s="3254" t="s">
        <v>2646</v>
      </c>
      <c r="J4" s="3255"/>
      <c r="K4" s="610" t="s">
        <v>2647</v>
      </c>
      <c r="L4" s="1133"/>
      <c r="M4" s="1134"/>
      <c r="N4" s="1134"/>
      <c r="O4" s="1134"/>
      <c r="P4" s="3258" t="s">
        <v>2648</v>
      </c>
      <c r="Q4" s="3259"/>
      <c r="R4" s="3264" t="s">
        <v>2644</v>
      </c>
      <c r="S4" s="3265"/>
      <c r="T4" s="3264" t="s">
        <v>2645</v>
      </c>
      <c r="U4" s="3265"/>
      <c r="V4" s="3270" t="s">
        <v>2646</v>
      </c>
      <c r="W4" s="3270"/>
      <c r="X4" s="1816"/>
      <c r="Y4" s="3264" t="s">
        <v>2648</v>
      </c>
      <c r="Z4" s="3265"/>
      <c r="AA4" s="3251" t="s">
        <v>2644</v>
      </c>
      <c r="AB4" s="3252" t="s">
        <v>2645</v>
      </c>
      <c r="AC4" s="3251" t="s">
        <v>2646</v>
      </c>
    </row>
    <row r="5" spans="1:30" ht="15">
      <c r="A5" s="404"/>
      <c r="B5" s="405"/>
      <c r="C5" s="3273" t="s">
        <v>2539</v>
      </c>
      <c r="D5" s="3274"/>
      <c r="E5" s="3280" t="s">
        <v>2540</v>
      </c>
      <c r="F5" s="3281"/>
      <c r="G5" s="3273" t="s">
        <v>2541</v>
      </c>
      <c r="H5" s="3274"/>
      <c r="I5" s="3273" t="s">
        <v>2542</v>
      </c>
      <c r="J5" s="3274"/>
      <c r="K5" s="610"/>
      <c r="L5" s="1133"/>
      <c r="M5" s="1134"/>
      <c r="N5" s="1134"/>
      <c r="O5" s="1134"/>
      <c r="P5" s="3260"/>
      <c r="Q5" s="3261"/>
      <c r="R5" s="3266"/>
      <c r="S5" s="3267"/>
      <c r="T5" s="3266"/>
      <c r="U5" s="3267"/>
      <c r="V5" s="3270"/>
      <c r="W5" s="3270"/>
      <c r="X5" s="1816"/>
      <c r="Y5" s="3266"/>
      <c r="Z5" s="3267"/>
      <c r="AA5" s="3252"/>
      <c r="AB5" s="3252"/>
      <c r="AC5" s="3252"/>
    </row>
    <row r="6" spans="1:30" ht="15.75" thickBot="1">
      <c r="A6" s="406"/>
      <c r="B6" s="407"/>
      <c r="C6" s="3271" t="s">
        <v>2543</v>
      </c>
      <c r="D6" s="3272"/>
      <c r="E6" s="3278" t="s">
        <v>2543</v>
      </c>
      <c r="F6" s="3279"/>
      <c r="G6" s="3271" t="s">
        <v>2543</v>
      </c>
      <c r="H6" s="3272"/>
      <c r="I6" s="3271" t="s">
        <v>2543</v>
      </c>
      <c r="J6" s="3272"/>
      <c r="K6" s="610" t="s">
        <v>2544</v>
      </c>
      <c r="L6" s="1133"/>
      <c r="M6" s="1134"/>
      <c r="N6" s="1134"/>
      <c r="O6" s="1134"/>
      <c r="P6" s="3262"/>
      <c r="Q6" s="3263"/>
      <c r="R6" s="3266"/>
      <c r="S6" s="3267"/>
      <c r="T6" s="3268"/>
      <c r="U6" s="3269"/>
      <c r="V6" s="3270"/>
      <c r="W6" s="3270"/>
      <c r="X6" s="1816"/>
      <c r="Y6" s="3268"/>
      <c r="Z6" s="3269"/>
      <c r="AA6" s="3253"/>
      <c r="AB6" s="3253"/>
      <c r="AC6" s="3253"/>
    </row>
    <row r="7" spans="1:30" s="117" customFormat="1" ht="15.75" thickBot="1">
      <c r="A7" s="408" t="s">
        <v>2545</v>
      </c>
      <c r="B7" s="409"/>
      <c r="C7" s="410">
        <f>'数据-取费表'!B2</f>
        <v>43335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75" t="s">
        <v>2546</v>
      </c>
      <c r="Q7" s="3277"/>
      <c r="R7" s="770" t="s">
        <v>17</v>
      </c>
      <c r="S7" s="771">
        <f t="shared" ref="S7:S15" si="0">F7</f>
        <v>0</v>
      </c>
      <c r="T7" s="770" t="s">
        <v>17</v>
      </c>
      <c r="U7" s="771">
        <f t="shared" ref="U7:U15" si="1">H7</f>
        <v>0</v>
      </c>
      <c r="V7" s="770" t="s">
        <v>17</v>
      </c>
      <c r="W7" s="771">
        <f t="shared" ref="W7:W15" si="2">J7</f>
        <v>0</v>
      </c>
      <c r="X7" s="772"/>
      <c r="Y7" s="3275" t="s">
        <v>2546</v>
      </c>
      <c r="Z7" s="3276"/>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75" t="s">
        <v>2549</v>
      </c>
      <c r="Q8" s="3276"/>
      <c r="R8" s="770" t="s">
        <v>17</v>
      </c>
      <c r="S8" s="771">
        <f t="shared" si="0"/>
        <v>0</v>
      </c>
      <c r="T8" s="770" t="s">
        <v>17</v>
      </c>
      <c r="U8" s="771">
        <f t="shared" si="1"/>
        <v>0</v>
      </c>
      <c r="V8" s="770" t="s">
        <v>17</v>
      </c>
      <c r="W8" s="771">
        <f t="shared" si="2"/>
        <v>0</v>
      </c>
      <c r="X8" s="772"/>
      <c r="Y8" s="3275" t="s">
        <v>2549</v>
      </c>
      <c r="Z8" s="3276"/>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39" t="s">
        <v>2552</v>
      </c>
      <c r="Q9" s="1798" t="str">
        <f t="shared" ref="Q9:Q15" si="6">B9</f>
        <v>用途</v>
      </c>
      <c r="R9" s="770" t="s">
        <v>17</v>
      </c>
      <c r="S9" s="771">
        <f t="shared" si="0"/>
        <v>100</v>
      </c>
      <c r="T9" s="770" t="s">
        <v>17</v>
      </c>
      <c r="U9" s="771">
        <f t="shared" si="1"/>
        <v>100</v>
      </c>
      <c r="V9" s="770" t="s">
        <v>17</v>
      </c>
      <c r="W9" s="771">
        <f t="shared" si="2"/>
        <v>100</v>
      </c>
      <c r="X9" s="772"/>
      <c r="Y9" s="3064"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39"/>
      <c r="Q10" s="1798" t="str">
        <f t="shared" si="6"/>
        <v>土地使用年限（年）</v>
      </c>
      <c r="R10" s="770" t="s">
        <v>17</v>
      </c>
      <c r="S10" s="771">
        <f t="shared" si="0"/>
        <v>108</v>
      </c>
      <c r="T10" s="770" t="s">
        <v>17</v>
      </c>
      <c r="U10" s="771">
        <f t="shared" si="1"/>
        <v>108</v>
      </c>
      <c r="V10" s="770" t="s">
        <v>17</v>
      </c>
      <c r="W10" s="771">
        <f t="shared" si="2"/>
        <v>108</v>
      </c>
      <c r="X10" s="772"/>
      <c r="Y10" s="3064"/>
      <c r="Z10" s="55" t="str">
        <f t="shared" si="7"/>
        <v>土地使用年限（年）</v>
      </c>
      <c r="AA10" s="773">
        <f t="shared" si="3"/>
        <v>0.92592592592592593</v>
      </c>
      <c r="AB10" s="773">
        <f t="shared" si="4"/>
        <v>0.92592592592592593</v>
      </c>
      <c r="AC10" s="773">
        <f t="shared" si="5"/>
        <v>0.92592592592592593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9"/>
      <c r="Q12" s="1798" t="str">
        <f t="shared" si="6"/>
        <v>配建</v>
      </c>
      <c r="R12" s="770" t="s">
        <v>17</v>
      </c>
      <c r="S12" s="771">
        <f t="shared" si="0"/>
        <v>100</v>
      </c>
      <c r="T12" s="770" t="s">
        <v>17</v>
      </c>
      <c r="U12" s="771">
        <f t="shared" si="1"/>
        <v>100</v>
      </c>
      <c r="V12" s="770" t="s">
        <v>17</v>
      </c>
      <c r="W12" s="771">
        <f t="shared" si="2"/>
        <v>100</v>
      </c>
      <c r="X12" s="772"/>
      <c r="Y12" s="306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64"/>
      <c r="Z14" s="55">
        <f t="shared" si="7"/>
        <v>111</v>
      </c>
      <c r="AA14" s="773">
        <f>D14/F14</f>
        <v>1</v>
      </c>
      <c r="AB14" s="773">
        <f>D14/H14</f>
        <v>1</v>
      </c>
      <c r="AC14" s="773">
        <f>D14/J14</f>
        <v>1</v>
      </c>
    </row>
    <row r="15" spans="1:30" ht="15">
      <c r="A15" s="440" t="s">
        <v>2556</v>
      </c>
      <c r="B15" s="69" t="s">
        <v>2085</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1" t="s">
        <v>2557</v>
      </c>
      <c r="Q15" s="1813" t="str">
        <f t="shared" si="6"/>
        <v>居住社区成熟度</v>
      </c>
      <c r="R15" s="774" t="s">
        <v>17</v>
      </c>
      <c r="S15" s="775">
        <f t="shared" si="0"/>
        <v>100</v>
      </c>
      <c r="T15" s="774" t="s">
        <v>17</v>
      </c>
      <c r="U15" s="775">
        <f t="shared" si="1"/>
        <v>100</v>
      </c>
      <c r="V15" s="774" t="s">
        <v>17</v>
      </c>
      <c r="W15" s="775">
        <f t="shared" si="2"/>
        <v>100</v>
      </c>
      <c r="X15" s="1816"/>
      <c r="Y15" s="3241"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42"/>
      <c r="Q16" s="1813"/>
      <c r="R16" s="774"/>
      <c r="S16" s="775"/>
      <c r="T16" s="774"/>
      <c r="U16" s="775"/>
      <c r="V16" s="774"/>
      <c r="W16" s="775"/>
      <c r="X16" s="1816"/>
      <c r="Y16" s="3242"/>
      <c r="Z16" s="1817"/>
      <c r="AA16" s="1814">
        <v>1</v>
      </c>
      <c r="AB16" s="1814">
        <v>1</v>
      </c>
      <c r="AC16" s="1814">
        <v>1</v>
      </c>
    </row>
    <row r="17" spans="1:29" ht="99.75">
      <c r="A17" s="428"/>
      <c r="B17" s="451" t="s">
        <v>2650</v>
      </c>
      <c r="C17" s="2666" t="str">
        <f>估价对象房地状况!C16</f>
        <v>估价对象位于万兴路，周边商业氛围较不成熟，周边无大型购物场所，人流量一般，商业繁华一般。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2"/>
      <c r="Q17" s="1813" t="str">
        <f>B17</f>
        <v>商业繁华度</v>
      </c>
      <c r="R17" s="774" t="s">
        <v>17</v>
      </c>
      <c r="S17" s="775">
        <f>F17</f>
        <v>100</v>
      </c>
      <c r="T17" s="774" t="s">
        <v>17</v>
      </c>
      <c r="U17" s="775">
        <f>H17</f>
        <v>100</v>
      </c>
      <c r="V17" s="774" t="s">
        <v>17</v>
      </c>
      <c r="W17" s="775">
        <f>J17</f>
        <v>100</v>
      </c>
      <c r="X17" s="1816"/>
      <c r="Y17" s="3242"/>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42"/>
      <c r="Q18" s="1813"/>
      <c r="R18" s="774"/>
      <c r="S18" s="775"/>
      <c r="T18" s="774"/>
      <c r="U18" s="775"/>
      <c r="V18" s="774"/>
      <c r="W18" s="775"/>
      <c r="X18" s="1816"/>
      <c r="Y18" s="3242"/>
      <c r="Z18" s="1817"/>
      <c r="AA18" s="1814">
        <v>1</v>
      </c>
      <c r="AB18" s="1814">
        <v>1</v>
      </c>
      <c r="AC18" s="1814">
        <v>1</v>
      </c>
    </row>
    <row r="19" spans="1:29" ht="15">
      <c r="A19" s="428"/>
      <c r="B19" s="451" t="s">
        <v>2684</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2"/>
      <c r="Q19" s="1813" t="str">
        <f>B19</f>
        <v>办公集聚程度</v>
      </c>
      <c r="R19" s="774" t="s">
        <v>17</v>
      </c>
      <c r="S19" s="775">
        <f>F19</f>
        <v>100</v>
      </c>
      <c r="T19" s="774" t="s">
        <v>17</v>
      </c>
      <c r="U19" s="775">
        <f>H19</f>
        <v>100</v>
      </c>
      <c r="V19" s="774" t="s">
        <v>17</v>
      </c>
      <c r="W19" s="775">
        <f>J19</f>
        <v>100</v>
      </c>
      <c r="X19" s="1816"/>
      <c r="Y19" s="3242"/>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42"/>
      <c r="Q20" s="1813"/>
      <c r="R20" s="774"/>
      <c r="S20" s="775"/>
      <c r="T20" s="774"/>
      <c r="U20" s="775"/>
      <c r="V20" s="774"/>
      <c r="W20" s="775"/>
      <c r="X20" s="1816"/>
      <c r="Y20" s="3242"/>
      <c r="Z20" s="1817"/>
      <c r="AA20" s="1814">
        <v>1</v>
      </c>
      <c r="AB20" s="1814">
        <v>1</v>
      </c>
      <c r="AC20" s="1814">
        <v>1</v>
      </c>
    </row>
    <row r="21" spans="1:29" ht="142.5">
      <c r="A21" s="428"/>
      <c r="B21" s="451" t="s">
        <v>2706</v>
      </c>
      <c r="C21" s="2609" t="str">
        <f>估价对象房地状况!C18</f>
        <v>估价对象周边路网密集程度一般，公共交通通达情况较好，有310、565路及地铁14号线等公共交通，停车便捷程度较好，综合评价交通便捷度较好。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2"/>
      <c r="Q21" s="1813" t="str">
        <f>B21</f>
        <v>交通便捷度</v>
      </c>
      <c r="R21" s="774" t="s">
        <v>17</v>
      </c>
      <c r="S21" s="775">
        <f>F21</f>
        <v>100</v>
      </c>
      <c r="T21" s="774" t="s">
        <v>17</v>
      </c>
      <c r="U21" s="775">
        <f>H21</f>
        <v>100</v>
      </c>
      <c r="V21" s="774" t="s">
        <v>17</v>
      </c>
      <c r="W21" s="775">
        <f>J21</f>
        <v>100</v>
      </c>
      <c r="X21" s="1816"/>
      <c r="Y21" s="3242"/>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42"/>
      <c r="Q22" s="1813"/>
      <c r="R22" s="774"/>
      <c r="S22" s="775"/>
      <c r="T22" s="774"/>
      <c r="U22" s="775"/>
      <c r="V22" s="774"/>
      <c r="W22" s="775"/>
      <c r="X22" s="1816"/>
      <c r="Y22" s="3242"/>
      <c r="Z22" s="1817"/>
      <c r="AA22" s="1814">
        <v>1</v>
      </c>
      <c r="AB22" s="1814">
        <v>1</v>
      </c>
      <c r="AC22" s="1814">
        <v>1</v>
      </c>
    </row>
    <row r="23" spans="1:29" ht="71.25">
      <c r="A23" s="404"/>
      <c r="B23" s="451" t="s">
        <v>2745</v>
      </c>
      <c r="C23" s="1392" t="str">
        <f>估价对象房地状况!C19</f>
        <v>区域内多为住宅用地，零星分布商业用地，区域土地利用方向一致度一般。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2"/>
      <c r="Q23" s="1813" t="str">
        <f t="shared" ref="Q23:Q37" si="8">B23</f>
        <v>区域土地利用方向</v>
      </c>
      <c r="R23" s="774" t="s">
        <v>17</v>
      </c>
      <c r="S23" s="775">
        <f>F23</f>
        <v>100</v>
      </c>
      <c r="T23" s="774" t="s">
        <v>17</v>
      </c>
      <c r="U23" s="775">
        <f>H23</f>
        <v>100</v>
      </c>
      <c r="V23" s="774" t="s">
        <v>17</v>
      </c>
      <c r="W23" s="775">
        <f>J23</f>
        <v>100</v>
      </c>
      <c r="X23" s="1816"/>
      <c r="Y23" s="3242"/>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42"/>
      <c r="Q24" s="1813"/>
      <c r="R24" s="774"/>
      <c r="S24" s="775"/>
      <c r="T24" s="774"/>
      <c r="U24" s="775"/>
      <c r="V24" s="774"/>
      <c r="W24" s="775"/>
      <c r="X24" s="1816"/>
      <c r="Y24" s="3242"/>
      <c r="Z24" s="1817"/>
      <c r="AA24" s="1814"/>
      <c r="AB24" s="1814"/>
      <c r="AC24" s="1814"/>
    </row>
    <row r="25" spans="1:29" ht="71.25">
      <c r="A25" s="404"/>
      <c r="B25" s="1387" t="s">
        <v>2746</v>
      </c>
      <c r="C25" s="2666" t="str">
        <f>估价对象房地状况!C20</f>
        <v>区域自然环境：休闲公园；人文环境：北京园博园；综合评价环境状况一般。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2"/>
      <c r="Q25" s="1813" t="str">
        <f t="shared" si="8"/>
        <v>自然及人文环境状况</v>
      </c>
      <c r="R25" s="774" t="s">
        <v>17</v>
      </c>
      <c r="S25" s="775">
        <f>F25</f>
        <v>100</v>
      </c>
      <c r="T25" s="774" t="s">
        <v>17</v>
      </c>
      <c r="U25" s="775">
        <f>H25</f>
        <v>100</v>
      </c>
      <c r="V25" s="774" t="s">
        <v>17</v>
      </c>
      <c r="W25" s="775">
        <f>J25</f>
        <v>100</v>
      </c>
      <c r="X25" s="1816"/>
      <c r="Y25" s="3242"/>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42"/>
      <c r="Q26" s="1813"/>
      <c r="R26" s="774"/>
      <c r="S26" s="775"/>
      <c r="T26" s="774"/>
      <c r="U26" s="775"/>
      <c r="V26" s="774"/>
      <c r="W26" s="775"/>
      <c r="X26" s="1816"/>
      <c r="Y26" s="3242"/>
      <c r="Z26" s="1817"/>
      <c r="AA26" s="1814">
        <v>1</v>
      </c>
      <c r="AB26" s="1814">
        <v>1</v>
      </c>
      <c r="AC26" s="1814">
        <v>1</v>
      </c>
    </row>
    <row r="27" spans="1:29" s="117" customFormat="1" ht="213.75">
      <c r="A27" s="649"/>
      <c r="B27" s="1387" t="s">
        <v>2651</v>
      </c>
      <c r="C27" s="2609"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2"/>
      <c r="Q27" s="1798" t="str">
        <f t="shared" si="8"/>
        <v>公共配套设施</v>
      </c>
      <c r="R27" s="770" t="s">
        <v>17</v>
      </c>
      <c r="S27" s="771">
        <f>F27</f>
        <v>100</v>
      </c>
      <c r="T27" s="770" t="s">
        <v>17</v>
      </c>
      <c r="U27" s="771">
        <f>H27</f>
        <v>100</v>
      </c>
      <c r="V27" s="770" t="s">
        <v>17</v>
      </c>
      <c r="W27" s="771">
        <f>J27</f>
        <v>100</v>
      </c>
      <c r="X27" s="772"/>
      <c r="Y27" s="3242"/>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42"/>
      <c r="Q28" s="1798"/>
      <c r="R28" s="770"/>
      <c r="S28" s="771"/>
      <c r="T28" s="770"/>
      <c r="U28" s="771"/>
      <c r="V28" s="770"/>
      <c r="W28" s="771"/>
      <c r="X28" s="772"/>
      <c r="Y28" s="3242"/>
      <c r="Z28" s="55"/>
      <c r="AA28" s="1814">
        <v>1</v>
      </c>
      <c r="AB28" s="1814">
        <v>1</v>
      </c>
      <c r="AC28" s="1814">
        <v>1</v>
      </c>
    </row>
    <row r="29" spans="1:29" s="117" customFormat="1" ht="42.75">
      <c r="A29" s="649"/>
      <c r="B29" s="1387" t="s">
        <v>2652</v>
      </c>
      <c r="C29" s="2609"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2"/>
      <c r="Q29" s="1798" t="str">
        <f t="shared" ref="Q29" si="9">B29</f>
        <v>基础设施水平</v>
      </c>
      <c r="R29" s="770" t="s">
        <v>17</v>
      </c>
      <c r="S29" s="771">
        <f>F29</f>
        <v>100</v>
      </c>
      <c r="T29" s="770" t="s">
        <v>17</v>
      </c>
      <c r="U29" s="771">
        <f>H29</f>
        <v>100</v>
      </c>
      <c r="V29" s="770" t="s">
        <v>17</v>
      </c>
      <c r="W29" s="771">
        <f>J29</f>
        <v>100</v>
      </c>
      <c r="X29" s="772"/>
      <c r="Y29" s="3242"/>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42"/>
      <c r="Q30" s="1798"/>
      <c r="R30" s="770"/>
      <c r="S30" s="771"/>
      <c r="T30" s="770"/>
      <c r="U30" s="771"/>
      <c r="V30" s="770"/>
      <c r="W30" s="771"/>
      <c r="X30" s="772"/>
      <c r="Y30" s="3242"/>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2"/>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2"/>
      <c r="Q32" s="1813" t="str">
        <f t="shared" si="8"/>
        <v>毗邻道路的类型与等级</v>
      </c>
      <c r="R32" s="774" t="s">
        <v>17</v>
      </c>
      <c r="S32" s="775">
        <f t="shared" si="10"/>
        <v>100</v>
      </c>
      <c r="T32" s="774" t="s">
        <v>17</v>
      </c>
      <c r="U32" s="775">
        <f t="shared" si="11"/>
        <v>100</v>
      </c>
      <c r="V32" s="774" t="s">
        <v>17</v>
      </c>
      <c r="W32" s="775">
        <f t="shared" si="12"/>
        <v>100</v>
      </c>
      <c r="X32" s="1816"/>
      <c r="Y32" s="3242"/>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42"/>
      <c r="Q33" s="1813"/>
      <c r="R33" s="774"/>
      <c r="S33" s="775"/>
      <c r="T33" s="774"/>
      <c r="U33" s="775"/>
      <c r="V33" s="774"/>
      <c r="W33" s="775"/>
      <c r="X33" s="1816"/>
      <c r="Y33" s="3242"/>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2"/>
      <c r="Q34" s="1813" t="str">
        <f t="shared" si="8"/>
        <v>土地级别</v>
      </c>
      <c r="R34" s="774" t="s">
        <v>17</v>
      </c>
      <c r="S34" s="775">
        <f t="shared" si="10"/>
        <v>100</v>
      </c>
      <c r="T34" s="774" t="s">
        <v>17</v>
      </c>
      <c r="U34" s="775">
        <f t="shared" si="11"/>
        <v>100</v>
      </c>
      <c r="V34" s="774" t="s">
        <v>17</v>
      </c>
      <c r="W34" s="775">
        <f t="shared" si="12"/>
        <v>100</v>
      </c>
      <c r="X34" s="1816"/>
      <c r="Y34" s="324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2"/>
      <c r="Q35" s="1813">
        <f t="shared" si="8"/>
        <v>111</v>
      </c>
      <c r="R35" s="774" t="s">
        <v>17</v>
      </c>
      <c r="S35" s="775">
        <f t="shared" si="10"/>
        <v>100</v>
      </c>
      <c r="T35" s="774" t="s">
        <v>17</v>
      </c>
      <c r="U35" s="775">
        <f t="shared" si="11"/>
        <v>100</v>
      </c>
      <c r="V35" s="774" t="s">
        <v>17</v>
      </c>
      <c r="W35" s="775">
        <f t="shared" si="12"/>
        <v>100</v>
      </c>
      <c r="X35" s="1816"/>
      <c r="Y35" s="324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1" t="s">
        <v>2562</v>
      </c>
      <c r="Q36" s="1813">
        <f t="shared" si="8"/>
        <v>111</v>
      </c>
      <c r="R36" s="774" t="s">
        <v>17</v>
      </c>
      <c r="S36" s="775">
        <f t="shared" si="10"/>
        <v>100</v>
      </c>
      <c r="T36" s="774" t="s">
        <v>17</v>
      </c>
      <c r="U36" s="775">
        <f t="shared" si="11"/>
        <v>100</v>
      </c>
      <c r="V36" s="774" t="s">
        <v>17</v>
      </c>
      <c r="W36" s="775">
        <f t="shared" si="12"/>
        <v>100</v>
      </c>
      <c r="X36" s="1816"/>
      <c r="Y36" s="3246"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6"/>
      <c r="Q37" s="1813">
        <f t="shared" si="8"/>
        <v>111</v>
      </c>
      <c r="R37" s="777" t="s">
        <v>17</v>
      </c>
      <c r="S37" s="778">
        <f t="shared" si="10"/>
        <v>100</v>
      </c>
      <c r="T37" s="777" t="s">
        <v>17</v>
      </c>
      <c r="U37" s="778">
        <f t="shared" si="11"/>
        <v>100</v>
      </c>
      <c r="V37" s="777" t="s">
        <v>17</v>
      </c>
      <c r="W37" s="778">
        <f t="shared" si="12"/>
        <v>100</v>
      </c>
      <c r="X37" s="779"/>
      <c r="Y37" s="3246"/>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6"/>
      <c r="Q38" s="1813" t="str">
        <f>B38</f>
        <v>宗地面积</v>
      </c>
      <c r="R38" s="774" t="s">
        <v>17</v>
      </c>
      <c r="S38" s="775" t="e">
        <f t="shared" si="10"/>
        <v>#N/A</v>
      </c>
      <c r="T38" s="774" t="s">
        <v>17</v>
      </c>
      <c r="U38" s="775" t="e">
        <f t="shared" si="11"/>
        <v>#N/A</v>
      </c>
      <c r="V38" s="774" t="s">
        <v>17</v>
      </c>
      <c r="W38" s="775" t="e">
        <f t="shared" si="12"/>
        <v>#N/A</v>
      </c>
      <c r="X38" s="1816"/>
      <c r="Y38" s="3246"/>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46"/>
      <c r="Q39" s="1813" t="str">
        <f t="shared" ref="Q39:Q45" si="14">B39</f>
        <v>宗地形状</v>
      </c>
      <c r="R39" s="774" t="s">
        <v>17</v>
      </c>
      <c r="S39" s="775">
        <f t="shared" si="10"/>
        <v>100</v>
      </c>
      <c r="T39" s="774" t="s">
        <v>17</v>
      </c>
      <c r="U39" s="775">
        <f t="shared" si="11"/>
        <v>100</v>
      </c>
      <c r="V39" s="774" t="s">
        <v>17</v>
      </c>
      <c r="W39" s="775">
        <f t="shared" si="12"/>
        <v>100</v>
      </c>
      <c r="X39" s="1816"/>
      <c r="Y39" s="3246"/>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46"/>
      <c r="Q40" s="1813" t="str">
        <f t="shared" si="14"/>
        <v>临街宽度及深度</v>
      </c>
      <c r="R40" s="774" t="s">
        <v>17</v>
      </c>
      <c r="S40" s="775">
        <f t="shared" si="10"/>
        <v>100</v>
      </c>
      <c r="T40" s="774" t="s">
        <v>17</v>
      </c>
      <c r="U40" s="775">
        <f t="shared" si="11"/>
        <v>100</v>
      </c>
      <c r="V40" s="774" t="s">
        <v>17</v>
      </c>
      <c r="W40" s="775">
        <f t="shared" si="12"/>
        <v>100</v>
      </c>
      <c r="X40" s="1816"/>
      <c r="Y40" s="3246"/>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46"/>
      <c r="Q41" s="1813" t="str">
        <f t="shared" si="14"/>
        <v>宗地开发程度</v>
      </c>
      <c r="R41" s="770" t="s">
        <v>17</v>
      </c>
      <c r="S41" s="771">
        <f t="shared" si="10"/>
        <v>100</v>
      </c>
      <c r="T41" s="770" t="s">
        <v>17</v>
      </c>
      <c r="U41" s="771">
        <f t="shared" si="11"/>
        <v>100</v>
      </c>
      <c r="V41" s="770" t="s">
        <v>17</v>
      </c>
      <c r="W41" s="771">
        <f t="shared" si="12"/>
        <v>100</v>
      </c>
      <c r="X41" s="772"/>
      <c r="Y41" s="3246"/>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46" t="s">
        <v>2562</v>
      </c>
      <c r="Q42" s="1813" t="str">
        <f t="shared" si="14"/>
        <v>工程地质条件</v>
      </c>
      <c r="R42" s="774" t="s">
        <v>17</v>
      </c>
      <c r="S42" s="775">
        <f t="shared" si="10"/>
        <v>100</v>
      </c>
      <c r="T42" s="774" t="s">
        <v>17</v>
      </c>
      <c r="U42" s="775">
        <f t="shared" si="11"/>
        <v>100</v>
      </c>
      <c r="V42" s="774" t="s">
        <v>17</v>
      </c>
      <c r="W42" s="775">
        <f t="shared" si="12"/>
        <v>100</v>
      </c>
      <c r="X42" s="1816"/>
      <c r="Y42" s="3246"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6"/>
      <c r="Q43" s="1813">
        <f t="shared" si="14"/>
        <v>111</v>
      </c>
      <c r="R43" s="774" t="s">
        <v>17</v>
      </c>
      <c r="S43" s="775">
        <f t="shared" si="10"/>
        <v>100</v>
      </c>
      <c r="T43" s="774" t="s">
        <v>17</v>
      </c>
      <c r="U43" s="775">
        <f t="shared" si="11"/>
        <v>100</v>
      </c>
      <c r="V43" s="774" t="s">
        <v>17</v>
      </c>
      <c r="W43" s="775">
        <f t="shared" si="12"/>
        <v>100</v>
      </c>
      <c r="X43" s="1816"/>
      <c r="Y43" s="324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6"/>
      <c r="Q44" s="1813">
        <f t="shared" si="14"/>
        <v>111</v>
      </c>
      <c r="R44" s="774" t="s">
        <v>17</v>
      </c>
      <c r="S44" s="775">
        <f t="shared" si="10"/>
        <v>100</v>
      </c>
      <c r="T44" s="774" t="s">
        <v>17</v>
      </c>
      <c r="U44" s="775">
        <f t="shared" si="11"/>
        <v>100</v>
      </c>
      <c r="V44" s="774" t="s">
        <v>17</v>
      </c>
      <c r="W44" s="775">
        <f t="shared" si="12"/>
        <v>100</v>
      </c>
      <c r="X44" s="1816"/>
      <c r="Y44" s="3246"/>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6"/>
      <c r="Q45" s="1813">
        <f t="shared" si="14"/>
        <v>111</v>
      </c>
      <c r="R45" s="777" t="s">
        <v>17</v>
      </c>
      <c r="S45" s="778">
        <f t="shared" si="10"/>
        <v>100</v>
      </c>
      <c r="T45" s="777" t="s">
        <v>17</v>
      </c>
      <c r="U45" s="778">
        <f t="shared" si="11"/>
        <v>100</v>
      </c>
      <c r="V45" s="777" t="s">
        <v>17</v>
      </c>
      <c r="W45" s="778">
        <f t="shared" si="12"/>
        <v>100</v>
      </c>
      <c r="X45" s="779"/>
      <c r="Y45" s="3246"/>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39" t="str">
        <f>A46</f>
        <v>成交单价</v>
      </c>
      <c r="Q46" s="3239"/>
      <c r="R46" s="3270">
        <f>E46</f>
        <v>0</v>
      </c>
      <c r="S46" s="3270"/>
      <c r="T46" s="3270">
        <f>G46</f>
        <v>0</v>
      </c>
      <c r="U46" s="3270"/>
      <c r="V46" s="3270">
        <f>I46</f>
        <v>0</v>
      </c>
      <c r="W46" s="3270"/>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39" t="str">
        <f>A47</f>
        <v>比较价值（元/平方米）</v>
      </c>
      <c r="Q47" s="3239"/>
      <c r="R47" s="3302" t="e">
        <f>ROUND(PRODUCT(R46,AA7:AA45),0)</f>
        <v>#DIV/0!</v>
      </c>
      <c r="S47" s="3302"/>
      <c r="T47" s="3302" t="e">
        <f>ROUND(PRODUCT(T46,AB7:AB45),0)</f>
        <v>#DIV/0!</v>
      </c>
      <c r="U47" s="3302"/>
      <c r="V47" s="3302" t="e">
        <f>ROUND(PRODUCT(V46,AC7:AC45),0)</f>
        <v>#DIV/0!</v>
      </c>
      <c r="W47" s="330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36" t="str">
        <f>A48</f>
        <v>估价对象XX用房的比较价值（楼面单价，元/平方米）</v>
      </c>
      <c r="Q48" s="3237"/>
      <c r="R48" s="3303" t="e">
        <f>ROUND(AVERAGE(R47:V47),0)</f>
        <v>#DIV/0!</v>
      </c>
      <c r="S48" s="3303"/>
      <c r="T48" s="3303"/>
      <c r="U48" s="3303"/>
      <c r="V48" s="3303"/>
      <c r="W48" s="330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54" t="s">
        <v>2761</v>
      </c>
      <c r="H55" s="3304"/>
      <c r="I55" s="144"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1398.7300000000002</v>
      </c>
      <c r="F56" s="1106" t="e">
        <f t="shared" ref="F56:F65" si="15">ROUND(B56*E56/10000,0)</f>
        <v>#DIV/0!</v>
      </c>
      <c r="G56" s="3250"/>
      <c r="H56" s="3239"/>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305"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305"/>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305"/>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305"/>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1398.7300000000002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4"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54" t="s">
        <v>2643</v>
      </c>
      <c r="D4" s="3255"/>
      <c r="E4" s="3256" t="s">
        <v>2644</v>
      </c>
      <c r="F4" s="3257"/>
      <c r="G4" s="3254" t="s">
        <v>2645</v>
      </c>
      <c r="H4" s="3255"/>
      <c r="I4" s="3254" t="s">
        <v>2646</v>
      </c>
      <c r="J4" s="3255"/>
      <c r="K4" s="610" t="s">
        <v>2647</v>
      </c>
      <c r="L4" s="1133"/>
      <c r="M4" s="1134"/>
      <c r="N4" s="1134"/>
      <c r="O4" s="1134"/>
      <c r="P4" s="3258" t="s">
        <v>2648</v>
      </c>
      <c r="Q4" s="3259"/>
      <c r="R4" s="3264" t="s">
        <v>2644</v>
      </c>
      <c r="S4" s="3265"/>
      <c r="T4" s="3264" t="s">
        <v>2645</v>
      </c>
      <c r="U4" s="3265"/>
      <c r="V4" s="3270" t="s">
        <v>2646</v>
      </c>
      <c r="W4" s="3270"/>
      <c r="X4" s="1816"/>
      <c r="Y4" s="3264" t="s">
        <v>2648</v>
      </c>
      <c r="Z4" s="3265"/>
      <c r="AA4" s="3251" t="s">
        <v>2644</v>
      </c>
      <c r="AB4" s="3252" t="s">
        <v>2645</v>
      </c>
      <c r="AC4" s="3251" t="s">
        <v>2646</v>
      </c>
    </row>
    <row r="5" spans="1:29" ht="15">
      <c r="A5" s="404"/>
      <c r="B5" s="405"/>
      <c r="C5" s="3273" t="s">
        <v>2539</v>
      </c>
      <c r="D5" s="3274"/>
      <c r="E5" s="3280" t="s">
        <v>2540</v>
      </c>
      <c r="F5" s="3281"/>
      <c r="G5" s="3273" t="s">
        <v>2541</v>
      </c>
      <c r="H5" s="3274"/>
      <c r="I5" s="3273" t="s">
        <v>2542</v>
      </c>
      <c r="J5" s="3274"/>
      <c r="K5" s="610"/>
      <c r="L5" s="1133"/>
      <c r="M5" s="1134"/>
      <c r="N5" s="1134"/>
      <c r="O5" s="1134"/>
      <c r="P5" s="3260"/>
      <c r="Q5" s="3261"/>
      <c r="R5" s="3266"/>
      <c r="S5" s="3267"/>
      <c r="T5" s="3266"/>
      <c r="U5" s="3267"/>
      <c r="V5" s="3270"/>
      <c r="W5" s="3270"/>
      <c r="X5" s="1816"/>
      <c r="Y5" s="3266"/>
      <c r="Z5" s="3267"/>
      <c r="AA5" s="3252"/>
      <c r="AB5" s="3252"/>
      <c r="AC5" s="3252"/>
    </row>
    <row r="6" spans="1:29" ht="15.75" thickBot="1">
      <c r="A6" s="406"/>
      <c r="B6" s="407"/>
      <c r="C6" s="3306" t="s">
        <v>2794</v>
      </c>
      <c r="D6" s="3307"/>
      <c r="E6" s="3308" t="s">
        <v>2794</v>
      </c>
      <c r="F6" s="3309"/>
      <c r="G6" s="3306" t="s">
        <v>2794</v>
      </c>
      <c r="H6" s="3307"/>
      <c r="I6" s="3306" t="s">
        <v>2794</v>
      </c>
      <c r="J6" s="3307"/>
      <c r="K6" s="610" t="s">
        <v>2544</v>
      </c>
      <c r="L6" s="1133"/>
      <c r="M6" s="1134"/>
      <c r="N6" s="1134"/>
      <c r="O6" s="1134"/>
      <c r="P6" s="3262"/>
      <c r="Q6" s="3263"/>
      <c r="R6" s="3266"/>
      <c r="S6" s="3267"/>
      <c r="T6" s="3268"/>
      <c r="U6" s="3269"/>
      <c r="V6" s="3270"/>
      <c r="W6" s="3270"/>
      <c r="X6" s="1816"/>
      <c r="Y6" s="3268"/>
      <c r="Z6" s="3269"/>
      <c r="AA6" s="3253"/>
      <c r="AB6" s="3253"/>
      <c r="AC6" s="3253"/>
    </row>
    <row r="7" spans="1:29" s="117" customFormat="1" ht="15.75" thickBot="1">
      <c r="A7" s="408" t="s">
        <v>2545</v>
      </c>
      <c r="B7" s="409"/>
      <c r="C7" s="410">
        <f>'数据-取费表'!B2</f>
        <v>43335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75" t="s">
        <v>2546</v>
      </c>
      <c r="Q7" s="3277"/>
      <c r="R7" s="770" t="s">
        <v>17</v>
      </c>
      <c r="S7" s="771">
        <f t="shared" ref="S7:S15" si="0">F7</f>
        <v>0</v>
      </c>
      <c r="T7" s="770" t="s">
        <v>17</v>
      </c>
      <c r="U7" s="771">
        <f t="shared" ref="U7:U15" si="1">H7</f>
        <v>0</v>
      </c>
      <c r="V7" s="770" t="s">
        <v>17</v>
      </c>
      <c r="W7" s="771">
        <f t="shared" ref="W7:W15" si="2">J7</f>
        <v>0</v>
      </c>
      <c r="X7" s="772"/>
      <c r="Y7" s="3275" t="s">
        <v>2546</v>
      </c>
      <c r="Z7" s="3276"/>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5" t="s">
        <v>2549</v>
      </c>
      <c r="Q8" s="3276"/>
      <c r="R8" s="770" t="s">
        <v>17</v>
      </c>
      <c r="S8" s="771">
        <f t="shared" si="0"/>
        <v>0</v>
      </c>
      <c r="T8" s="770" t="s">
        <v>17</v>
      </c>
      <c r="U8" s="771">
        <f t="shared" si="1"/>
        <v>0</v>
      </c>
      <c r="V8" s="770" t="s">
        <v>17</v>
      </c>
      <c r="W8" s="771">
        <f t="shared" si="2"/>
        <v>0</v>
      </c>
      <c r="X8" s="772"/>
      <c r="Y8" s="3275" t="s">
        <v>2549</v>
      </c>
      <c r="Z8" s="3276"/>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39" t="s">
        <v>2552</v>
      </c>
      <c r="Q9" s="1798" t="str">
        <f t="shared" ref="Q9:Q15" si="6">B9</f>
        <v>用途</v>
      </c>
      <c r="R9" s="770" t="s">
        <v>17</v>
      </c>
      <c r="S9" s="771">
        <f t="shared" si="0"/>
        <v>100</v>
      </c>
      <c r="T9" s="770" t="s">
        <v>17</v>
      </c>
      <c r="U9" s="771">
        <f t="shared" si="1"/>
        <v>100</v>
      </c>
      <c r="V9" s="770" t="s">
        <v>17</v>
      </c>
      <c r="W9" s="771">
        <f t="shared" si="2"/>
        <v>100</v>
      </c>
      <c r="X9" s="772"/>
      <c r="Y9" s="3064"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39"/>
      <c r="Q10" s="1798" t="str">
        <f t="shared" si="6"/>
        <v>土地使用年限（年）</v>
      </c>
      <c r="R10" s="770" t="s">
        <v>17</v>
      </c>
      <c r="S10" s="771">
        <f t="shared" si="0"/>
        <v>108</v>
      </c>
      <c r="T10" s="770" t="s">
        <v>17</v>
      </c>
      <c r="U10" s="771">
        <f t="shared" si="1"/>
        <v>108</v>
      </c>
      <c r="V10" s="770" t="s">
        <v>17</v>
      </c>
      <c r="W10" s="771">
        <f t="shared" si="2"/>
        <v>108</v>
      </c>
      <c r="X10" s="772"/>
      <c r="Y10" s="3064"/>
      <c r="Z10" s="55" t="str">
        <f t="shared" si="7"/>
        <v>土地使用年限（年）</v>
      </c>
      <c r="AA10" s="773">
        <f t="shared" si="3"/>
        <v>0.92592592592592593</v>
      </c>
      <c r="AB10" s="773">
        <f t="shared" si="4"/>
        <v>0.92592592592592593</v>
      </c>
      <c r="AC10" s="773">
        <f t="shared" si="5"/>
        <v>0.92592592592592593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9"/>
      <c r="Q11" s="1798"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9"/>
      <c r="Q12" s="1798">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9"/>
      <c r="Q13" s="1798">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9"/>
      <c r="Q14" s="1798">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1" t="s">
        <v>2557</v>
      </c>
      <c r="Q15" s="1813" t="str">
        <f t="shared" si="6"/>
        <v>产业集聚程度</v>
      </c>
      <c r="R15" s="774" t="s">
        <v>17</v>
      </c>
      <c r="S15" s="775">
        <f t="shared" si="0"/>
        <v>100</v>
      </c>
      <c r="T15" s="774" t="s">
        <v>17</v>
      </c>
      <c r="U15" s="775">
        <f t="shared" si="1"/>
        <v>100</v>
      </c>
      <c r="V15" s="774" t="s">
        <v>17</v>
      </c>
      <c r="W15" s="775">
        <f t="shared" si="2"/>
        <v>100</v>
      </c>
      <c r="X15" s="1816"/>
      <c r="Y15" s="3241"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42"/>
      <c r="Q16" s="1813"/>
      <c r="R16" s="774"/>
      <c r="S16" s="775"/>
      <c r="T16" s="774"/>
      <c r="U16" s="775"/>
      <c r="V16" s="774"/>
      <c r="W16" s="775"/>
      <c r="X16" s="1816"/>
      <c r="Y16" s="3242"/>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2"/>
      <c r="Q17" s="1813" t="str">
        <f>B17</f>
        <v>交通便捷度</v>
      </c>
      <c r="R17" s="774" t="s">
        <v>17</v>
      </c>
      <c r="S17" s="775">
        <f>F17</f>
        <v>100</v>
      </c>
      <c r="T17" s="774" t="s">
        <v>17</v>
      </c>
      <c r="U17" s="775">
        <f>H17</f>
        <v>100</v>
      </c>
      <c r="V17" s="774" t="s">
        <v>17</v>
      </c>
      <c r="W17" s="775">
        <f>J17</f>
        <v>100</v>
      </c>
      <c r="X17" s="1816"/>
      <c r="Y17" s="3242"/>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42"/>
      <c r="Q18" s="1813"/>
      <c r="R18" s="774"/>
      <c r="S18" s="775"/>
      <c r="T18" s="774"/>
      <c r="U18" s="775"/>
      <c r="V18" s="774"/>
      <c r="W18" s="775"/>
      <c r="X18" s="1816"/>
      <c r="Y18" s="3242"/>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2"/>
      <c r="Q19" s="1813" t="str">
        <f t="shared" ref="Q19:Q33" si="8">B19</f>
        <v>区域土地利用方向</v>
      </c>
      <c r="R19" s="774" t="s">
        <v>17</v>
      </c>
      <c r="S19" s="775">
        <f>F19</f>
        <v>100</v>
      </c>
      <c r="T19" s="774" t="s">
        <v>17</v>
      </c>
      <c r="U19" s="775">
        <f>H19</f>
        <v>100</v>
      </c>
      <c r="V19" s="774" t="s">
        <v>17</v>
      </c>
      <c r="W19" s="775">
        <f>J19</f>
        <v>100</v>
      </c>
      <c r="X19" s="1816"/>
      <c r="Y19" s="3242"/>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42"/>
      <c r="Q20" s="1813"/>
      <c r="R20" s="774"/>
      <c r="S20" s="775"/>
      <c r="T20" s="774"/>
      <c r="U20" s="775"/>
      <c r="V20" s="774"/>
      <c r="W20" s="775"/>
      <c r="X20" s="1816"/>
      <c r="Y20" s="3242"/>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2"/>
      <c r="Q21" s="1813" t="str">
        <f t="shared" si="8"/>
        <v>环境状况</v>
      </c>
      <c r="R21" s="774" t="s">
        <v>17</v>
      </c>
      <c r="S21" s="775">
        <f>F21</f>
        <v>100</v>
      </c>
      <c r="T21" s="774" t="s">
        <v>17</v>
      </c>
      <c r="U21" s="775">
        <f>H21</f>
        <v>100</v>
      </c>
      <c r="V21" s="774" t="s">
        <v>17</v>
      </c>
      <c r="W21" s="775">
        <f>J21</f>
        <v>100</v>
      </c>
      <c r="X21" s="1816"/>
      <c r="Y21" s="3242"/>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42"/>
      <c r="Q22" s="1813"/>
      <c r="R22" s="774"/>
      <c r="S22" s="775"/>
      <c r="T22" s="774"/>
      <c r="U22" s="775"/>
      <c r="V22" s="774"/>
      <c r="W22" s="775"/>
      <c r="X22" s="1816"/>
      <c r="Y22" s="3242"/>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2"/>
      <c r="Q23" s="1798" t="str">
        <f t="shared" si="8"/>
        <v>公共配套设施</v>
      </c>
      <c r="R23" s="770" t="s">
        <v>17</v>
      </c>
      <c r="S23" s="771">
        <f>F23</f>
        <v>100</v>
      </c>
      <c r="T23" s="770" t="s">
        <v>17</v>
      </c>
      <c r="U23" s="771">
        <f>H23</f>
        <v>100</v>
      </c>
      <c r="V23" s="770" t="s">
        <v>17</v>
      </c>
      <c r="W23" s="771">
        <f>J23</f>
        <v>100</v>
      </c>
      <c r="X23" s="772"/>
      <c r="Y23" s="3242"/>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42"/>
      <c r="Q24" s="1798"/>
      <c r="R24" s="770"/>
      <c r="S24" s="771"/>
      <c r="T24" s="770"/>
      <c r="U24" s="771"/>
      <c r="V24" s="770"/>
      <c r="W24" s="771"/>
      <c r="X24" s="772"/>
      <c r="Y24" s="3242"/>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2"/>
      <c r="Q25" s="1798" t="str">
        <f t="shared" ref="Q25" si="9">B25</f>
        <v>基础设施水平</v>
      </c>
      <c r="R25" s="770" t="s">
        <v>17</v>
      </c>
      <c r="S25" s="771">
        <f>F25</f>
        <v>100</v>
      </c>
      <c r="T25" s="770" t="s">
        <v>17</v>
      </c>
      <c r="U25" s="771">
        <f>H25</f>
        <v>100</v>
      </c>
      <c r="V25" s="770" t="s">
        <v>17</v>
      </c>
      <c r="W25" s="771">
        <f>J25</f>
        <v>100</v>
      </c>
      <c r="X25" s="772"/>
      <c r="Y25" s="3242"/>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42"/>
      <c r="Q26" s="1798"/>
      <c r="R26" s="770"/>
      <c r="S26" s="771"/>
      <c r="T26" s="770"/>
      <c r="U26" s="771"/>
      <c r="V26" s="770"/>
      <c r="W26" s="771"/>
      <c r="X26" s="772"/>
      <c r="Y26" s="3242"/>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2"/>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2"/>
      <c r="Q28" s="1813" t="str">
        <f t="shared" si="8"/>
        <v>毗邻道路的类型与等级</v>
      </c>
      <c r="R28" s="774" t="s">
        <v>17</v>
      </c>
      <c r="S28" s="775">
        <f t="shared" si="10"/>
        <v>100</v>
      </c>
      <c r="T28" s="774" t="s">
        <v>17</v>
      </c>
      <c r="U28" s="775">
        <f t="shared" si="11"/>
        <v>100</v>
      </c>
      <c r="V28" s="774" t="s">
        <v>17</v>
      </c>
      <c r="W28" s="775">
        <f t="shared" si="12"/>
        <v>100</v>
      </c>
      <c r="X28" s="1816"/>
      <c r="Y28" s="3242"/>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42"/>
      <c r="Q29" s="1813"/>
      <c r="R29" s="774"/>
      <c r="S29" s="775"/>
      <c r="T29" s="774"/>
      <c r="U29" s="775"/>
      <c r="V29" s="774"/>
      <c r="W29" s="775"/>
      <c r="X29" s="1816"/>
      <c r="Y29" s="3242"/>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2"/>
      <c r="Q30" s="1813" t="str">
        <f t="shared" si="8"/>
        <v>土地级别</v>
      </c>
      <c r="R30" s="774" t="s">
        <v>17</v>
      </c>
      <c r="S30" s="775">
        <f t="shared" si="10"/>
        <v>100</v>
      </c>
      <c r="T30" s="774" t="s">
        <v>17</v>
      </c>
      <c r="U30" s="775">
        <f t="shared" si="11"/>
        <v>100</v>
      </c>
      <c r="V30" s="774" t="s">
        <v>17</v>
      </c>
      <c r="W30" s="775">
        <f t="shared" si="12"/>
        <v>100</v>
      </c>
      <c r="X30" s="1816"/>
      <c r="Y30" s="3242"/>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2"/>
      <c r="Q31" s="1813">
        <f t="shared" si="8"/>
        <v>111</v>
      </c>
      <c r="R31" s="774" t="s">
        <v>17</v>
      </c>
      <c r="S31" s="775">
        <f t="shared" si="10"/>
        <v>100</v>
      </c>
      <c r="T31" s="774" t="s">
        <v>17</v>
      </c>
      <c r="U31" s="775">
        <f t="shared" si="11"/>
        <v>100</v>
      </c>
      <c r="V31" s="774" t="s">
        <v>17</v>
      </c>
      <c r="W31" s="775">
        <f t="shared" si="12"/>
        <v>100</v>
      </c>
      <c r="X31" s="1816"/>
      <c r="Y31" s="3242"/>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1" t="s">
        <v>2562</v>
      </c>
      <c r="Q32" s="1813">
        <f t="shared" si="8"/>
        <v>111</v>
      </c>
      <c r="R32" s="774" t="s">
        <v>17</v>
      </c>
      <c r="S32" s="775">
        <f t="shared" si="10"/>
        <v>100</v>
      </c>
      <c r="T32" s="774" t="s">
        <v>17</v>
      </c>
      <c r="U32" s="775">
        <f t="shared" si="11"/>
        <v>100</v>
      </c>
      <c r="V32" s="774" t="s">
        <v>17</v>
      </c>
      <c r="W32" s="775">
        <f t="shared" si="12"/>
        <v>100</v>
      </c>
      <c r="X32" s="1816"/>
      <c r="Y32" s="3246"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6"/>
      <c r="Q33" s="1813">
        <f t="shared" si="8"/>
        <v>111</v>
      </c>
      <c r="R33" s="777" t="s">
        <v>17</v>
      </c>
      <c r="S33" s="778">
        <f t="shared" si="10"/>
        <v>100</v>
      </c>
      <c r="T33" s="777" t="s">
        <v>17</v>
      </c>
      <c r="U33" s="778">
        <f t="shared" si="11"/>
        <v>100</v>
      </c>
      <c r="V33" s="777" t="s">
        <v>17</v>
      </c>
      <c r="W33" s="778">
        <f t="shared" si="12"/>
        <v>100</v>
      </c>
      <c r="X33" s="779"/>
      <c r="Y33" s="3246"/>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6"/>
      <c r="Q34" s="1813" t="str">
        <f>B34</f>
        <v>宗地面积</v>
      </c>
      <c r="R34" s="774" t="s">
        <v>17</v>
      </c>
      <c r="S34" s="775" t="e">
        <f t="shared" si="10"/>
        <v>#N/A</v>
      </c>
      <c r="T34" s="774" t="s">
        <v>17</v>
      </c>
      <c r="U34" s="775" t="e">
        <f t="shared" si="11"/>
        <v>#N/A</v>
      </c>
      <c r="V34" s="774" t="s">
        <v>17</v>
      </c>
      <c r="W34" s="775" t="e">
        <f t="shared" si="12"/>
        <v>#N/A</v>
      </c>
      <c r="X34" s="1816"/>
      <c r="Y34" s="3246"/>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46"/>
      <c r="Q35" s="1813" t="str">
        <f t="shared" ref="Q35:Q40" si="14">B35</f>
        <v>宗地形状</v>
      </c>
      <c r="R35" s="774" t="s">
        <v>17</v>
      </c>
      <c r="S35" s="775">
        <f t="shared" si="10"/>
        <v>100</v>
      </c>
      <c r="T35" s="774" t="s">
        <v>17</v>
      </c>
      <c r="U35" s="775">
        <f t="shared" si="11"/>
        <v>100</v>
      </c>
      <c r="V35" s="774" t="s">
        <v>17</v>
      </c>
      <c r="W35" s="775">
        <f t="shared" si="12"/>
        <v>100</v>
      </c>
      <c r="X35" s="1816"/>
      <c r="Y35" s="3246"/>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46"/>
      <c r="Q36" s="1813" t="str">
        <f t="shared" si="14"/>
        <v>宗地开发程度</v>
      </c>
      <c r="R36" s="770" t="s">
        <v>17</v>
      </c>
      <c r="S36" s="771">
        <f t="shared" si="10"/>
        <v>100</v>
      </c>
      <c r="T36" s="770" t="s">
        <v>17</v>
      </c>
      <c r="U36" s="771">
        <f t="shared" si="11"/>
        <v>100</v>
      </c>
      <c r="V36" s="770" t="s">
        <v>17</v>
      </c>
      <c r="W36" s="771">
        <f t="shared" si="12"/>
        <v>100</v>
      </c>
      <c r="X36" s="772"/>
      <c r="Y36" s="3246"/>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46" t="s">
        <v>2562</v>
      </c>
      <c r="Q37" s="1813" t="str">
        <f t="shared" si="14"/>
        <v>工程地质条件</v>
      </c>
      <c r="R37" s="774" t="s">
        <v>17</v>
      </c>
      <c r="S37" s="775">
        <f t="shared" si="10"/>
        <v>100</v>
      </c>
      <c r="T37" s="774" t="s">
        <v>17</v>
      </c>
      <c r="U37" s="775">
        <f t="shared" si="11"/>
        <v>100</v>
      </c>
      <c r="V37" s="774" t="s">
        <v>17</v>
      </c>
      <c r="W37" s="775">
        <f t="shared" si="12"/>
        <v>100</v>
      </c>
      <c r="X37" s="1816"/>
      <c r="Y37" s="3246"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6"/>
      <c r="Q38" s="1813">
        <f t="shared" si="14"/>
        <v>111</v>
      </c>
      <c r="R38" s="774" t="s">
        <v>17</v>
      </c>
      <c r="S38" s="775">
        <f t="shared" si="10"/>
        <v>100</v>
      </c>
      <c r="T38" s="774" t="s">
        <v>17</v>
      </c>
      <c r="U38" s="775">
        <f t="shared" si="11"/>
        <v>100</v>
      </c>
      <c r="V38" s="774" t="s">
        <v>17</v>
      </c>
      <c r="W38" s="775">
        <f t="shared" si="12"/>
        <v>100</v>
      </c>
      <c r="X38" s="1816"/>
      <c r="Y38" s="324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6"/>
      <c r="Q39" s="1813">
        <f t="shared" si="14"/>
        <v>111</v>
      </c>
      <c r="R39" s="774" t="s">
        <v>17</v>
      </c>
      <c r="S39" s="775">
        <f t="shared" si="10"/>
        <v>100</v>
      </c>
      <c r="T39" s="774" t="s">
        <v>17</v>
      </c>
      <c r="U39" s="775">
        <f t="shared" si="11"/>
        <v>100</v>
      </c>
      <c r="V39" s="774" t="s">
        <v>17</v>
      </c>
      <c r="W39" s="775">
        <f t="shared" si="12"/>
        <v>100</v>
      </c>
      <c r="X39" s="1816"/>
      <c r="Y39" s="3246"/>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6"/>
      <c r="Q40" s="1813">
        <f t="shared" si="14"/>
        <v>111</v>
      </c>
      <c r="R40" s="777" t="s">
        <v>17</v>
      </c>
      <c r="S40" s="778">
        <f t="shared" si="10"/>
        <v>100</v>
      </c>
      <c r="T40" s="777" t="s">
        <v>17</v>
      </c>
      <c r="U40" s="778">
        <f t="shared" si="11"/>
        <v>100</v>
      </c>
      <c r="V40" s="777" t="s">
        <v>17</v>
      </c>
      <c r="W40" s="778">
        <f t="shared" si="12"/>
        <v>100</v>
      </c>
      <c r="X40" s="779"/>
      <c r="Y40" s="3246"/>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39" t="str">
        <f>A41</f>
        <v>成交单价</v>
      </c>
      <c r="Q41" s="3239"/>
      <c r="R41" s="3270">
        <f>E41</f>
        <v>0</v>
      </c>
      <c r="S41" s="3270"/>
      <c r="T41" s="3270">
        <f>G41</f>
        <v>0</v>
      </c>
      <c r="U41" s="3270"/>
      <c r="V41" s="3270">
        <f>I41</f>
        <v>0</v>
      </c>
      <c r="W41" s="3270"/>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39" t="str">
        <f>A42</f>
        <v>比较价值（元/平方米）</v>
      </c>
      <c r="Q42" s="3239"/>
      <c r="R42" s="3302" t="e">
        <f>ROUND(PRODUCT(R41,AA7:AA40),0)</f>
        <v>#DIV/0!</v>
      </c>
      <c r="S42" s="3302"/>
      <c r="T42" s="3302" t="e">
        <f>ROUND(PRODUCT(T41,AB7:AB40),0)</f>
        <v>#DIV/0!</v>
      </c>
      <c r="U42" s="3302"/>
      <c r="V42" s="3302" t="e">
        <f>ROUND(PRODUCT(V41,AC7:AC40),0)</f>
        <v>#DIV/0!</v>
      </c>
      <c r="W42" s="330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36" t="str">
        <f>A43</f>
        <v>估价对象XX用房的比较价值（楼面单价，元/平方米）</v>
      </c>
      <c r="Q43" s="3237"/>
      <c r="R43" s="3303" t="e">
        <f>ROUND(AVERAGE(R42:V42),0)</f>
        <v>#DIV/0!</v>
      </c>
      <c r="S43" s="3303"/>
      <c r="T43" s="3303"/>
      <c r="U43" s="3303"/>
      <c r="V43" s="3303"/>
      <c r="W43" s="330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54" t="s">
        <v>2761</v>
      </c>
      <c r="H50" s="3304"/>
      <c r="I50" s="1817" t="s">
        <v>2798</v>
      </c>
      <c r="J50" s="1817">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1398.7300000000002</v>
      </c>
      <c r="F51" s="691" t="e">
        <f t="shared" ref="F51:F60" si="15">ROUND(B51*E51/10000,0)</f>
        <v>#DIV/0!</v>
      </c>
      <c r="G51" s="3250"/>
      <c r="H51" s="3239"/>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305"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305"/>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305"/>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305"/>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1281.4000000000001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8"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39" sqref="I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2" t="s">
        <v>3005</v>
      </c>
      <c r="D1" s="3313"/>
      <c r="E1" s="3313"/>
      <c r="F1" s="3313"/>
      <c r="G1" s="3313"/>
      <c r="H1" s="3313"/>
      <c r="I1" s="3313"/>
      <c r="J1" s="3313"/>
      <c r="K1" s="3313"/>
      <c r="L1" s="3313"/>
      <c r="M1" s="3313"/>
      <c r="N1" s="3313"/>
      <c r="O1" s="3313"/>
      <c r="P1" s="3313"/>
      <c r="Q1" s="3313"/>
      <c r="R1" s="3313"/>
      <c r="S1" s="3314"/>
      <c r="T1" s="1207" t="s">
        <v>3006</v>
      </c>
    </row>
    <row r="2" spans="1:45" s="707" customFormat="1" ht="25.5">
      <c r="A2" s="1208"/>
      <c r="B2" s="703" t="s">
        <v>3007</v>
      </c>
      <c r="C2" s="704" t="str">
        <f t="shared" ref="C2:L2" si="0">C3&amp;"(含)"&amp;"-"&amp;D3</f>
        <v>0(含)-150</v>
      </c>
      <c r="D2" s="705" t="str">
        <f t="shared" si="0"/>
        <v>150(含)-300</v>
      </c>
      <c r="E2" s="705" t="str">
        <f t="shared" si="0"/>
        <v>300(含)-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150</v>
      </c>
      <c r="E3" s="710">
        <v>300</v>
      </c>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97</v>
      </c>
      <c r="E4" s="1214">
        <v>94</v>
      </c>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5"/>
      <c r="F19" s="1795"/>
      <c r="G19" s="1795"/>
      <c r="H19" s="1283"/>
      <c r="I19" s="168"/>
      <c r="J19" s="168"/>
      <c r="K19" s="168"/>
      <c r="L19" s="168"/>
      <c r="M19" s="168"/>
      <c r="N19" s="168"/>
      <c r="O19" s="168"/>
      <c r="P19" s="168"/>
      <c r="Q19" s="168"/>
      <c r="R19" s="788"/>
      <c r="S19" s="138"/>
    </row>
    <row r="20" spans="1:45" ht="16.5" thickBot="1">
      <c r="A20" s="715" t="s">
        <v>3017</v>
      </c>
      <c r="B20" s="338">
        <f>IF(D20="——",S22,S22-F20)</f>
        <v>4982</v>
      </c>
      <c r="C20" s="168"/>
      <c r="D20" s="2921" t="s">
        <v>70</v>
      </c>
      <c r="E20" s="1796"/>
      <c r="F20" s="1207" t="e">
        <f ca="1">SUMIF(INDIRECT("'"&amp;H20&amp;"'"&amp;"!A:A"),"承租人权益价值",INDIRECT("'"&amp;H20&amp;"'"&amp;"!c:c"))</f>
        <v>#REF!</v>
      </c>
      <c r="G20" s="1207" t="s">
        <v>3018</v>
      </c>
      <c r="H20" s="2922"/>
      <c r="I20" s="168"/>
      <c r="J20" s="168"/>
      <c r="K20" s="168"/>
      <c r="L20" s="168"/>
      <c r="M20" s="168"/>
      <c r="N20" s="168"/>
      <c r="O20" s="168"/>
      <c r="P20" s="168"/>
      <c r="Q20" s="168"/>
      <c r="R20" s="788"/>
      <c r="S20" s="138"/>
    </row>
    <row r="21" spans="1:45" ht="15.75">
      <c r="A21" s="715" t="s">
        <v>3019</v>
      </c>
      <c r="B21" s="338">
        <f>R22</f>
        <v>35618</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1398.7300000000002</v>
      </c>
      <c r="C22" s="3201" t="s">
        <v>33</v>
      </c>
      <c r="D22" s="3202"/>
      <c r="E22" s="3202"/>
      <c r="F22" s="3202"/>
      <c r="G22" s="3202"/>
      <c r="H22" s="3202"/>
      <c r="I22" s="3202"/>
      <c r="J22" s="3202"/>
      <c r="K22" s="3202"/>
      <c r="L22" s="3202"/>
      <c r="M22" s="3202"/>
      <c r="N22" s="3202"/>
      <c r="O22" s="3202"/>
      <c r="P22" s="3202"/>
      <c r="Q22" s="3311"/>
      <c r="R22" s="716">
        <f>ROUND(S22*10000/B22,0)</f>
        <v>35618</v>
      </c>
      <c r="S22" s="24">
        <f>SUM(S24:S10000)</f>
        <v>4982</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f>'数据-基础表'!I13</f>
        <v>292.33999999999997</v>
      </c>
      <c r="C24" s="719">
        <v>1</v>
      </c>
      <c r="D24" s="720"/>
      <c r="E24" s="719">
        <v>1</v>
      </c>
      <c r="F24" s="720"/>
      <c r="G24" s="719">
        <v>1</v>
      </c>
      <c r="H24" s="720"/>
      <c r="I24" s="719">
        <v>1</v>
      </c>
      <c r="J24" s="720"/>
      <c r="K24" s="719">
        <v>1</v>
      </c>
      <c r="L24" s="720"/>
      <c r="M24" s="719">
        <v>1</v>
      </c>
      <c r="N24" s="720"/>
      <c r="O24" s="719">
        <v>1</v>
      </c>
      <c r="P24" s="720"/>
      <c r="Q24" s="719">
        <v>1</v>
      </c>
      <c r="R24" s="721">
        <f>'比较法-商业'!B3</f>
        <v>35023</v>
      </c>
      <c r="S24" s="719">
        <f t="shared" ref="S24:S54" si="11">ROUND(R24*B24/10000,0)</f>
        <v>1024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f>'数据-基础表'!I14</f>
        <v>156.91999999999999</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35023</v>
      </c>
      <c r="S25" s="361">
        <f t="shared" si="11"/>
        <v>550</v>
      </c>
    </row>
    <row r="26" spans="1:45">
      <c r="A26" s="159">
        <v>103</v>
      </c>
      <c r="B26" s="59">
        <f>'数据-基础表'!I15</f>
        <v>144.93</v>
      </c>
      <c r="C26" s="24">
        <f t="shared" ref="C26:C89" si="12">IF(B26="",1,(LOOKUP(B26,$3:$3,$4:$4)-LOOKUP($B$24,$3:$3,$4:$4)+100)/100)</f>
        <v>1.03</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36074</v>
      </c>
      <c r="S26" s="361">
        <f t="shared" si="11"/>
        <v>523</v>
      </c>
    </row>
    <row r="27" spans="1:45">
      <c r="A27" s="159">
        <v>110</v>
      </c>
      <c r="B27" s="59">
        <f>'数据-基础表'!I16</f>
        <v>119.6</v>
      </c>
      <c r="C27" s="24">
        <f t="shared" si="12"/>
        <v>1.03</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36074</v>
      </c>
      <c r="S27" s="361">
        <f t="shared" si="11"/>
        <v>431</v>
      </c>
    </row>
    <row r="28" spans="1:45">
      <c r="A28" s="159">
        <v>111</v>
      </c>
      <c r="B28" s="59">
        <f>'数据-基础表'!I17</f>
        <v>131.99</v>
      </c>
      <c r="C28" s="24">
        <f t="shared" si="12"/>
        <v>1.03</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36074</v>
      </c>
      <c r="S28" s="361">
        <f t="shared" si="11"/>
        <v>476</v>
      </c>
    </row>
    <row r="29" spans="1:45">
      <c r="A29" s="159">
        <v>112</v>
      </c>
      <c r="B29" s="59">
        <f>'数据-基础表'!I18</f>
        <v>131.99</v>
      </c>
      <c r="C29" s="24">
        <f t="shared" si="12"/>
        <v>1.03</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36074</v>
      </c>
      <c r="S29" s="361">
        <f t="shared" si="11"/>
        <v>476</v>
      </c>
    </row>
    <row r="30" spans="1:45">
      <c r="A30" s="159">
        <v>113</v>
      </c>
      <c r="B30" s="59">
        <f>'数据-基础表'!I19</f>
        <v>131.99</v>
      </c>
      <c r="C30" s="24">
        <f t="shared" si="12"/>
        <v>1.03</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36074</v>
      </c>
      <c r="S30" s="361">
        <f t="shared" si="11"/>
        <v>476</v>
      </c>
    </row>
    <row r="31" spans="1:45">
      <c r="A31" s="159">
        <v>114</v>
      </c>
      <c r="B31" s="59">
        <f>'数据-基础表'!I20</f>
        <v>162.61000000000001</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35023</v>
      </c>
      <c r="S31" s="361">
        <f t="shared" si="11"/>
        <v>570</v>
      </c>
    </row>
    <row r="32" spans="1:45">
      <c r="A32" s="159">
        <v>107</v>
      </c>
      <c r="B32" s="59">
        <f>'数据-基础表'!I21</f>
        <v>126.36</v>
      </c>
      <c r="C32" s="24">
        <f t="shared" si="12"/>
        <v>1.03</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36074</v>
      </c>
      <c r="S32" s="361">
        <f t="shared" si="11"/>
        <v>456</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topLeftCell="A21" zoomScale="90" zoomScaleNormal="90" workbookViewId="0">
      <selection activeCell="F1" sqref="F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t="s">
        <v>3200</v>
      </c>
      <c r="G1" s="1634" t="s">
        <v>2529</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1394</v>
      </c>
      <c r="B2" s="1421" t="e">
        <f>IF(C2="——",ROUND(C49*D3/10000,0),ROUND(C49*D3/10000,0)-D2)</f>
        <v>#N/A</v>
      </c>
      <c r="C2" s="2588" t="s">
        <v>70</v>
      </c>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1395</v>
      </c>
      <c r="B3" s="609" t="e">
        <f>IF(C2="——",C49,ROUND(B2*10000/D3,0))</f>
        <v>#N/A</v>
      </c>
      <c r="C3" s="400" t="s">
        <v>2531</v>
      </c>
      <c r="D3" s="399">
        <f>IF(D1="",'数据-汇总表'!E3,SUMIF('数据-汇总表'!$C19:$C33,D1,'数据-汇总表'!$E19:$E33))</f>
        <v>1398.7300000000002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2532</v>
      </c>
      <c r="B4" s="402"/>
      <c r="C4" s="3254" t="s">
        <v>2533</v>
      </c>
      <c r="D4" s="3255"/>
      <c r="E4" s="3256" t="s">
        <v>2534</v>
      </c>
      <c r="F4" s="3257"/>
      <c r="G4" s="3254" t="s">
        <v>2535</v>
      </c>
      <c r="H4" s="3255"/>
      <c r="I4" s="3254" t="s">
        <v>2536</v>
      </c>
      <c r="J4" s="3255"/>
      <c r="K4" s="610" t="s">
        <v>2537</v>
      </c>
      <c r="L4" s="1133"/>
      <c r="M4" s="1134"/>
      <c r="N4" s="1134"/>
      <c r="O4" s="1134"/>
      <c r="P4" s="3258" t="s">
        <v>2538</v>
      </c>
      <c r="Q4" s="3259"/>
      <c r="R4" s="3264" t="s">
        <v>2534</v>
      </c>
      <c r="S4" s="3265"/>
      <c r="T4" s="3264" t="s">
        <v>2535</v>
      </c>
      <c r="U4" s="3265"/>
      <c r="V4" s="3270" t="s">
        <v>2536</v>
      </c>
      <c r="W4" s="3270"/>
      <c r="X4" s="2947"/>
      <c r="Y4" s="3264" t="s">
        <v>2538</v>
      </c>
      <c r="Z4" s="3265"/>
      <c r="AA4" s="3251" t="s">
        <v>2534</v>
      </c>
      <c r="AB4" s="3270" t="s">
        <v>2535</v>
      </c>
      <c r="AC4" s="3251" t="s">
        <v>2536</v>
      </c>
    </row>
    <row r="5" spans="1:29" ht="15">
      <c r="A5" s="404"/>
      <c r="B5" s="405"/>
      <c r="C5" s="3283" t="s">
        <v>3189</v>
      </c>
      <c r="D5" s="3274"/>
      <c r="E5" s="3280" t="s">
        <v>2540</v>
      </c>
      <c r="F5" s="3281"/>
      <c r="G5" s="3273" t="s">
        <v>2541</v>
      </c>
      <c r="H5" s="3274"/>
      <c r="I5" s="3273" t="s">
        <v>2542</v>
      </c>
      <c r="J5" s="3274"/>
      <c r="K5" s="610"/>
      <c r="L5" s="1133"/>
      <c r="M5" s="1134"/>
      <c r="N5" s="1134"/>
      <c r="O5" s="1134"/>
      <c r="P5" s="3260"/>
      <c r="Q5" s="3261"/>
      <c r="R5" s="3266"/>
      <c r="S5" s="3267"/>
      <c r="T5" s="3266"/>
      <c r="U5" s="3267"/>
      <c r="V5" s="3270"/>
      <c r="W5" s="3270"/>
      <c r="X5" s="2947"/>
      <c r="Y5" s="3266"/>
      <c r="Z5" s="3267"/>
      <c r="AA5" s="3252"/>
      <c r="AB5" s="3270"/>
      <c r="AC5" s="3252"/>
    </row>
    <row r="6" spans="1:29" ht="15.75" thickBot="1">
      <c r="A6" s="406"/>
      <c r="B6" s="407"/>
      <c r="C6" s="3282" t="s">
        <v>3190</v>
      </c>
      <c r="D6" s="3272"/>
      <c r="E6" s="3278" t="s">
        <v>2543</v>
      </c>
      <c r="F6" s="3279"/>
      <c r="G6" s="3271" t="s">
        <v>2543</v>
      </c>
      <c r="H6" s="3272"/>
      <c r="I6" s="3271" t="s">
        <v>2543</v>
      </c>
      <c r="J6" s="3272"/>
      <c r="K6" s="610" t="s">
        <v>2544</v>
      </c>
      <c r="L6" s="1133"/>
      <c r="M6" s="1134"/>
      <c r="N6" s="1134"/>
      <c r="O6" s="1134"/>
      <c r="P6" s="3262"/>
      <c r="Q6" s="3263"/>
      <c r="R6" s="3266"/>
      <c r="S6" s="3267"/>
      <c r="T6" s="3268"/>
      <c r="U6" s="3269"/>
      <c r="V6" s="3270"/>
      <c r="W6" s="3270"/>
      <c r="X6" s="2947"/>
      <c r="Y6" s="3268"/>
      <c r="Z6" s="3269"/>
      <c r="AA6" s="3253"/>
      <c r="AB6" s="3270"/>
      <c r="AC6" s="3253"/>
    </row>
    <row r="7" spans="1:29" s="117" customFormat="1" ht="15.75" thickBot="1">
      <c r="A7" s="408" t="s">
        <v>2545</v>
      </c>
      <c r="B7" s="409"/>
      <c r="C7" s="410">
        <f>'数据-取费表'!B2</f>
        <v>43335</v>
      </c>
      <c r="D7" s="411">
        <v>100</v>
      </c>
      <c r="E7" s="412">
        <v>43313</v>
      </c>
      <c r="F7" s="413">
        <f>SUMIF(58:58,YEAR(E7)&amp;"-"&amp;MONTH(E7),59:59)</f>
        <v>100</v>
      </c>
      <c r="G7" s="412">
        <v>43313</v>
      </c>
      <c r="H7" s="411">
        <f>SUMIF(58:58,YEAR(G7)&amp;"-"&amp;MONTH(G7),59:59)</f>
        <v>100</v>
      </c>
      <c r="I7" s="412">
        <v>43313</v>
      </c>
      <c r="J7" s="411">
        <f>SUMIF(58:58,YEAR(I7)&amp;"-"&amp;MONTH(I7),59:59)</f>
        <v>100</v>
      </c>
      <c r="K7" s="611"/>
      <c r="L7" s="1135"/>
      <c r="M7" s="1136"/>
      <c r="N7" s="1136"/>
      <c r="O7" s="1136"/>
      <c r="P7" s="3275" t="s">
        <v>2546</v>
      </c>
      <c r="Q7" s="3277"/>
      <c r="R7" s="770" t="s">
        <v>17</v>
      </c>
      <c r="S7" s="771">
        <f t="shared" ref="S7:S15" si="0">F7</f>
        <v>100</v>
      </c>
      <c r="T7" s="770" t="s">
        <v>17</v>
      </c>
      <c r="U7" s="771">
        <f t="shared" ref="U7:U15" si="1">H7</f>
        <v>100</v>
      </c>
      <c r="V7" s="770" t="s">
        <v>17</v>
      </c>
      <c r="W7" s="771">
        <f t="shared" ref="W7:W15" si="2">J7</f>
        <v>100</v>
      </c>
      <c r="X7" s="772"/>
      <c r="Y7" s="3275" t="s">
        <v>2546</v>
      </c>
      <c r="Z7" s="3276"/>
      <c r="AA7" s="773">
        <f>D7/F7</f>
        <v>1</v>
      </c>
      <c r="AB7" s="773">
        <f>D7/H7</f>
        <v>1</v>
      </c>
      <c r="AC7" s="773">
        <f>D7/J7</f>
        <v>1</v>
      </c>
    </row>
    <row r="8" spans="1:29" s="117"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5"/>
      <c r="M8" s="1136"/>
      <c r="N8" s="1136"/>
      <c r="O8" s="1136"/>
      <c r="P8" s="3275" t="s">
        <v>2549</v>
      </c>
      <c r="Q8" s="3276"/>
      <c r="R8" s="770" t="s">
        <v>17</v>
      </c>
      <c r="S8" s="771">
        <f t="shared" si="0"/>
        <v>100</v>
      </c>
      <c r="T8" s="770" t="s">
        <v>17</v>
      </c>
      <c r="U8" s="771">
        <f t="shared" si="1"/>
        <v>100</v>
      </c>
      <c r="V8" s="770" t="s">
        <v>17</v>
      </c>
      <c r="W8" s="771">
        <f t="shared" si="2"/>
        <v>100</v>
      </c>
      <c r="X8" s="772"/>
      <c r="Y8" s="3275" t="s">
        <v>2549</v>
      </c>
      <c r="Z8" s="3276"/>
      <c r="AA8" s="773">
        <f t="shared" ref="AA8:AA46" si="3">D8/F8</f>
        <v>1</v>
      </c>
      <c r="AB8" s="773">
        <f t="shared" ref="AB8:AB46" si="4">D8/H8</f>
        <v>1</v>
      </c>
      <c r="AC8" s="773">
        <f t="shared" ref="AC8:AC46" si="5">D8/J8</f>
        <v>1</v>
      </c>
    </row>
    <row r="9" spans="1:29" s="117" customFormat="1">
      <c r="A9" s="415" t="s">
        <v>2550</v>
      </c>
      <c r="B9" s="71" t="s">
        <v>2551</v>
      </c>
      <c r="C9" s="3009" t="s">
        <v>3191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250" t="s">
        <v>2552</v>
      </c>
      <c r="Q9" s="2944" t="str">
        <f t="shared" ref="Q9:Q15" si="6">B9</f>
        <v>用途</v>
      </c>
      <c r="R9" s="770" t="s">
        <v>17</v>
      </c>
      <c r="S9" s="771">
        <f t="shared" si="0"/>
        <v>100</v>
      </c>
      <c r="T9" s="770" t="s">
        <v>17</v>
      </c>
      <c r="U9" s="771">
        <f t="shared" si="1"/>
        <v>100</v>
      </c>
      <c r="V9" s="770" t="s">
        <v>17</v>
      </c>
      <c r="W9" s="771">
        <f t="shared" si="2"/>
        <v>100</v>
      </c>
      <c r="X9" s="772"/>
      <c r="Y9" s="3064" t="s">
        <v>2553</v>
      </c>
      <c r="Z9" s="2945" t="str">
        <f t="shared" ref="Z9:Z15" si="7">Q9</f>
        <v>用途</v>
      </c>
      <c r="AA9" s="773">
        <f t="shared" si="3"/>
        <v>1</v>
      </c>
      <c r="AB9" s="773">
        <f t="shared" si="4"/>
        <v>1</v>
      </c>
      <c r="AC9" s="773">
        <f t="shared" si="5"/>
        <v>1</v>
      </c>
    </row>
    <row r="10" spans="1:29" s="427" customFormat="1" ht="27">
      <c r="A10" s="421"/>
      <c r="B10" s="2946" t="s">
        <v>2554</v>
      </c>
      <c r="C10" s="423" t="s">
        <v>3192</v>
      </c>
      <c r="D10" s="136">
        <v>100</v>
      </c>
      <c r="E10" s="424" t="s">
        <v>3192</v>
      </c>
      <c r="F10" s="425">
        <f>SUMIF(65:65,E10,66:66)-SUMIF(65:65,C10,66:66)+100</f>
        <v>100</v>
      </c>
      <c r="G10" s="424" t="s">
        <v>3192</v>
      </c>
      <c r="H10" s="136">
        <f>SUMIF(65:65,G10,66:66)-SUMIF(65:65,C10,66:66)+100</f>
        <v>100</v>
      </c>
      <c r="I10" s="424" t="s">
        <v>3192</v>
      </c>
      <c r="J10" s="136">
        <f>SUMIF(65:65,I10,66:66)-SUMIF(65:65,C10,66:66)+100</f>
        <v>100</v>
      </c>
      <c r="K10" s="612"/>
      <c r="L10" s="1138"/>
      <c r="M10" s="1139"/>
      <c r="N10" s="1139"/>
      <c r="O10" s="1139"/>
      <c r="P10" s="3250"/>
      <c r="Q10" s="2944" t="str">
        <f t="shared" si="6"/>
        <v>土地使用年限（年）</v>
      </c>
      <c r="R10" s="770" t="s">
        <v>17</v>
      </c>
      <c r="S10" s="771">
        <f t="shared" si="0"/>
        <v>100</v>
      </c>
      <c r="T10" s="770" t="s">
        <v>17</v>
      </c>
      <c r="U10" s="771">
        <f t="shared" si="1"/>
        <v>100</v>
      </c>
      <c r="V10" s="770" t="s">
        <v>17</v>
      </c>
      <c r="W10" s="771">
        <f t="shared" si="2"/>
        <v>100</v>
      </c>
      <c r="X10" s="772"/>
      <c r="Y10" s="3064"/>
      <c r="Z10" s="2945" t="str">
        <f t="shared" si="7"/>
        <v>土地使用年限（年）</v>
      </c>
      <c r="AA10" s="773">
        <f t="shared" si="3"/>
        <v>1</v>
      </c>
      <c r="AB10" s="773">
        <f t="shared" si="4"/>
        <v>1</v>
      </c>
      <c r="AC10" s="773">
        <f t="shared" si="5"/>
        <v>1</v>
      </c>
    </row>
    <row r="11" spans="1:29" ht="15.75" thickBot="1">
      <c r="A11" s="428"/>
      <c r="B11" s="2946"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0"/>
      <c r="Q11" s="2944" t="str">
        <f t="shared" si="6"/>
        <v>容积率</v>
      </c>
      <c r="R11" s="770" t="s">
        <v>17</v>
      </c>
      <c r="S11" s="771">
        <f t="shared" si="0"/>
        <v>100</v>
      </c>
      <c r="T11" s="770" t="s">
        <v>17</v>
      </c>
      <c r="U11" s="771">
        <f t="shared" si="1"/>
        <v>100</v>
      </c>
      <c r="V11" s="770" t="s">
        <v>17</v>
      </c>
      <c r="W11" s="771">
        <f t="shared" si="2"/>
        <v>100</v>
      </c>
      <c r="X11" s="772"/>
      <c r="Y11" s="3064"/>
      <c r="Z11" s="2945" t="str">
        <f t="shared" si="7"/>
        <v>容积率</v>
      </c>
      <c r="AA11" s="773">
        <f t="shared" si="3"/>
        <v>1</v>
      </c>
      <c r="AB11" s="773">
        <f t="shared" si="4"/>
        <v>1</v>
      </c>
      <c r="AC11" s="773">
        <f t="shared" si="5"/>
        <v>1</v>
      </c>
    </row>
    <row r="12" spans="1:29" s="117" customFormat="1" ht="15.75" hidden="1" thickBot="1">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0"/>
      <c r="Q12" s="2944">
        <f t="shared" si="6"/>
        <v>111</v>
      </c>
      <c r="R12" s="770" t="s">
        <v>17</v>
      </c>
      <c r="S12" s="771">
        <f t="shared" si="0"/>
        <v>100</v>
      </c>
      <c r="T12" s="770" t="s">
        <v>17</v>
      </c>
      <c r="U12" s="771">
        <f t="shared" si="1"/>
        <v>100</v>
      </c>
      <c r="V12" s="770" t="s">
        <v>17</v>
      </c>
      <c r="W12" s="771">
        <f t="shared" si="2"/>
        <v>100</v>
      </c>
      <c r="X12" s="772"/>
      <c r="Y12" s="3064"/>
      <c r="Z12" s="2945">
        <f t="shared" si="7"/>
        <v>111</v>
      </c>
      <c r="AA12" s="773">
        <f>D12/F12</f>
        <v>1</v>
      </c>
      <c r="AB12" s="773">
        <f>D12/H12</f>
        <v>1</v>
      </c>
      <c r="AC12" s="773">
        <f>D12/J12</f>
        <v>1</v>
      </c>
    </row>
    <row r="13" spans="1:29" ht="15.75" hidden="1" thickBot="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0"/>
      <c r="Q13" s="2944">
        <f t="shared" si="6"/>
        <v>111</v>
      </c>
      <c r="R13" s="770" t="s">
        <v>17</v>
      </c>
      <c r="S13" s="771">
        <f t="shared" si="0"/>
        <v>100</v>
      </c>
      <c r="T13" s="770" t="s">
        <v>17</v>
      </c>
      <c r="U13" s="771">
        <f t="shared" si="1"/>
        <v>100</v>
      </c>
      <c r="V13" s="770" t="s">
        <v>17</v>
      </c>
      <c r="W13" s="771">
        <f t="shared" si="2"/>
        <v>100</v>
      </c>
      <c r="X13" s="772"/>
      <c r="Y13" s="3064"/>
      <c r="Z13" s="2945">
        <f t="shared" si="7"/>
        <v>111</v>
      </c>
      <c r="AA13" s="773">
        <f t="shared" si="3"/>
        <v>1</v>
      </c>
      <c r="AB13" s="773">
        <f t="shared" si="4"/>
        <v>1</v>
      </c>
      <c r="AC13" s="773">
        <f t="shared" si="5"/>
        <v>1</v>
      </c>
    </row>
    <row r="14" spans="1:29" ht="15.75" hidden="1"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0"/>
      <c r="Q14" s="2944">
        <f t="shared" si="6"/>
        <v>111</v>
      </c>
      <c r="R14" s="770" t="s">
        <v>17</v>
      </c>
      <c r="S14" s="771">
        <f t="shared" si="0"/>
        <v>100</v>
      </c>
      <c r="T14" s="770" t="s">
        <v>17</v>
      </c>
      <c r="U14" s="771">
        <f t="shared" si="1"/>
        <v>100</v>
      </c>
      <c r="V14" s="770" t="s">
        <v>17</v>
      </c>
      <c r="W14" s="771">
        <f t="shared" si="2"/>
        <v>100</v>
      </c>
      <c r="X14" s="772"/>
      <c r="Y14" s="3064"/>
      <c r="Z14" s="2945">
        <f t="shared" si="7"/>
        <v>111</v>
      </c>
      <c r="AA14" s="773">
        <f t="shared" si="3"/>
        <v>1</v>
      </c>
      <c r="AB14" s="773">
        <f t="shared" si="4"/>
        <v>1</v>
      </c>
      <c r="AC14" s="773">
        <f t="shared" si="5"/>
        <v>1</v>
      </c>
    </row>
    <row r="15" spans="1:29" ht="99.75">
      <c r="A15" s="440" t="s">
        <v>2556</v>
      </c>
      <c r="B15" s="69" t="s">
        <v>2650</v>
      </c>
      <c r="C15" s="2605" t="str">
        <f>估价对象房地状况!C4</f>
        <v>估价对象位于万兴路，周边商业氛围较不成熟，周边无大型购物场所，人流量一般，商业繁华一般。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8" t="s">
        <v>2557</v>
      </c>
      <c r="Q15" s="2950" t="str">
        <f t="shared" si="6"/>
        <v>商业繁华度</v>
      </c>
      <c r="R15" s="774" t="s">
        <v>17</v>
      </c>
      <c r="S15" s="775">
        <f t="shared" si="0"/>
        <v>100</v>
      </c>
      <c r="T15" s="774" t="s">
        <v>17</v>
      </c>
      <c r="U15" s="775">
        <f t="shared" si="1"/>
        <v>100</v>
      </c>
      <c r="V15" s="774" t="s">
        <v>17</v>
      </c>
      <c r="W15" s="775">
        <f t="shared" si="2"/>
        <v>100</v>
      </c>
      <c r="X15" s="2947"/>
      <c r="Y15" s="3241" t="s">
        <v>2557</v>
      </c>
      <c r="Z15" s="2948" t="str">
        <f t="shared" si="7"/>
        <v>商业繁华度</v>
      </c>
      <c r="AA15" s="2951">
        <f t="shared" si="3"/>
        <v>1</v>
      </c>
      <c r="AB15" s="2951">
        <f t="shared" si="4"/>
        <v>1</v>
      </c>
      <c r="AC15" s="2951">
        <f t="shared" si="5"/>
        <v>1</v>
      </c>
    </row>
    <row r="16" spans="1:29" ht="15">
      <c r="A16" s="428"/>
      <c r="B16" s="446"/>
      <c r="C16" s="447"/>
      <c r="D16" s="448"/>
      <c r="E16" s="447"/>
      <c r="F16" s="449"/>
      <c r="G16" s="447"/>
      <c r="H16" s="450"/>
      <c r="I16" s="447"/>
      <c r="J16" s="448"/>
      <c r="K16" s="615"/>
      <c r="L16" s="1143"/>
      <c r="M16" s="1134"/>
      <c r="N16" s="1134"/>
      <c r="O16" s="1134"/>
      <c r="P16" s="3249"/>
      <c r="Q16" s="2950"/>
      <c r="R16" s="774"/>
      <c r="S16" s="775"/>
      <c r="T16" s="774"/>
      <c r="U16" s="775"/>
      <c r="V16" s="774"/>
      <c r="W16" s="775"/>
      <c r="X16" s="2947"/>
      <c r="Y16" s="3242"/>
      <c r="Z16" s="2948"/>
      <c r="AA16" s="2951">
        <v>1</v>
      </c>
      <c r="AB16" s="2951">
        <v>1</v>
      </c>
      <c r="AC16" s="2951">
        <v>1</v>
      </c>
    </row>
    <row r="17" spans="1:29" ht="142.5">
      <c r="A17" s="428"/>
      <c r="B17" s="451" t="s">
        <v>2094</v>
      </c>
      <c r="C17" s="2609" t="str">
        <f>估价对象房地状况!C6</f>
        <v>估价对象周边路网密集程度一般，公共交通通达情况较好，有310、565路及地铁14号线等公共交通，停车便捷程度较好，综合评价交通便捷度较好。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9"/>
      <c r="Q17" s="2950" t="str">
        <f>B17</f>
        <v>交通便捷度</v>
      </c>
      <c r="R17" s="774" t="s">
        <v>17</v>
      </c>
      <c r="S17" s="775">
        <f>F17</f>
        <v>100</v>
      </c>
      <c r="T17" s="774" t="s">
        <v>17</v>
      </c>
      <c r="U17" s="775">
        <f>H17</f>
        <v>100</v>
      </c>
      <c r="V17" s="774" t="s">
        <v>17</v>
      </c>
      <c r="W17" s="775">
        <f>J17</f>
        <v>100</v>
      </c>
      <c r="X17" s="2947"/>
      <c r="Y17" s="3242"/>
      <c r="Z17" s="2948" t="str">
        <f>Q17</f>
        <v>交通便捷度</v>
      </c>
      <c r="AA17" s="2951">
        <f t="shared" si="3"/>
        <v>1</v>
      </c>
      <c r="AB17" s="2951">
        <f t="shared" si="4"/>
        <v>1</v>
      </c>
      <c r="AC17" s="2951">
        <f t="shared" si="5"/>
        <v>1</v>
      </c>
    </row>
    <row r="18" spans="1:29" ht="15">
      <c r="A18" s="428"/>
      <c r="B18" s="456"/>
      <c r="C18" s="2610"/>
      <c r="D18" s="450"/>
      <c r="E18" s="2612"/>
      <c r="F18" s="453"/>
      <c r="G18" s="2611"/>
      <c r="H18" s="448"/>
      <c r="I18" s="2612"/>
      <c r="J18" s="448"/>
      <c r="K18" s="615"/>
      <c r="L18" s="1143"/>
      <c r="M18" s="1134"/>
      <c r="N18" s="1134"/>
      <c r="O18" s="1134"/>
      <c r="P18" s="3249"/>
      <c r="Q18" s="2950"/>
      <c r="R18" s="774"/>
      <c r="S18" s="775"/>
      <c r="T18" s="774"/>
      <c r="U18" s="775"/>
      <c r="V18" s="774"/>
      <c r="W18" s="775"/>
      <c r="X18" s="2947"/>
      <c r="Y18" s="3242"/>
      <c r="Z18" s="2948"/>
      <c r="AA18" s="2951">
        <v>1</v>
      </c>
      <c r="AB18" s="2951">
        <v>1</v>
      </c>
      <c r="AC18" s="2951">
        <v>1</v>
      </c>
    </row>
    <row r="19" spans="1:29" ht="213.75">
      <c r="A19" s="428"/>
      <c r="B19" s="451" t="s">
        <v>2651</v>
      </c>
      <c r="C19" s="2609" t="str">
        <f>估价对象房地状况!C7</f>
        <v>估价对象所在区域周边1.5公里范围内有：银行（北京市农村商业银行、交通银行），购物（家和超市、华联超市），医院（张郭庄村社区卫生服务站），学校（张郭庄幼儿园、槐树岭学校）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9"/>
      <c r="Q19" s="2950" t="str">
        <f>B19</f>
        <v>公共配套设施</v>
      </c>
      <c r="R19" s="774" t="s">
        <v>17</v>
      </c>
      <c r="S19" s="775">
        <f>F19</f>
        <v>100</v>
      </c>
      <c r="T19" s="774" t="s">
        <v>17</v>
      </c>
      <c r="U19" s="775">
        <f>H19</f>
        <v>100</v>
      </c>
      <c r="V19" s="774" t="s">
        <v>17</v>
      </c>
      <c r="W19" s="775">
        <f>J19</f>
        <v>100</v>
      </c>
      <c r="X19" s="2947"/>
      <c r="Y19" s="3242"/>
      <c r="Z19" s="2948" t="str">
        <f>Q19</f>
        <v>公共配套设施</v>
      </c>
      <c r="AA19" s="2951">
        <f t="shared" si="3"/>
        <v>1</v>
      </c>
      <c r="AB19" s="2951">
        <f t="shared" si="4"/>
        <v>1</v>
      </c>
      <c r="AC19" s="2951">
        <f t="shared" si="5"/>
        <v>1</v>
      </c>
    </row>
    <row r="20" spans="1:29" ht="15">
      <c r="A20" s="428"/>
      <c r="B20" s="456"/>
      <c r="C20" s="447"/>
      <c r="D20" s="448"/>
      <c r="E20" s="2607"/>
      <c r="F20" s="449"/>
      <c r="G20" s="2606"/>
      <c r="H20" s="448"/>
      <c r="I20" s="2607"/>
      <c r="J20" s="448"/>
      <c r="K20" s="615"/>
      <c r="L20" s="1143"/>
      <c r="M20" s="1134"/>
      <c r="N20" s="1134"/>
      <c r="O20" s="1134"/>
      <c r="P20" s="3249"/>
      <c r="Q20" s="2950"/>
      <c r="R20" s="774"/>
      <c r="S20" s="775"/>
      <c r="T20" s="774"/>
      <c r="U20" s="775"/>
      <c r="V20" s="774"/>
      <c r="W20" s="775"/>
      <c r="X20" s="2947"/>
      <c r="Y20" s="3242"/>
      <c r="Z20" s="2948"/>
      <c r="AA20" s="2951">
        <v>1</v>
      </c>
      <c r="AB20" s="2951">
        <v>1</v>
      </c>
      <c r="AC20" s="2951">
        <v>1</v>
      </c>
    </row>
    <row r="21" spans="1:29" ht="42.75">
      <c r="A21" s="428"/>
      <c r="B21" s="1387" t="s">
        <v>2652</v>
      </c>
      <c r="C21" s="2609"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9"/>
      <c r="Q21" s="2950" t="str">
        <f>B21</f>
        <v>基础设施水平</v>
      </c>
      <c r="R21" s="774" t="s">
        <v>17</v>
      </c>
      <c r="S21" s="775">
        <f>F21</f>
        <v>100</v>
      </c>
      <c r="T21" s="774" t="s">
        <v>17</v>
      </c>
      <c r="U21" s="775">
        <f>H21</f>
        <v>100</v>
      </c>
      <c r="V21" s="774" t="s">
        <v>17</v>
      </c>
      <c r="W21" s="775">
        <f>J21</f>
        <v>100</v>
      </c>
      <c r="X21" s="2947"/>
      <c r="Y21" s="3242"/>
      <c r="Z21" s="2948" t="str">
        <f>Q21</f>
        <v>基础设施水平</v>
      </c>
      <c r="AA21" s="2951">
        <f t="shared" ref="AA21" si="8">D21/F21</f>
        <v>1</v>
      </c>
      <c r="AB21" s="2951">
        <f t="shared" ref="AB21" si="9">D21/H21</f>
        <v>1</v>
      </c>
      <c r="AC21" s="2951">
        <f t="shared" ref="AC21" si="10">D21/J21</f>
        <v>1</v>
      </c>
    </row>
    <row r="22" spans="1:29" ht="15">
      <c r="A22" s="428"/>
      <c r="B22" s="1387"/>
      <c r="C22" s="2610"/>
      <c r="D22" s="448"/>
      <c r="E22" s="447"/>
      <c r="F22" s="449"/>
      <c r="G22" s="447"/>
      <c r="H22" s="448"/>
      <c r="I22" s="447"/>
      <c r="J22" s="448"/>
      <c r="K22" s="1386"/>
      <c r="L22" s="1143"/>
      <c r="M22" s="1134"/>
      <c r="N22" s="1134"/>
      <c r="O22" s="1134"/>
      <c r="P22" s="3249"/>
      <c r="Q22" s="2950"/>
      <c r="R22" s="774"/>
      <c r="S22" s="775"/>
      <c r="T22" s="774"/>
      <c r="U22" s="775"/>
      <c r="V22" s="774"/>
      <c r="W22" s="775"/>
      <c r="X22" s="2947"/>
      <c r="Y22" s="3242"/>
      <c r="Z22" s="2948"/>
      <c r="AA22" s="2951">
        <v>1</v>
      </c>
      <c r="AB22" s="2951">
        <v>1</v>
      </c>
      <c r="AC22" s="2951">
        <v>1</v>
      </c>
    </row>
    <row r="23" spans="1:29" ht="71.25">
      <c r="A23" s="428"/>
      <c r="B23" s="451" t="s">
        <v>2099</v>
      </c>
      <c r="C23" s="2666" t="str">
        <f>估价对象房地状况!C9</f>
        <v>区域自然环境：休闲公园；人文环境：北京园博园；综合评价环境状况一般。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9"/>
      <c r="Q23" s="2950" t="str">
        <f>B23</f>
        <v>自然及人文环境</v>
      </c>
      <c r="R23" s="774" t="s">
        <v>17</v>
      </c>
      <c r="S23" s="775">
        <f>F23</f>
        <v>100</v>
      </c>
      <c r="T23" s="774" t="s">
        <v>17</v>
      </c>
      <c r="U23" s="775">
        <f>H23</f>
        <v>100</v>
      </c>
      <c r="V23" s="774" t="s">
        <v>17</v>
      </c>
      <c r="W23" s="775">
        <f>J23</f>
        <v>100</v>
      </c>
      <c r="X23" s="2947"/>
      <c r="Y23" s="3242"/>
      <c r="Z23" s="2948" t="str">
        <f>Q23</f>
        <v>自然及人文环境</v>
      </c>
      <c r="AA23" s="2951">
        <f t="shared" si="3"/>
        <v>1</v>
      </c>
      <c r="AB23" s="2951">
        <f t="shared" si="4"/>
        <v>1</v>
      </c>
      <c r="AC23" s="2951">
        <f t="shared" si="5"/>
        <v>1</v>
      </c>
    </row>
    <row r="24" spans="1:29" ht="15">
      <c r="A24" s="428"/>
      <c r="B24" s="456"/>
      <c r="C24" s="447"/>
      <c r="D24" s="448"/>
      <c r="E24" s="2607"/>
      <c r="F24" s="449"/>
      <c r="G24" s="2606"/>
      <c r="H24" s="448"/>
      <c r="I24" s="2607"/>
      <c r="J24" s="448"/>
      <c r="K24" s="615"/>
      <c r="L24" s="1143"/>
      <c r="M24" s="1134"/>
      <c r="N24" s="1134"/>
      <c r="O24" s="1134"/>
      <c r="P24" s="3249"/>
      <c r="Q24" s="2950"/>
      <c r="R24" s="774"/>
      <c r="S24" s="775"/>
      <c r="T24" s="774"/>
      <c r="U24" s="775"/>
      <c r="V24" s="774"/>
      <c r="W24" s="775"/>
      <c r="X24" s="2947"/>
      <c r="Y24" s="3242"/>
      <c r="Z24" s="2948"/>
      <c r="AA24" s="2951">
        <v>1</v>
      </c>
      <c r="AB24" s="2951">
        <v>1</v>
      </c>
      <c r="AC24" s="2951">
        <v>1</v>
      </c>
    </row>
    <row r="25" spans="1:29" ht="15">
      <c r="A25" s="428"/>
      <c r="B25" s="2946"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9"/>
      <c r="Q25" s="2950" t="str">
        <f t="shared" ref="Q25:Q46" si="11">B25</f>
        <v>临街状况</v>
      </c>
      <c r="R25" s="774" t="s">
        <v>17</v>
      </c>
      <c r="S25" s="775">
        <f>F25</f>
        <v>100</v>
      </c>
      <c r="T25" s="774" t="s">
        <v>17</v>
      </c>
      <c r="U25" s="775">
        <f>H25</f>
        <v>100</v>
      </c>
      <c r="V25" s="774" t="s">
        <v>17</v>
      </c>
      <c r="W25" s="775">
        <f>J25</f>
        <v>100</v>
      </c>
      <c r="X25" s="2947"/>
      <c r="Y25" s="3242"/>
      <c r="Z25" s="2948" t="str">
        <f>Q25</f>
        <v>临街状况</v>
      </c>
      <c r="AA25" s="2951">
        <f t="shared" si="3"/>
        <v>1</v>
      </c>
      <c r="AB25" s="2951">
        <f t="shared" si="4"/>
        <v>1</v>
      </c>
      <c r="AC25" s="2951">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9"/>
      <c r="Q26" s="2950" t="str">
        <f t="shared" si="11"/>
        <v>平面位置/可视性</v>
      </c>
      <c r="R26" s="774" t="s">
        <v>17</v>
      </c>
      <c r="S26" s="775">
        <f>F26</f>
        <v>100</v>
      </c>
      <c r="T26" s="774" t="s">
        <v>17</v>
      </c>
      <c r="U26" s="775">
        <f>H26</f>
        <v>100</v>
      </c>
      <c r="V26" s="774" t="s">
        <v>17</v>
      </c>
      <c r="W26" s="775">
        <f>J26</f>
        <v>100</v>
      </c>
      <c r="X26" s="2947"/>
      <c r="Y26" s="3242"/>
      <c r="Z26" s="2948" t="str">
        <f>Q26</f>
        <v>平面位置/可视性</v>
      </c>
      <c r="AA26" s="2951">
        <f t="shared" si="3"/>
        <v>1</v>
      </c>
      <c r="AB26" s="2951">
        <f t="shared" si="4"/>
        <v>1</v>
      </c>
      <c r="AC26" s="2951">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9"/>
      <c r="Q27" s="2944" t="str">
        <f t="shared" si="11"/>
        <v>人流量</v>
      </c>
      <c r="R27" s="770" t="s">
        <v>17</v>
      </c>
      <c r="S27" s="771">
        <f>F27</f>
        <v>100</v>
      </c>
      <c r="T27" s="770" t="s">
        <v>17</v>
      </c>
      <c r="U27" s="771">
        <f>H27</f>
        <v>100</v>
      </c>
      <c r="V27" s="770" t="s">
        <v>17</v>
      </c>
      <c r="W27" s="771">
        <f>J27</f>
        <v>100</v>
      </c>
      <c r="X27" s="772"/>
      <c r="Y27" s="3242"/>
      <c r="Z27" s="2945" t="str">
        <f>Q27</f>
        <v>人流量</v>
      </c>
      <c r="AA27" s="2951">
        <f>D27/F27</f>
        <v>1</v>
      </c>
      <c r="AB27" s="2951">
        <f>D27/H27</f>
        <v>1</v>
      </c>
      <c r="AC27" s="2951">
        <f>D27/J27</f>
        <v>1</v>
      </c>
    </row>
    <row r="28" spans="1:29" ht="15.75" thickBot="1">
      <c r="A28" s="428"/>
      <c r="B28" s="2946"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9"/>
      <c r="Q28" s="2950" t="str">
        <f t="shared" si="11"/>
        <v>楼层</v>
      </c>
      <c r="R28" s="774" t="s">
        <v>17</v>
      </c>
      <c r="S28" s="775">
        <f t="shared" ref="S28:S46" si="12">F28</f>
        <v>100</v>
      </c>
      <c r="T28" s="774" t="s">
        <v>17</v>
      </c>
      <c r="U28" s="775">
        <f t="shared" ref="U28:U46" si="13">H28</f>
        <v>100</v>
      </c>
      <c r="V28" s="774" t="s">
        <v>17</v>
      </c>
      <c r="W28" s="775">
        <f t="shared" ref="W28:W46" si="14">J28</f>
        <v>100</v>
      </c>
      <c r="X28" s="2947"/>
      <c r="Y28" s="3242"/>
      <c r="Z28" s="2948" t="str">
        <f t="shared" ref="Z28:Z46" si="15">Q28</f>
        <v>楼层</v>
      </c>
      <c r="AA28" s="2951">
        <f t="shared" si="3"/>
        <v>1</v>
      </c>
      <c r="AB28" s="2951">
        <f t="shared" si="4"/>
        <v>1</v>
      </c>
      <c r="AC28" s="2951">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9"/>
      <c r="Q29" s="2950">
        <f t="shared" si="11"/>
        <v>111</v>
      </c>
      <c r="R29" s="774" t="s">
        <v>17</v>
      </c>
      <c r="S29" s="775">
        <f t="shared" si="12"/>
        <v>100</v>
      </c>
      <c r="T29" s="774" t="s">
        <v>17</v>
      </c>
      <c r="U29" s="775">
        <f t="shared" si="13"/>
        <v>100</v>
      </c>
      <c r="V29" s="774" t="s">
        <v>17</v>
      </c>
      <c r="W29" s="775">
        <f t="shared" si="14"/>
        <v>100</v>
      </c>
      <c r="X29" s="2947"/>
      <c r="Y29" s="3242"/>
      <c r="Z29" s="2948">
        <f t="shared" si="15"/>
        <v>111</v>
      </c>
      <c r="AA29" s="2951">
        <f t="shared" si="3"/>
        <v>1</v>
      </c>
      <c r="AB29" s="2951">
        <f t="shared" si="4"/>
        <v>1</v>
      </c>
      <c r="AC29" s="2951">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9"/>
      <c r="Q30" s="2950">
        <f t="shared" si="11"/>
        <v>111</v>
      </c>
      <c r="R30" s="774" t="s">
        <v>17</v>
      </c>
      <c r="S30" s="775">
        <f t="shared" si="12"/>
        <v>100</v>
      </c>
      <c r="T30" s="774" t="s">
        <v>17</v>
      </c>
      <c r="U30" s="775">
        <f t="shared" si="13"/>
        <v>100</v>
      </c>
      <c r="V30" s="774" t="s">
        <v>17</v>
      </c>
      <c r="W30" s="775">
        <f t="shared" si="14"/>
        <v>100</v>
      </c>
      <c r="X30" s="2947"/>
      <c r="Y30" s="3242"/>
      <c r="Z30" s="2948">
        <f t="shared" si="15"/>
        <v>111</v>
      </c>
      <c r="AA30" s="2951">
        <f t="shared" si="3"/>
        <v>1</v>
      </c>
      <c r="AB30" s="2951">
        <f t="shared" si="4"/>
        <v>1</v>
      </c>
      <c r="AC30" s="2951">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9"/>
      <c r="Q31" s="2950">
        <f t="shared" si="11"/>
        <v>111</v>
      </c>
      <c r="R31" s="774" t="s">
        <v>17</v>
      </c>
      <c r="S31" s="775">
        <f t="shared" si="12"/>
        <v>100</v>
      </c>
      <c r="T31" s="774" t="s">
        <v>17</v>
      </c>
      <c r="U31" s="775">
        <f t="shared" si="13"/>
        <v>100</v>
      </c>
      <c r="V31" s="774" t="s">
        <v>17</v>
      </c>
      <c r="W31" s="775">
        <f t="shared" si="14"/>
        <v>100</v>
      </c>
      <c r="X31" s="2947"/>
      <c r="Y31" s="3242"/>
      <c r="Z31" s="2948">
        <f t="shared" si="15"/>
        <v>111</v>
      </c>
      <c r="AA31" s="2951">
        <f t="shared" si="3"/>
        <v>1</v>
      </c>
      <c r="AB31" s="2951">
        <f t="shared" si="4"/>
        <v>1</v>
      </c>
      <c r="AC31" s="2951">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43" t="s">
        <v>2562</v>
      </c>
      <c r="Q32" s="2950" t="str">
        <f t="shared" si="11"/>
        <v>商业类型</v>
      </c>
      <c r="R32" s="774" t="s">
        <v>17</v>
      </c>
      <c r="S32" s="775">
        <f t="shared" si="12"/>
        <v>100</v>
      </c>
      <c r="T32" s="774" t="s">
        <v>17</v>
      </c>
      <c r="U32" s="775">
        <f t="shared" si="13"/>
        <v>100</v>
      </c>
      <c r="V32" s="774" t="s">
        <v>17</v>
      </c>
      <c r="W32" s="775">
        <f t="shared" si="14"/>
        <v>100</v>
      </c>
      <c r="X32" s="2947"/>
      <c r="Y32" s="3246" t="s">
        <v>2562</v>
      </c>
      <c r="Z32" s="2948" t="str">
        <f t="shared" si="15"/>
        <v>商业类型</v>
      </c>
      <c r="AA32" s="2951">
        <f t="shared" si="3"/>
        <v>1</v>
      </c>
      <c r="AB32" s="2951">
        <f t="shared" si="4"/>
        <v>1</v>
      </c>
      <c r="AC32" s="2951">
        <f t="shared" si="5"/>
        <v>1</v>
      </c>
    </row>
    <row r="33" spans="1:29" s="471" customFormat="1" ht="15">
      <c r="A33" s="468"/>
      <c r="B33" s="2946"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4"/>
      <c r="Q33" s="776" t="str">
        <f t="shared" si="11"/>
        <v>项目建筑规模</v>
      </c>
      <c r="R33" s="777" t="s">
        <v>17</v>
      </c>
      <c r="S33" s="778" t="e">
        <f t="shared" si="12"/>
        <v>#N/A</v>
      </c>
      <c r="T33" s="777" t="s">
        <v>17</v>
      </c>
      <c r="U33" s="778" t="e">
        <f t="shared" si="13"/>
        <v>#N/A</v>
      </c>
      <c r="V33" s="777" t="s">
        <v>17</v>
      </c>
      <c r="W33" s="778" t="e">
        <f t="shared" si="14"/>
        <v>#N/A</v>
      </c>
      <c r="X33" s="779"/>
      <c r="Y33" s="3246"/>
      <c r="Z33" s="780" t="str">
        <f t="shared" si="15"/>
        <v>项目建筑规模</v>
      </c>
      <c r="AA33" s="2951" t="e">
        <f t="shared" si="3"/>
        <v>#N/A</v>
      </c>
      <c r="AB33" s="2951" t="e">
        <f t="shared" si="4"/>
        <v>#N/A</v>
      </c>
      <c r="AC33" s="2951" t="e">
        <f t="shared" si="5"/>
        <v>#N/A</v>
      </c>
    </row>
    <row r="34" spans="1:29" ht="15">
      <c r="A34" s="472"/>
      <c r="B34" s="2946"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44"/>
      <c r="Q34" s="2950" t="str">
        <f t="shared" si="11"/>
        <v>建筑结构</v>
      </c>
      <c r="R34" s="774" t="s">
        <v>17</v>
      </c>
      <c r="S34" s="775">
        <f t="shared" si="12"/>
        <v>100</v>
      </c>
      <c r="T34" s="774" t="s">
        <v>17</v>
      </c>
      <c r="U34" s="775">
        <f t="shared" si="13"/>
        <v>100</v>
      </c>
      <c r="V34" s="774" t="s">
        <v>17</v>
      </c>
      <c r="W34" s="775">
        <f t="shared" si="14"/>
        <v>100</v>
      </c>
      <c r="X34" s="2947"/>
      <c r="Y34" s="3246"/>
      <c r="Z34" s="2948" t="str">
        <f t="shared" si="15"/>
        <v>建筑结构</v>
      </c>
      <c r="AA34" s="2951">
        <f t="shared" si="3"/>
        <v>1</v>
      </c>
      <c r="AB34" s="2951">
        <f t="shared" si="4"/>
        <v>1</v>
      </c>
      <c r="AC34" s="2951">
        <f t="shared" si="5"/>
        <v>1</v>
      </c>
    </row>
    <row r="35" spans="1:29" ht="15">
      <c r="A35" s="472"/>
      <c r="B35" s="2946"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44"/>
      <c r="Q35" s="2950" t="str">
        <f t="shared" si="11"/>
        <v>公共部分装修</v>
      </c>
      <c r="R35" s="774" t="s">
        <v>17</v>
      </c>
      <c r="S35" s="775">
        <f t="shared" si="12"/>
        <v>100</v>
      </c>
      <c r="T35" s="774" t="s">
        <v>17</v>
      </c>
      <c r="U35" s="775">
        <f t="shared" si="13"/>
        <v>100</v>
      </c>
      <c r="V35" s="774" t="s">
        <v>17</v>
      </c>
      <c r="W35" s="775">
        <f t="shared" si="14"/>
        <v>100</v>
      </c>
      <c r="X35" s="2947"/>
      <c r="Y35" s="3246"/>
      <c r="Z35" s="2948" t="str">
        <f t="shared" si="15"/>
        <v>公共部分装修</v>
      </c>
      <c r="AA35" s="2951">
        <f t="shared" si="3"/>
        <v>1</v>
      </c>
      <c r="AB35" s="2951">
        <f t="shared" si="4"/>
        <v>1</v>
      </c>
      <c r="AC35" s="2951">
        <f t="shared" si="5"/>
        <v>1</v>
      </c>
    </row>
    <row r="36" spans="1:29" ht="15">
      <c r="A36" s="472"/>
      <c r="B36" s="2946"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4"/>
      <c r="Q36" s="2950" t="str">
        <f t="shared" si="11"/>
        <v>成新度</v>
      </c>
      <c r="R36" s="774" t="s">
        <v>17</v>
      </c>
      <c r="S36" s="775" t="e">
        <f t="shared" si="12"/>
        <v>#N/A</v>
      </c>
      <c r="T36" s="774" t="s">
        <v>17</v>
      </c>
      <c r="U36" s="775" t="e">
        <f t="shared" si="13"/>
        <v>#N/A</v>
      </c>
      <c r="V36" s="774" t="s">
        <v>17</v>
      </c>
      <c r="W36" s="775" t="e">
        <f t="shared" si="14"/>
        <v>#N/A</v>
      </c>
      <c r="X36" s="2947"/>
      <c r="Y36" s="3246"/>
      <c r="Z36" s="2948" t="str">
        <f t="shared" si="15"/>
        <v>成新度</v>
      </c>
      <c r="AA36" s="2951" t="e">
        <f t="shared" si="3"/>
        <v>#N/A</v>
      </c>
      <c r="AB36" s="2951" t="e">
        <f t="shared" si="4"/>
        <v>#N/A</v>
      </c>
      <c r="AC36" s="2951" t="e">
        <f t="shared" si="5"/>
        <v>#N/A</v>
      </c>
    </row>
    <row r="37" spans="1:29" s="117" customFormat="1" ht="15">
      <c r="A37" s="473"/>
      <c r="B37" s="2946"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44"/>
      <c r="Q37" s="2944" t="str">
        <f t="shared" si="11"/>
        <v>市政基础设施</v>
      </c>
      <c r="R37" s="770" t="s">
        <v>17</v>
      </c>
      <c r="S37" s="771">
        <f t="shared" si="12"/>
        <v>100</v>
      </c>
      <c r="T37" s="770" t="s">
        <v>17</v>
      </c>
      <c r="U37" s="771">
        <f t="shared" si="13"/>
        <v>100</v>
      </c>
      <c r="V37" s="770" t="s">
        <v>17</v>
      </c>
      <c r="W37" s="771">
        <f t="shared" si="14"/>
        <v>100</v>
      </c>
      <c r="X37" s="772"/>
      <c r="Y37" s="3246"/>
      <c r="Z37" s="2945" t="str">
        <f t="shared" si="15"/>
        <v>市政基础设施</v>
      </c>
      <c r="AA37" s="773">
        <f t="shared" si="3"/>
        <v>1</v>
      </c>
      <c r="AB37" s="773">
        <f t="shared" si="4"/>
        <v>1</v>
      </c>
      <c r="AC37" s="773">
        <f t="shared" si="5"/>
        <v>1</v>
      </c>
    </row>
    <row r="38" spans="1:29" ht="15">
      <c r="A38" s="472"/>
      <c r="B38" s="2946"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44" t="s">
        <v>2562</v>
      </c>
      <c r="Q38" s="2950" t="str">
        <f t="shared" si="11"/>
        <v>业态</v>
      </c>
      <c r="R38" s="774" t="s">
        <v>17</v>
      </c>
      <c r="S38" s="775">
        <f t="shared" si="12"/>
        <v>100</v>
      </c>
      <c r="T38" s="774" t="s">
        <v>17</v>
      </c>
      <c r="U38" s="775">
        <f t="shared" si="13"/>
        <v>100</v>
      </c>
      <c r="V38" s="774" t="s">
        <v>17</v>
      </c>
      <c r="W38" s="775">
        <f t="shared" si="14"/>
        <v>100</v>
      </c>
      <c r="X38" s="2947"/>
      <c r="Y38" s="3246" t="s">
        <v>2562</v>
      </c>
      <c r="Z38" s="2948" t="str">
        <f t="shared" si="15"/>
        <v>业态</v>
      </c>
      <c r="AA38" s="2951">
        <f t="shared" si="3"/>
        <v>1</v>
      </c>
      <c r="AB38" s="2951">
        <f t="shared" si="4"/>
        <v>1</v>
      </c>
      <c r="AC38" s="2951">
        <f t="shared" si="5"/>
        <v>1</v>
      </c>
    </row>
    <row r="39" spans="1:29" ht="15">
      <c r="A39" s="472"/>
      <c r="B39" s="2946"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44"/>
      <c r="Q39" s="2950" t="str">
        <f t="shared" si="11"/>
        <v>层高</v>
      </c>
      <c r="R39" s="774" t="s">
        <v>17</v>
      </c>
      <c r="S39" s="775">
        <f t="shared" si="12"/>
        <v>100</v>
      </c>
      <c r="T39" s="774" t="s">
        <v>17</v>
      </c>
      <c r="U39" s="775">
        <f t="shared" si="13"/>
        <v>100</v>
      </c>
      <c r="V39" s="774" t="s">
        <v>17</v>
      </c>
      <c r="W39" s="775">
        <f t="shared" si="14"/>
        <v>100</v>
      </c>
      <c r="X39" s="2947"/>
      <c r="Y39" s="3246"/>
      <c r="Z39" s="2948" t="str">
        <f t="shared" si="15"/>
        <v>层高</v>
      </c>
      <c r="AA39" s="2951">
        <f t="shared" si="3"/>
        <v>1</v>
      </c>
      <c r="AB39" s="2951">
        <f t="shared" si="4"/>
        <v>1</v>
      </c>
      <c r="AC39" s="2951">
        <f t="shared" si="5"/>
        <v>1</v>
      </c>
    </row>
    <row r="40" spans="1:29" ht="15">
      <c r="A40" s="472"/>
      <c r="B40" s="2946"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4"/>
      <c r="Q40" s="2950" t="str">
        <f t="shared" si="11"/>
        <v>单套建筑面积</v>
      </c>
      <c r="R40" s="774" t="s">
        <v>17</v>
      </c>
      <c r="S40" s="775">
        <f t="shared" si="12"/>
        <v>100</v>
      </c>
      <c r="T40" s="774" t="s">
        <v>17</v>
      </c>
      <c r="U40" s="775">
        <f t="shared" si="13"/>
        <v>100</v>
      </c>
      <c r="V40" s="774" t="s">
        <v>17</v>
      </c>
      <c r="W40" s="775">
        <f t="shared" si="14"/>
        <v>100</v>
      </c>
      <c r="X40" s="2947"/>
      <c r="Y40" s="3246"/>
      <c r="Z40" s="2948" t="str">
        <f t="shared" si="15"/>
        <v>单套建筑面积</v>
      </c>
      <c r="AA40" s="2951">
        <f t="shared" si="3"/>
        <v>1</v>
      </c>
      <c r="AB40" s="2951">
        <f t="shared" si="4"/>
        <v>1</v>
      </c>
      <c r="AC40" s="2951">
        <f t="shared" si="5"/>
        <v>1</v>
      </c>
    </row>
    <row r="41" spans="1:29" s="471" customFormat="1" ht="15">
      <c r="A41" s="468"/>
      <c r="B41" s="2949"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2951">
        <f t="shared" si="3"/>
        <v>1</v>
      </c>
      <c r="AB41" s="2951">
        <f t="shared" si="4"/>
        <v>1</v>
      </c>
      <c r="AC41" s="2951">
        <f t="shared" si="5"/>
        <v>1</v>
      </c>
    </row>
    <row r="42" spans="1:29" ht="15">
      <c r="A42" s="472"/>
      <c r="B42" s="2946"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44"/>
      <c r="Q42" s="2950" t="str">
        <f t="shared" si="11"/>
        <v>内部装修</v>
      </c>
      <c r="R42" s="774" t="s">
        <v>17</v>
      </c>
      <c r="S42" s="775">
        <f t="shared" si="12"/>
        <v>100</v>
      </c>
      <c r="T42" s="774" t="s">
        <v>17</v>
      </c>
      <c r="U42" s="775">
        <f t="shared" si="13"/>
        <v>100</v>
      </c>
      <c r="V42" s="774" t="s">
        <v>17</v>
      </c>
      <c r="W42" s="775">
        <f t="shared" si="14"/>
        <v>100</v>
      </c>
      <c r="X42" s="2947"/>
      <c r="Y42" s="3246"/>
      <c r="Z42" s="2948" t="str">
        <f t="shared" si="15"/>
        <v>内部装修</v>
      </c>
      <c r="AA42" s="2951">
        <f t="shared" si="3"/>
        <v>1</v>
      </c>
      <c r="AB42" s="2951">
        <f t="shared" si="4"/>
        <v>1</v>
      </c>
      <c r="AC42" s="2951">
        <f t="shared" si="5"/>
        <v>1</v>
      </c>
    </row>
    <row r="43" spans="1:29" ht="15.75" thickBot="1">
      <c r="A43" s="472"/>
      <c r="B43" s="2946"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44"/>
      <c r="Q43" s="2950" t="str">
        <f t="shared" si="11"/>
        <v>内部装修维护情况</v>
      </c>
      <c r="R43" s="774" t="s">
        <v>17</v>
      </c>
      <c r="S43" s="775">
        <f t="shared" si="12"/>
        <v>100</v>
      </c>
      <c r="T43" s="774" t="s">
        <v>17</v>
      </c>
      <c r="U43" s="775">
        <f t="shared" si="13"/>
        <v>100</v>
      </c>
      <c r="V43" s="774" t="s">
        <v>17</v>
      </c>
      <c r="W43" s="775">
        <f t="shared" si="14"/>
        <v>100</v>
      </c>
      <c r="X43" s="2947"/>
      <c r="Y43" s="3246"/>
      <c r="Z43" s="2948" t="str">
        <f t="shared" si="15"/>
        <v>内部装修维护情况</v>
      </c>
      <c r="AA43" s="2951">
        <f t="shared" si="3"/>
        <v>1</v>
      </c>
      <c r="AB43" s="2951">
        <f t="shared" si="4"/>
        <v>1</v>
      </c>
      <c r="AC43" s="2951">
        <f t="shared" si="5"/>
        <v>1</v>
      </c>
    </row>
    <row r="44" spans="1:29" s="117" customFormat="1" ht="15.75" hidden="1" thickBot="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4"/>
      <c r="Q44" s="2944">
        <f t="shared" si="11"/>
        <v>111</v>
      </c>
      <c r="R44" s="770" t="s">
        <v>17</v>
      </c>
      <c r="S44" s="771">
        <f t="shared" si="12"/>
        <v>100</v>
      </c>
      <c r="T44" s="770" t="s">
        <v>17</v>
      </c>
      <c r="U44" s="771">
        <f t="shared" si="13"/>
        <v>100</v>
      </c>
      <c r="V44" s="770" t="s">
        <v>17</v>
      </c>
      <c r="W44" s="771">
        <f t="shared" si="14"/>
        <v>100</v>
      </c>
      <c r="X44" s="772"/>
      <c r="Y44" s="3246"/>
      <c r="Z44" s="2945">
        <f t="shared" si="15"/>
        <v>111</v>
      </c>
      <c r="AA44" s="773">
        <f t="shared" si="3"/>
        <v>1</v>
      </c>
      <c r="AB44" s="773">
        <f t="shared" si="4"/>
        <v>1</v>
      </c>
      <c r="AC44" s="773">
        <f t="shared" si="5"/>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4"/>
      <c r="Q45" s="2950">
        <f t="shared" si="11"/>
        <v>111</v>
      </c>
      <c r="R45" s="774" t="s">
        <v>17</v>
      </c>
      <c r="S45" s="775">
        <f t="shared" si="12"/>
        <v>100</v>
      </c>
      <c r="T45" s="774" t="s">
        <v>17</v>
      </c>
      <c r="U45" s="775">
        <f t="shared" si="13"/>
        <v>100</v>
      </c>
      <c r="V45" s="774" t="s">
        <v>17</v>
      </c>
      <c r="W45" s="775">
        <f t="shared" si="14"/>
        <v>100</v>
      </c>
      <c r="X45" s="2947"/>
      <c r="Y45" s="3246"/>
      <c r="Z45" s="2948">
        <f t="shared" si="15"/>
        <v>111</v>
      </c>
      <c r="AA45" s="2951">
        <f t="shared" si="3"/>
        <v>1</v>
      </c>
      <c r="AB45" s="2951">
        <f t="shared" si="4"/>
        <v>1</v>
      </c>
      <c r="AC45" s="2951">
        <f t="shared" si="5"/>
        <v>1</v>
      </c>
    </row>
    <row r="46" spans="1:29" ht="15.75" hidden="1"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5"/>
      <c r="Q46" s="2950">
        <f t="shared" si="11"/>
        <v>111</v>
      </c>
      <c r="R46" s="774" t="s">
        <v>17</v>
      </c>
      <c r="S46" s="775">
        <f t="shared" si="12"/>
        <v>100</v>
      </c>
      <c r="T46" s="774" t="s">
        <v>17</v>
      </c>
      <c r="U46" s="775">
        <f t="shared" si="13"/>
        <v>100</v>
      </c>
      <c r="V46" s="774" t="s">
        <v>17</v>
      </c>
      <c r="W46" s="775">
        <f t="shared" si="14"/>
        <v>100</v>
      </c>
      <c r="X46" s="2947"/>
      <c r="Y46" s="3247"/>
      <c r="Z46" s="2948">
        <f t="shared" si="15"/>
        <v>111</v>
      </c>
      <c r="AA46" s="2951">
        <f t="shared" si="3"/>
        <v>1</v>
      </c>
      <c r="AB46" s="2951">
        <f t="shared" si="4"/>
        <v>1</v>
      </c>
      <c r="AC46" s="2951">
        <f t="shared" si="5"/>
        <v>1</v>
      </c>
    </row>
    <row r="47" spans="1:29" ht="15">
      <c r="A47" s="479" t="s">
        <v>2574</v>
      </c>
      <c r="B47" s="480"/>
      <c r="C47" s="1410" t="s">
        <v>1</v>
      </c>
      <c r="D47" s="1411"/>
      <c r="E47" s="1412"/>
      <c r="F47" s="1413"/>
      <c r="G47" s="1414"/>
      <c r="H47" s="1415"/>
      <c r="I47" s="1412"/>
      <c r="J47" s="1415"/>
      <c r="K47" s="783"/>
      <c r="L47" s="1146"/>
      <c r="M47" s="1147"/>
      <c r="N47" s="1134"/>
      <c r="O47" s="1147"/>
      <c r="P47" s="3239" t="str">
        <f>A47</f>
        <v>成交单价（元/平方米）</v>
      </c>
      <c r="Q47" s="3239"/>
      <c r="R47" s="3270">
        <f>E47</f>
        <v>0</v>
      </c>
      <c r="S47" s="3270"/>
      <c r="T47" s="3270">
        <f>G47</f>
        <v>0</v>
      </c>
      <c r="U47" s="3270"/>
      <c r="V47" s="3270">
        <f>I47</f>
        <v>0</v>
      </c>
      <c r="W47" s="3270"/>
      <c r="X47" s="759"/>
      <c r="Y47" s="781"/>
      <c r="Z47" s="759"/>
      <c r="AA47" s="759"/>
      <c r="AB47" s="759"/>
      <c r="AC47" s="759"/>
    </row>
    <row r="48" spans="1:29" ht="15.75" thickBot="1">
      <c r="A48" s="486" t="s">
        <v>2575</v>
      </c>
      <c r="B48" s="487"/>
      <c r="C48" s="1416" t="e">
        <f>R49</f>
        <v>#N/A</v>
      </c>
      <c r="D48" s="1417"/>
      <c r="E48" s="1418" t="e">
        <f>R48</f>
        <v>#N/A</v>
      </c>
      <c r="F48" s="1418"/>
      <c r="G48" s="1416" t="e">
        <f>T48</f>
        <v>#N/A</v>
      </c>
      <c r="H48" s="1417"/>
      <c r="I48" s="1418" t="e">
        <f>V48</f>
        <v>#N/A</v>
      </c>
      <c r="J48" s="1417"/>
      <c r="K48" s="784"/>
      <c r="L48" s="1146"/>
      <c r="M48" s="1147"/>
      <c r="N48" s="1134"/>
      <c r="O48" s="1147"/>
      <c r="P48" s="3239" t="str">
        <f>A48</f>
        <v>比较价值（元/平方米）</v>
      </c>
      <c r="Q48" s="3239"/>
      <c r="R48" s="3240" t="e">
        <f>IF(F1="售价",ROUND(PRODUCT(R47,AA7:AA46),0),ROUND(PRODUCT(R47,AA7:AA46),1))</f>
        <v>#N/A</v>
      </c>
      <c r="S48" s="3240"/>
      <c r="T48" s="3240" t="e">
        <f>IF(F1="售价",ROUND(PRODUCT(T47,AB7:AB46),0),ROUND(PRODUCT(T47,AB7:AB46),1))</f>
        <v>#N/A</v>
      </c>
      <c r="U48" s="3240"/>
      <c r="V48" s="3240" t="e">
        <f>IF(F1="售价",ROUND(PRODUCT(V47,AC7:AC46),0),ROUND(PRODUCT(V47,AC7:AC46),1))</f>
        <v>#N/A</v>
      </c>
      <c r="W48" s="3240"/>
      <c r="X48" s="759"/>
      <c r="Y48" s="759"/>
      <c r="Z48" s="759"/>
      <c r="AA48" s="759"/>
      <c r="AB48" s="759"/>
      <c r="AC48" s="759"/>
    </row>
    <row r="49" spans="1:29" ht="15.75" thickBot="1">
      <c r="A49" s="492" t="s">
        <v>2576</v>
      </c>
      <c r="B49" s="493"/>
      <c r="C49" s="1420" t="e">
        <f>R49</f>
        <v>#N/A</v>
      </c>
      <c r="D49" s="1420"/>
      <c r="E49" s="1420"/>
      <c r="F49" s="1420"/>
      <c r="G49" s="1420"/>
      <c r="H49" s="1420"/>
      <c r="I49" s="1420"/>
      <c r="J49" s="1420"/>
      <c r="K49" s="785"/>
      <c r="L49" s="1146"/>
      <c r="M49" s="1147"/>
      <c r="N49" s="1134"/>
      <c r="O49" s="1147"/>
      <c r="P49" s="3236" t="str">
        <f>A49</f>
        <v>估价对象XX用房的比较价值（楼面单价，元/平方米）</v>
      </c>
      <c r="Q49" s="3237"/>
      <c r="R49" s="3238" t="e">
        <f>IF(F1="售价",ROUND(AVERAGE(R48:V48),0),ROUND(AVERAGE(R48:V48),1))</f>
        <v>#N/A</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2577</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2578</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2580</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t="str">
        <f>C9</f>
        <v>商业</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32"/>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5" priority="16" stopIfTrue="1" operator="containsText" text="超过">
      <formula>NOT(ISERROR(SEARCH("超过",F52)))</formula>
    </cfRule>
  </conditionalFormatting>
  <conditionalFormatting sqref="H54">
    <cfRule type="containsText" dxfId="24" priority="15" stopIfTrue="1" operator="containsText" text="超过">
      <formula>NOT(ISERROR(SEARCH("超过",H54)))</formula>
    </cfRule>
  </conditionalFormatting>
  <conditionalFormatting sqref="F54">
    <cfRule type="containsText" dxfId="23" priority="14" stopIfTrue="1" operator="containsText" text="超过">
      <formula>NOT(ISERROR(SEARCH("超过",F54)))</formula>
    </cfRule>
  </conditionalFormatting>
  <conditionalFormatting sqref="F53 H53">
    <cfRule type="containsText" dxfId="22" priority="13" stopIfTrue="1" operator="containsText" text="超过">
      <formula>NOT(ISERROR(SEARCH("超过",F53)))</formula>
    </cfRule>
  </conditionalFormatting>
  <conditionalFormatting sqref="E52">
    <cfRule type="expression" dxfId="21" priority="12" stopIfTrue="1">
      <formula>$F$52="超过30%"</formula>
    </cfRule>
  </conditionalFormatting>
  <conditionalFormatting sqref="E53">
    <cfRule type="expression" dxfId="20" priority="11" stopIfTrue="1">
      <formula>$F$53="超过20%"</formula>
    </cfRule>
  </conditionalFormatting>
  <conditionalFormatting sqref="E54">
    <cfRule type="expression" dxfId="19" priority="10" stopIfTrue="1">
      <formula>$F$54="超过30%"</formula>
    </cfRule>
  </conditionalFormatting>
  <conditionalFormatting sqref="G54">
    <cfRule type="expression" dxfId="18" priority="9" stopIfTrue="1">
      <formula>$H$54="超过30%"</formula>
    </cfRule>
  </conditionalFormatting>
  <conditionalFormatting sqref="G52">
    <cfRule type="expression" dxfId="17" priority="8" stopIfTrue="1">
      <formula>$H$52="超过30%"</formula>
    </cfRule>
  </conditionalFormatting>
  <conditionalFormatting sqref="G53">
    <cfRule type="expression" dxfId="16" priority="7" stopIfTrue="1">
      <formula>$H$53="超过20%"</formula>
    </cfRule>
  </conditionalFormatting>
  <conditionalFormatting sqref="J52">
    <cfRule type="containsText" dxfId="15" priority="6" stopIfTrue="1" operator="containsText" text="超过">
      <formula>NOT(ISERROR(SEARCH("超过",J52)))</formula>
    </cfRule>
  </conditionalFormatting>
  <conditionalFormatting sqref="J54">
    <cfRule type="containsText" dxfId="14" priority="5" stopIfTrue="1" operator="containsText" text="超过">
      <formula>NOT(ISERROR(SEARCH("超过",J54)))</formula>
    </cfRule>
  </conditionalFormatting>
  <conditionalFormatting sqref="J53">
    <cfRule type="containsText" dxfId="13" priority="4" stopIfTrue="1" operator="containsText" text="超过">
      <formula>NOT(ISERROR(SEARCH("超过",J53)))</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K41" sqref="K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1377</v>
      </c>
      <c r="D1" s="1823" t="s">
        <v>70</v>
      </c>
      <c r="E1" s="1824" t="s">
        <v>1387</v>
      </c>
      <c r="F1" s="1286">
        <f ca="1">J53</f>
        <v>32.56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3976</v>
      </c>
      <c r="C2" s="1848" t="s">
        <v>1515</v>
      </c>
      <c r="D2" s="1848"/>
      <c r="E2" s="1849"/>
      <c r="F2" s="1850"/>
      <c r="G2" s="1851"/>
      <c r="H2" s="1843"/>
      <c r="I2" s="1843"/>
      <c r="J2" s="1843"/>
      <c r="K2" s="1844"/>
      <c r="L2" s="1843"/>
      <c r="M2" s="1843"/>
    </row>
    <row r="3" spans="1:37" ht="18" customHeight="1" thickBot="1">
      <c r="A3" s="1852" t="s">
        <v>1516</v>
      </c>
      <c r="B3" s="1853">
        <f ca="1">IF(ISERROR(B2*10000/F43),0,ROUND(B2*10000/F43,0))</f>
        <v>28426</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277</v>
      </c>
      <c r="D5" s="1825" t="s">
        <v>1402</v>
      </c>
      <c r="E5" s="1296"/>
      <c r="F5" s="1297"/>
      <c r="G5" s="1854"/>
      <c r="H5" s="344">
        <v>1</v>
      </c>
      <c r="I5" s="345" t="s">
        <v>1401</v>
      </c>
      <c r="J5" s="1295">
        <f ca="1">J6+J10+J12</f>
        <v>281</v>
      </c>
      <c r="K5" s="1825" t="s">
        <v>1402</v>
      </c>
      <c r="L5" s="1296"/>
      <c r="M5" s="1297"/>
    </row>
    <row r="6" spans="1:37" ht="18" customHeight="1">
      <c r="A6" s="1294" t="s">
        <v>1035</v>
      </c>
      <c r="B6" s="3209" t="s">
        <v>1403</v>
      </c>
      <c r="C6" s="1299">
        <f ca="1">ROUND(F6*F8*F7*(1-F9)/10000,0)</f>
        <v>277</v>
      </c>
      <c r="D6" s="164" t="s">
        <v>3029</v>
      </c>
      <c r="E6" s="347" t="s">
        <v>1405</v>
      </c>
      <c r="F6" s="348">
        <f ca="1">INDIRECT("'数据-取费表'!u"&amp;$G$1)</f>
        <v>5.43</v>
      </c>
      <c r="G6" s="1854"/>
      <c r="H6" s="1294" t="s">
        <v>1035</v>
      </c>
      <c r="I6" s="3209" t="s">
        <v>1403</v>
      </c>
      <c r="J6" s="346">
        <f ca="1">ROUND(M6*M8*M7*(1-M9)/10000,0)</f>
        <v>281</v>
      </c>
      <c r="K6" s="164" t="s">
        <v>3028</v>
      </c>
      <c r="L6" s="347" t="s">
        <v>1405</v>
      </c>
      <c r="M6" s="348">
        <f ca="1">INDIRECT("'数据-取费表'!z"&amp;$G$1)</f>
        <v>6.11</v>
      </c>
    </row>
    <row r="7" spans="1:37" ht="18" customHeight="1">
      <c r="A7" s="1298"/>
      <c r="B7" s="3210"/>
      <c r="C7" s="1300"/>
      <c r="D7" s="352"/>
      <c r="E7" s="1301" t="s">
        <v>1406</v>
      </c>
      <c r="F7" s="348">
        <f ca="1">IF(INDIRECT("'数据-取费表'!ah"&amp;$G$1)="",INDIRECT("'数据-取费表'!k"&amp;$G$1),INDIRECT("'数据-取费表'!ah"&amp;$G$1))</f>
        <v>1398.7300000000002</v>
      </c>
      <c r="G7" s="1854"/>
      <c r="H7" s="349"/>
      <c r="I7" s="3210"/>
      <c r="J7" s="351"/>
      <c r="K7" s="352"/>
      <c r="L7" s="347" t="s">
        <v>1406</v>
      </c>
      <c r="M7" s="348">
        <f ca="1">F7</f>
        <v>1398.7300000000002</v>
      </c>
    </row>
    <row r="8" spans="1:37" ht="18" customHeight="1">
      <c r="A8" s="349"/>
      <c r="B8" s="3210"/>
      <c r="C8" s="351"/>
      <c r="D8" s="352"/>
      <c r="E8" s="347" t="s">
        <v>1407</v>
      </c>
      <c r="F8" s="348">
        <f ca="1">INDIRECT("'数据-取费表'!ai"&amp;$G$1)</f>
        <v>365</v>
      </c>
      <c r="G8" s="1854"/>
      <c r="H8" s="349"/>
      <c r="I8" s="3210"/>
      <c r="J8" s="351"/>
      <c r="K8" s="352"/>
      <c r="L8" s="347" t="s">
        <v>1407</v>
      </c>
      <c r="M8" s="348">
        <f ca="1">INDIRECT("'数据-取费表'!ai"&amp;$G$1)</f>
        <v>365</v>
      </c>
    </row>
    <row r="9" spans="1:37" ht="18" customHeight="1">
      <c r="A9" s="349"/>
      <c r="B9" s="3211"/>
      <c r="C9" s="351"/>
      <c r="D9" s="352"/>
      <c r="E9" s="347" t="s">
        <v>1408</v>
      </c>
      <c r="F9" s="357">
        <f ca="1">INDIRECT("'数据-取费表'!w"&amp;$G$1)</f>
        <v>0</v>
      </c>
      <c r="G9" s="1854"/>
      <c r="H9" s="349"/>
      <c r="I9" s="3211"/>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3038</v>
      </c>
      <c r="E10" s="358" t="s">
        <v>1410</v>
      </c>
      <c r="F10" s="1369" t="s">
        <v>3186</v>
      </c>
      <c r="G10" s="1854"/>
      <c r="H10" s="1294" t="s">
        <v>1039</v>
      </c>
      <c r="I10" s="1826" t="s">
        <v>1409</v>
      </c>
      <c r="J10" s="346">
        <f ca="1">ROUND(IF(M10="押一",J6/12*M11,IF(M10="押二",J6/12*2*M11,IF(M10="押三",J6/12*3*M11,J11*M11))),0)</f>
        <v>0</v>
      </c>
      <c r="K10" s="1827" t="s">
        <v>3037</v>
      </c>
      <c r="L10" s="358" t="s">
        <v>1410</v>
      </c>
      <c r="M10" s="1369" t="s">
        <v>3186</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551</v>
      </c>
      <c r="D13" s="1334" t="s">
        <v>1414</v>
      </c>
      <c r="E13" s="1334" t="s">
        <v>1415</v>
      </c>
      <c r="F13" s="1335">
        <f ca="1">INDIRECT("'数据-取费表'!y"&amp;$G$1)</f>
        <v>0.93</v>
      </c>
      <c r="G13" s="1854"/>
      <c r="H13" s="1332">
        <v>2</v>
      </c>
      <c r="I13" s="1333" t="s">
        <v>1413</v>
      </c>
      <c r="J13" s="1293">
        <f ca="1">ROUND(J14*J15,0)</f>
        <v>521</v>
      </c>
      <c r="K13" s="1340" t="s">
        <v>1414</v>
      </c>
      <c r="L13" s="1855"/>
      <c r="M13" s="1856"/>
    </row>
    <row r="14" spans="1:37" ht="18" customHeight="1">
      <c r="A14" s="1204" t="s">
        <v>1034</v>
      </c>
      <c r="B14" s="347" t="s">
        <v>1416</v>
      </c>
      <c r="C14" s="363">
        <f ca="1">INDIRECT("'数据-取费表'!m"&amp;$G$1)+INDIRECT("'数据-取费表'!t"&amp;$G$1)</f>
        <v>392</v>
      </c>
      <c r="D14" s="1803" t="s">
        <v>1417</v>
      </c>
      <c r="E14" s="1797"/>
      <c r="F14" s="364"/>
      <c r="G14" s="1854"/>
      <c r="H14" s="1204" t="s">
        <v>1035</v>
      </c>
      <c r="I14" s="347" t="s">
        <v>1418</v>
      </c>
      <c r="J14" s="24">
        <f ca="1">C29</f>
        <v>592</v>
      </c>
      <c r="K14" s="15"/>
      <c r="L14" s="982"/>
      <c r="M14" s="983"/>
    </row>
    <row r="15" spans="1:37" s="1861" customFormat="1" ht="18" customHeight="1" thickBot="1">
      <c r="A15" s="1204" t="s">
        <v>1036</v>
      </c>
      <c r="B15" s="347" t="s">
        <v>1419</v>
      </c>
      <c r="C15" s="24">
        <f ca="1">ROUND(C14*F15,0)</f>
        <v>12</v>
      </c>
      <c r="D15" s="365" t="s">
        <v>1420</v>
      </c>
      <c r="E15" s="365" t="s">
        <v>1421</v>
      </c>
      <c r="F15" s="366">
        <f>'数据-取费表'!B33</f>
        <v>0.03</v>
      </c>
      <c r="G15" s="1857"/>
      <c r="H15" s="1342" t="s">
        <v>1039</v>
      </c>
      <c r="I15" s="1343" t="s">
        <v>1415</v>
      </c>
      <c r="J15" s="1352">
        <f ca="1">INDIRECT("'数据-取费表'!ad"&amp;$G$1)</f>
        <v>0.88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64</v>
      </c>
      <c r="K16" s="1340" t="s">
        <v>1424</v>
      </c>
      <c r="L16" s="1341"/>
      <c r="M16" s="1297"/>
    </row>
    <row r="17" spans="1:37" s="1861" customFormat="1" ht="18" customHeight="1">
      <c r="A17" s="1204" t="s">
        <v>1390</v>
      </c>
      <c r="B17" s="347" t="s">
        <v>1425</v>
      </c>
      <c r="C17" s="24">
        <f ca="1">ROUND(F17*(F43+INDIRECT("'数据-取费表'!S"&amp;$G$1))/10000,0)</f>
        <v>28</v>
      </c>
      <c r="D17" s="347" t="s">
        <v>1426</v>
      </c>
      <c r="E17" s="347" t="s">
        <v>1427</v>
      </c>
      <c r="F17" s="26">
        <f>'数据-取费表'!B35</f>
        <v>200</v>
      </c>
      <c r="G17" s="1857"/>
      <c r="H17" s="1204" t="s">
        <v>1035</v>
      </c>
      <c r="I17" s="347" t="s">
        <v>1428</v>
      </c>
      <c r="J17" s="24">
        <f ca="1">ROUND(IF(项目基本情况!B11="自然人",J5*M17,J18+J19+J20),1)</f>
        <v>49.1</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6</v>
      </c>
      <c r="D18" s="347" t="s">
        <v>1420</v>
      </c>
      <c r="E18" s="347" t="s">
        <v>1421</v>
      </c>
      <c r="F18" s="367">
        <f>'数据-取费表'!B36</f>
        <v>1.4999999999999999E-2</v>
      </c>
      <c r="G18" s="1857"/>
      <c r="H18" s="1204" t="s">
        <v>1034</v>
      </c>
      <c r="I18" s="347" t="s">
        <v>1432</v>
      </c>
      <c r="J18" s="24">
        <f ca="1">ROUND(J5*M18/(1+'数据-取费表'!C42),2)</f>
        <v>14.99</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438</v>
      </c>
      <c r="D19" s="140" t="s">
        <v>1435</v>
      </c>
      <c r="E19" s="1821"/>
      <c r="F19" s="26"/>
      <c r="G19" s="1854"/>
      <c r="H19" s="1204" t="s">
        <v>1036</v>
      </c>
      <c r="I19" s="347" t="s">
        <v>1436</v>
      </c>
      <c r="J19" s="24">
        <f ca="1">IF(K19="按租金收入计税",ROUND(J5*M19,2),ROUND(C29*M19*0.7,2))</f>
        <v>33.72</v>
      </c>
      <c r="K19" s="1831" t="s">
        <v>3185</v>
      </c>
      <c r="L19" s="347" t="s">
        <v>1421</v>
      </c>
      <c r="M19" s="367">
        <f>IF(K19="按租金收入计税",'数据-取费表'!B51,'数据-取费表'!B50)</f>
        <v>0.12</v>
      </c>
    </row>
    <row r="20" spans="1:37" s="1861" customFormat="1" ht="18" customHeight="1">
      <c r="A20" s="1204" t="s">
        <v>1039</v>
      </c>
      <c r="B20" s="347" t="s">
        <v>1438</v>
      </c>
      <c r="C20" s="24">
        <f ca="1">ROUND(C19*F20,0)</f>
        <v>9</v>
      </c>
      <c r="D20" s="369" t="s">
        <v>1439</v>
      </c>
      <c r="E20" s="347" t="s">
        <v>1421</v>
      </c>
      <c r="F20" s="367">
        <f>'数据-取费表'!B37</f>
        <v>0.02</v>
      </c>
      <c r="G20" s="1857"/>
      <c r="H20" s="1204" t="s">
        <v>1389</v>
      </c>
      <c r="I20" s="164" t="s">
        <v>1440</v>
      </c>
      <c r="J20" s="25">
        <f ca="1">ROUND(M20*M21/10000,2)</f>
        <v>0.38</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1281.4000000000001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8.9</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0.8</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ROUND(J5*M24,1)</f>
        <v>5.6</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217</v>
      </c>
      <c r="K25" s="1348" t="s">
        <v>1463</v>
      </c>
      <c r="L25" s="1349"/>
      <c r="M25" s="1350"/>
    </row>
    <row r="26" spans="1:37">
      <c r="A26" s="1204" t="s">
        <v>1034</v>
      </c>
      <c r="B26" s="347" t="s">
        <v>1464</v>
      </c>
      <c r="C26" s="24">
        <f ca="1">ROUND((C19+C20)*F26,0)</f>
        <v>89</v>
      </c>
      <c r="D26" s="369" t="s">
        <v>1465</v>
      </c>
      <c r="E26" s="358" t="s">
        <v>1466</v>
      </c>
      <c r="F26" s="357">
        <f ca="1">INDIRECT("'数据-取费表'!q"&amp;$G$1)</f>
        <v>0.2</v>
      </c>
      <c r="G26" s="1854"/>
      <c r="H26" s="344" t="s">
        <v>1032</v>
      </c>
      <c r="I26" s="345" t="s">
        <v>1467</v>
      </c>
      <c r="J26" s="346">
        <f ca="1">IF(J5&lt;&gt;0,ROUND(J25*(1-((1+M28)/(1+M26))^M27)/(M26-M28),0),0)</f>
        <v>4001</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25.770000000000003</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592</v>
      </c>
      <c r="D29" s="1345"/>
      <c r="E29" s="1343"/>
      <c r="F29" s="1346"/>
      <c r="G29" s="1857"/>
      <c r="H29" s="380" t="s">
        <v>1033</v>
      </c>
      <c r="I29" s="381" t="s">
        <v>1478</v>
      </c>
      <c r="J29" s="382">
        <f ca="1">ROUND(J26/(1+F40)^F41,0)</f>
        <v>2782</v>
      </c>
      <c r="K29" s="383" t="s">
        <v>1479</v>
      </c>
      <c r="L29" s="384"/>
      <c r="M29" s="385">
        <f ca="1">INDIRECT("'数据-取费表'!k"&amp;$G$1)</f>
        <v>1398.7300000000002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64</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48.4</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14.77</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33.24</v>
      </c>
      <c r="D33" s="1831" t="s">
        <v>3185</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0.38</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1281.4000000000001</v>
      </c>
      <c r="G35" s="1854"/>
      <c r="H35" s="745"/>
      <c r="I35" s="1863"/>
      <c r="J35" s="1864"/>
      <c r="K35" s="1865"/>
      <c r="L35" s="1862"/>
      <c r="M35" s="1862"/>
    </row>
    <row r="36" spans="1:18" ht="18" customHeight="1">
      <c r="A36" s="1355" t="s">
        <v>1039</v>
      </c>
      <c r="B36" s="347" t="s">
        <v>1448</v>
      </c>
      <c r="C36" s="24">
        <f ca="1">ROUND(C29*F36,1)</f>
        <v>8.9</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0.8</v>
      </c>
      <c r="D37" s="1801" t="s">
        <v>1453</v>
      </c>
      <c r="E37" s="347" t="s">
        <v>1454</v>
      </c>
      <c r="F37" s="376">
        <f ca="1">INDIRECT("'数据-取费表'!Al"&amp;$G$1)</f>
        <v>1.5E-3</v>
      </c>
      <c r="G37" s="1854"/>
      <c r="H37" s="1862"/>
      <c r="I37" s="1863"/>
      <c r="J37" s="1864"/>
      <c r="K37" s="751"/>
      <c r="L37" s="1862"/>
      <c r="M37" s="1862"/>
    </row>
    <row r="38" spans="1:18" ht="18" customHeight="1" thickBot="1">
      <c r="A38" s="1342" t="s">
        <v>1393</v>
      </c>
      <c r="B38" s="1343" t="s">
        <v>1438</v>
      </c>
      <c r="C38" s="1344">
        <f ca="1">ROUND(C5*F38,1)</f>
        <v>5.5</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213</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1180</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6.79</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8436</v>
      </c>
      <c r="D43" s="383" t="s">
        <v>1487</v>
      </c>
      <c r="E43" s="384" t="s">
        <v>1488</v>
      </c>
      <c r="F43" s="385">
        <f ca="1">INDIRECT("'数据-取费表'!k"&amp;$G$1)</f>
        <v>1398.7300000000002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-332</v>
      </c>
      <c r="D46" s="1875" t="str">
        <f>C2</f>
        <v>万元</v>
      </c>
      <c r="E46" s="1869"/>
      <c r="F46" s="1869"/>
      <c r="I46" s="1876" t="s">
        <v>1520</v>
      </c>
      <c r="J46" s="1877"/>
      <c r="K46" s="1878"/>
      <c r="L46" s="1879">
        <f ca="1">IF(M47="住宅",0,IF(L48&gt;J51,L60,J60))</f>
        <v>14</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3183</v>
      </c>
      <c r="K47" s="1885" t="s">
        <v>1526</v>
      </c>
      <c r="L47" s="1886">
        <f ca="1">INDIRECT("'数据-取费表'!d"&amp;$G$1)</f>
        <v>40</v>
      </c>
      <c r="M47" s="1841" t="str">
        <f>IF(ISNUMBER(FIND("住宅",C1)),"住宅","非住宅")</f>
        <v>非住宅</v>
      </c>
      <c r="O47" s="1887" t="s">
        <v>1040</v>
      </c>
      <c r="P47" s="1888" t="s">
        <v>1527</v>
      </c>
      <c r="Q47" s="1889">
        <f ca="1">C40+J29</f>
        <v>3962</v>
      </c>
      <c r="R47" s="1889" t="s">
        <v>1528</v>
      </c>
    </row>
    <row r="48" spans="1:18" s="1845" customFormat="1" ht="28.5" thickBot="1">
      <c r="A48" s="1363" t="s">
        <v>1135</v>
      </c>
      <c r="B48" s="345" t="s">
        <v>1401</v>
      </c>
      <c r="C48" s="1820">
        <f ca="1">C49+C53+C55</f>
        <v>230</v>
      </c>
      <c r="D48" s="1365"/>
      <c r="E48" s="1366"/>
      <c r="F48" s="1184"/>
      <c r="G48" s="792"/>
      <c r="H48" s="793"/>
      <c r="I48" s="1890" t="s">
        <v>1529</v>
      </c>
      <c r="J48" s="1891" t="s">
        <v>3184</v>
      </c>
      <c r="K48" s="1892" t="s">
        <v>1530</v>
      </c>
      <c r="L48" s="1893">
        <f ca="1">INDIRECT("'数据-取费表'!f"&amp;$G$1)</f>
        <v>32.56</v>
      </c>
      <c r="O48" s="1887" t="s">
        <v>1041</v>
      </c>
      <c r="P48" s="1888" t="s">
        <v>1531</v>
      </c>
      <c r="Q48" s="1889">
        <f ca="1">J60</f>
        <v>14</v>
      </c>
      <c r="R48" s="1889" t="s">
        <v>1532</v>
      </c>
    </row>
    <row r="49" spans="1:18" s="1845" customFormat="1" ht="13.5" thickBot="1">
      <c r="A49" s="1197" t="s">
        <v>1136</v>
      </c>
      <c r="B49" s="1832" t="s">
        <v>1489</v>
      </c>
      <c r="C49" s="1367">
        <f ca="1">ROUND(F49*F51*F50*(1-F52)/10000,0)</f>
        <v>230</v>
      </c>
      <c r="D49" s="1279" t="s">
        <v>3030</v>
      </c>
      <c r="E49" s="1833" t="s">
        <v>1490</v>
      </c>
      <c r="F49" s="1284">
        <v>5</v>
      </c>
      <c r="G49" s="1894"/>
      <c r="H49" s="793"/>
      <c r="I49" s="1890" t="s">
        <v>1533</v>
      </c>
      <c r="J49" s="1895">
        <v>2014</v>
      </c>
      <c r="K49" s="1892" t="s">
        <v>1534</v>
      </c>
      <c r="L49" s="1896"/>
      <c r="O49" s="1897" t="s">
        <v>1042</v>
      </c>
      <c r="P49" s="1888" t="s">
        <v>1535</v>
      </c>
      <c r="Q49" s="1889">
        <f ca="1">C29</f>
        <v>592</v>
      </c>
      <c r="R49" s="1889" t="s">
        <v>1528</v>
      </c>
    </row>
    <row r="50" spans="1:18" s="1845" customFormat="1" ht="13.5" thickBot="1">
      <c r="A50" s="1198"/>
      <c r="B50" s="1201"/>
      <c r="C50" s="1371"/>
      <c r="D50" s="1175"/>
      <c r="E50" s="1280" t="s">
        <v>1406</v>
      </c>
      <c r="F50" s="1281">
        <f ca="1">F7</f>
        <v>1398.7300000000002</v>
      </c>
      <c r="H50" s="793"/>
      <c r="I50" s="1890" t="s">
        <v>1536</v>
      </c>
      <c r="J50" s="1898">
        <f>SUMPRODUCT((I63:I65=J47)*(J62:L62=J48)*(J63:L65))</f>
        <v>60</v>
      </c>
      <c r="K50" s="1892" t="s">
        <v>1537</v>
      </c>
      <c r="L50" s="1896"/>
      <c r="M50" s="1899"/>
      <c r="O50" s="1897" t="s">
        <v>1043</v>
      </c>
      <c r="P50" s="1888" t="s">
        <v>1538</v>
      </c>
      <c r="Q50" s="1900">
        <f ca="1">J58</f>
        <v>0.4</v>
      </c>
      <c r="R50" s="1889"/>
    </row>
    <row r="51" spans="1:18" s="1845" customFormat="1" ht="13.5" thickBot="1">
      <c r="A51" s="1199"/>
      <c r="B51" s="1201"/>
      <c r="C51" s="1202"/>
      <c r="D51" s="1175"/>
      <c r="E51" s="1203" t="s">
        <v>1407</v>
      </c>
      <c r="F51" s="348">
        <f ca="1">F8</f>
        <v>365</v>
      </c>
      <c r="I51" s="1901" t="s">
        <v>1539</v>
      </c>
      <c r="J51" s="1902">
        <f>IF(J49="",J50,J49+J50-YEAR('数据-取费表'!B2))</f>
        <v>56</v>
      </c>
      <c r="K51" s="1903" t="s">
        <v>1540</v>
      </c>
      <c r="L51" s="1904">
        <f ca="1">ROUND(-PV(INDIRECT("'数据-取费表'!h"&amp;$G$1),L48,(C39-C13*C76),0),0)</f>
        <v>2645</v>
      </c>
      <c r="M51" s="1905"/>
      <c r="O51" s="1897" t="s">
        <v>1044</v>
      </c>
      <c r="P51" s="1888" t="s">
        <v>1541</v>
      </c>
      <c r="Q51" s="1900">
        <f>J52</f>
        <v>0.09</v>
      </c>
      <c r="R51" s="1889"/>
    </row>
    <row r="52" spans="1:18" s="1845" customFormat="1" ht="13.5" thickBot="1">
      <c r="A52" s="1199"/>
      <c r="B52" s="1201"/>
      <c r="C52" s="1202"/>
      <c r="D52" s="1175"/>
      <c r="E52" s="1203" t="s">
        <v>1408</v>
      </c>
      <c r="F52" s="1278">
        <v>0.1</v>
      </c>
      <c r="I52" s="1906" t="s">
        <v>1542</v>
      </c>
      <c r="J52" s="1907">
        <v>0.09</v>
      </c>
      <c r="K52" s="1906" t="s">
        <v>1543</v>
      </c>
      <c r="L52" s="1907"/>
      <c r="O52" s="1897" t="s">
        <v>1045</v>
      </c>
      <c r="P52" s="1888" t="s">
        <v>1544</v>
      </c>
      <c r="Q52" s="1889">
        <f ca="1">J53</f>
        <v>32.56</v>
      </c>
      <c r="R52" s="1889" t="s">
        <v>1545</v>
      </c>
    </row>
    <row r="53" spans="1:18" s="1845" customFormat="1" ht="24.75" thickBot="1">
      <c r="A53" s="1408" t="s">
        <v>1137</v>
      </c>
      <c r="B53" s="1834" t="s">
        <v>1409</v>
      </c>
      <c r="C53" s="361">
        <f ca="1">ROUND(IF(F53="押一",C49/12*F11,IF(F53="押二",C49/12*2*F11,IF(F53="押三",C49/12*3*F11,C54*F11))),0)</f>
        <v>0</v>
      </c>
      <c r="D53" s="1827" t="s">
        <v>3037</v>
      </c>
      <c r="E53" s="358" t="s">
        <v>1410</v>
      </c>
      <c r="F53" s="1369" t="s">
        <v>3186</v>
      </c>
      <c r="I53" s="1908" t="s">
        <v>1546</v>
      </c>
      <c r="J53" s="1909">
        <f ca="1">IF(M47="住宅",IF(D1="——",MAX(J51,L48),IF(D1="在建（套用方法）",MAX(J51,L48-'数据-取费表'!B24),MAX(J51,L48-'数据-取费表'!B20))),IF(D1="——",MIN(J51,L48),IF(D1="在建（套用方法）",MIN(J51,L48-'数据-取费表'!B24),IF(D1="土地（套用方法）",MIN(J51,L48-'数据-取费表'!B20)))))</f>
        <v>32.56</v>
      </c>
      <c r="K53" s="3212" t="s">
        <v>1547</v>
      </c>
      <c r="L53" s="3213"/>
      <c r="O53" s="1887" t="s">
        <v>1046</v>
      </c>
      <c r="P53" s="1888" t="s">
        <v>1548</v>
      </c>
      <c r="Q53" s="1889">
        <f ca="1">Q47+Q48</f>
        <v>3976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0.39100000000000001</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551</v>
      </c>
      <c r="D56" s="1917"/>
      <c r="E56" s="1918"/>
      <c r="F56" s="1910"/>
      <c r="I56" s="1919" t="s">
        <v>1553</v>
      </c>
      <c r="J56" s="1920" t="s">
        <v>3058</v>
      </c>
      <c r="K56" s="1890" t="s">
        <v>1554</v>
      </c>
      <c r="L56" s="1893" t="str">
        <f ca="1">IF(L48&lt;J51,"——",L48-J53)</f>
        <v>——</v>
      </c>
      <c r="O56" s="1887" t="s">
        <v>1040</v>
      </c>
      <c r="P56" s="1888" t="s">
        <v>1527</v>
      </c>
      <c r="Q56" s="1889">
        <f ca="1">C40+J29</f>
        <v>3962</v>
      </c>
      <c r="R56" s="1889" t="s">
        <v>1528</v>
      </c>
    </row>
    <row r="57" spans="1:18" s="1845" customFormat="1" ht="24.75" thickBot="1">
      <c r="A57" s="1921"/>
      <c r="B57" s="1172" t="s">
        <v>1477</v>
      </c>
      <c r="C57" s="282">
        <f ca="1">C29</f>
        <v>592</v>
      </c>
      <c r="D57" s="1922"/>
      <c r="E57" s="1923"/>
      <c r="F57" s="1924"/>
      <c r="I57" s="1925" t="s">
        <v>1555</v>
      </c>
      <c r="J57" s="1926">
        <f ca="1">IF(OR(M47="住宅",J51&lt;L48,J56="是"),"——",J51-L48)</f>
        <v>23.439999999999998</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77</v>
      </c>
      <c r="D58" s="1182" t="s">
        <v>1424</v>
      </c>
      <c r="E58" s="1183"/>
      <c r="F58" s="1184"/>
      <c r="I58" s="1925" t="s">
        <v>1559</v>
      </c>
      <c r="J58" s="1927">
        <f ca="1">IF(J55&lt;0.4,0.4,J55)</f>
        <v>0.4</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62.4</v>
      </c>
      <c r="D59" s="1185" t="s">
        <v>1429</v>
      </c>
      <c r="E59" s="1186" t="s">
        <v>1430</v>
      </c>
      <c r="F59" s="368" t="str">
        <f ca="1">IF(项目基本情况!B11="企业","",IF(INDIRECT("'数据-取费表'!c"&amp;$G$1)="住宅",5%,IF(F49*F50*F51/12/(1+'数据-取费表'!C42)&gt;20000,12%,7%)))</f>
        <v/>
      </c>
      <c r="I59" s="1925" t="s">
        <v>1562</v>
      </c>
      <c r="J59" s="1926">
        <f ca="1">IF(OR(M47="住宅",J51&lt;L48,J56="是"),"——",ROUND(C29*J58,0))</f>
        <v>237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12.27</v>
      </c>
      <c r="D60" s="1186" t="s">
        <v>1433</v>
      </c>
      <c r="E60" s="1172" t="s">
        <v>1421</v>
      </c>
      <c r="F60" s="377">
        <f t="shared" ref="F60:F66" si="0">F32</f>
        <v>5.6000000000000001E-2</v>
      </c>
      <c r="I60" s="1928" t="s">
        <v>1564</v>
      </c>
      <c r="J60" s="1929">
        <f ca="1">IF(OR(M47="住宅",J51&lt;L48,J56="是"),"0",ROUND(J59/(1+J52)^J53,0))</f>
        <v>14</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49.73</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0.38</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3962</v>
      </c>
      <c r="R62" s="1889" t="s">
        <v>1047</v>
      </c>
    </row>
    <row r="63" spans="1:18" s="1845" customFormat="1" ht="13.5" thickBot="1">
      <c r="A63" s="372"/>
      <c r="B63" s="1178"/>
      <c r="C63" s="29"/>
      <c r="D63" s="1188"/>
      <c r="E63" s="1172" t="s">
        <v>1498</v>
      </c>
      <c r="F63" s="348">
        <f t="shared" ca="1" si="0"/>
        <v>1281.4000000000001</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8.9</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0.8</v>
      </c>
      <c r="D65" s="1186" t="s">
        <v>1453</v>
      </c>
      <c r="E65" s="1172" t="s">
        <v>1454</v>
      </c>
      <c r="F65" s="376">
        <f t="shared" ca="1" si="0"/>
        <v>1.5E-3</v>
      </c>
      <c r="I65" s="1932" t="s">
        <v>1578</v>
      </c>
      <c r="J65" s="1933">
        <v>40</v>
      </c>
      <c r="K65" s="1933">
        <v>30</v>
      </c>
      <c r="L65" s="1933">
        <v>50</v>
      </c>
      <c r="M65" s="1935">
        <v>0.02</v>
      </c>
      <c r="O65" s="1887" t="s">
        <v>1040</v>
      </c>
      <c r="P65" s="1888" t="s">
        <v>1579</v>
      </c>
      <c r="Q65" s="1889">
        <f ca="1">C40+J29</f>
        <v>3962</v>
      </c>
      <c r="R65" s="1889" t="s">
        <v>1528</v>
      </c>
    </row>
    <row r="66" spans="1:18" s="1845" customFormat="1" ht="16.5" thickBot="1">
      <c r="A66" s="1204" t="s">
        <v>1503</v>
      </c>
      <c r="B66" s="1172" t="s">
        <v>1438</v>
      </c>
      <c r="C66" s="24">
        <f ca="1">ROUND(C48*F66,1)</f>
        <v>4.5999999999999996</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153</v>
      </c>
      <c r="D67" s="1185" t="s">
        <v>1463</v>
      </c>
      <c r="E67" s="1190"/>
      <c r="F67" s="1191"/>
      <c r="O67" s="1897" t="s">
        <v>1042</v>
      </c>
      <c r="P67" s="1888" t="s">
        <v>1561</v>
      </c>
      <c r="Q67" s="1936">
        <f ca="1">L51</f>
        <v>2645</v>
      </c>
      <c r="R67" s="1889" t="s">
        <v>1581</v>
      </c>
    </row>
    <row r="68" spans="1:18" s="1845" customFormat="1" ht="16.5" thickBot="1">
      <c r="A68" s="1169" t="s">
        <v>1032</v>
      </c>
      <c r="B68" s="1170" t="s">
        <v>1484</v>
      </c>
      <c r="C68" s="346">
        <f ca="1">ROUND(C67*(1-((1+F70)/(1+F68))^F69)/(F68-F70),0)</f>
        <v>848</v>
      </c>
      <c r="D68" s="1187" t="s">
        <v>1468</v>
      </c>
      <c r="E68" s="1172" t="s">
        <v>1469</v>
      </c>
      <c r="F68" s="357">
        <f ca="1">F40</f>
        <v>5.5E-2</v>
      </c>
      <c r="O68" s="1897" t="s">
        <v>1043</v>
      </c>
      <c r="P68" s="1937" t="s">
        <v>1582</v>
      </c>
      <c r="Q68" s="1889">
        <f ca="1">ROUND(Q69-Q70*Q71,0)</f>
        <v>166</v>
      </c>
      <c r="R68" s="1889" t="s">
        <v>1051</v>
      </c>
    </row>
    <row r="69" spans="1:18" s="1845" customFormat="1" ht="13.5" thickBot="1">
      <c r="A69" s="1173"/>
      <c r="B69" s="1174"/>
      <c r="C69" s="351"/>
      <c r="D69" s="1192" t="s">
        <v>1472</v>
      </c>
      <c r="E69" s="1172" t="s">
        <v>1473</v>
      </c>
      <c r="F69" s="379">
        <f ca="1">F41</f>
        <v>6.79</v>
      </c>
      <c r="O69" s="1897" t="s">
        <v>1048</v>
      </c>
      <c r="P69" s="1937" t="s">
        <v>1583</v>
      </c>
      <c r="Q69" s="1889">
        <f ca="1">C39</f>
        <v>213</v>
      </c>
      <c r="R69" s="1889" t="s">
        <v>1528</v>
      </c>
    </row>
    <row r="70" spans="1:18" s="1845" customFormat="1" ht="13.5" thickBot="1">
      <c r="A70" s="1176"/>
      <c r="B70" s="1177"/>
      <c r="C70" s="355"/>
      <c r="D70" s="1188"/>
      <c r="E70" s="1172" t="s">
        <v>1476</v>
      </c>
      <c r="F70" s="1278"/>
      <c r="O70" s="1897" t="s">
        <v>1049</v>
      </c>
      <c r="P70" s="1937" t="s">
        <v>1584</v>
      </c>
      <c r="Q70" s="1889">
        <f ca="1">C13</f>
        <v>551</v>
      </c>
      <c r="R70" s="1889" t="s">
        <v>1528</v>
      </c>
    </row>
    <row r="71" spans="1:18" s="1845" customFormat="1" ht="13.5" thickBot="1">
      <c r="A71" s="1193" t="s">
        <v>1033</v>
      </c>
      <c r="B71" s="1194" t="s">
        <v>1486</v>
      </c>
      <c r="C71" s="382">
        <f ca="1">ROUND(C68*10000/F71,0)</f>
        <v>6063</v>
      </c>
      <c r="D71" s="1195" t="s">
        <v>1487</v>
      </c>
      <c r="E71" s="1196" t="s">
        <v>1488</v>
      </c>
      <c r="F71" s="385">
        <f ca="1">F43</f>
        <v>1398.7300000000002</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47</v>
      </c>
      <c r="D75" s="1845"/>
      <c r="E75" s="1845"/>
      <c r="F75" s="1845"/>
      <c r="K75" s="1871"/>
      <c r="L75" s="1845"/>
      <c r="O75" s="1887" t="s">
        <v>1046</v>
      </c>
      <c r="P75" s="1888" t="s">
        <v>1548</v>
      </c>
      <c r="Q75" s="1889">
        <f ca="1">Q65+Q66</f>
        <v>3962</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0.77900000000000003</v>
      </c>
    </row>
    <row r="80" spans="1:18">
      <c r="B80" s="386" t="s">
        <v>1510</v>
      </c>
      <c r="C80" s="318">
        <f ca="1">ROUND(C75/C39,3)</f>
        <v>0.221</v>
      </c>
    </row>
    <row r="81" spans="2:3">
      <c r="B81" s="314" t="s">
        <v>1511</v>
      </c>
      <c r="C81" s="282"/>
    </row>
    <row r="82" spans="2:3">
      <c r="B82" s="317" t="s">
        <v>1512</v>
      </c>
      <c r="C82" s="319">
        <f ca="1">1-C83</f>
        <v>0.53299999999999992</v>
      </c>
    </row>
    <row r="83" spans="2:3">
      <c r="B83" s="317" t="s">
        <v>1513</v>
      </c>
      <c r="C83" s="318">
        <f ca="1">ROUND(C13/C40,3)</f>
        <v>0.46700000000000003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590</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4218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0</v>
      </c>
      <c r="D10" s="1035">
        <f ca="1">IF(B1="",'数据-汇总表'!E6,IF(INDIRECT("'数据-取费表'!c"&amp;$G$1)="住宅",INDIRECT("'数据-取费表'!s"&amp;$G$1),INDIRECT("'数据-取费表'!k"&amp;$G$1)+INDIRECT("'数据-取费表'!s"&amp;$G$1)))</f>
        <v>1398.7300000000002</v>
      </c>
      <c r="E10" s="269">
        <f>'数据-取费表'!B28</f>
        <v>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28</v>
      </c>
      <c r="D19" s="1039">
        <f ca="1">D9+D10</f>
        <v>1398.7300000000002</v>
      </c>
      <c r="E19" s="255">
        <f>'数据-取费表'!B31</f>
        <v>200</v>
      </c>
      <c r="F19" s="275"/>
      <c r="G19" s="2552"/>
    </row>
    <row r="20" spans="1:7" s="258" customFormat="1" ht="13.5" customHeight="1">
      <c r="A20" s="299" t="s">
        <v>2355</v>
      </c>
      <c r="B20" s="254" t="s">
        <v>2356</v>
      </c>
      <c r="C20" s="276">
        <f ca="1">ROUND((C5+C19)*F20,0)</f>
        <v>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6</v>
      </c>
      <c r="D27" s="279">
        <f ca="1">C29</f>
        <v>4.0000000000000001E-3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6</v>
      </c>
      <c r="D28" s="279"/>
      <c r="E28" s="280"/>
      <c r="F28" s="290"/>
      <c r="G28" s="291"/>
    </row>
    <row r="29" spans="1:7" s="258" customFormat="1" ht="13.5" customHeight="1">
      <c r="A29" s="954" t="s">
        <v>792</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39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438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392</v>
      </c>
      <c r="D34" s="261"/>
      <c r="E34" s="264"/>
      <c r="F34" s="301">
        <f ca="1">IF('数据-取费表'!B24=0,1,IF(B1="",'数据-取费表'!N16,INDIRECT("'数据-取费表'!n"&amp;$G$1)))</f>
        <v>1</v>
      </c>
      <c r="G34" s="263" t="s">
        <v>2388</v>
      </c>
    </row>
    <row r="35" spans="1:7" ht="13.5" customHeight="1">
      <c r="A35" s="954" t="s">
        <v>796</v>
      </c>
      <c r="B35" s="259" t="s">
        <v>2389</v>
      </c>
      <c r="C35" s="264">
        <f ca="1">ROUND(C34*F35,0)</f>
        <v>12</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28</v>
      </c>
      <c r="D37" s="261">
        <f ca="1">D19</f>
        <v>1398.7300000000002</v>
      </c>
      <c r="E37" s="293">
        <f>'数据-取费表'!B35</f>
        <v>200</v>
      </c>
      <c r="F37" s="303"/>
      <c r="G37" s="305" t="s">
        <v>2394</v>
      </c>
    </row>
    <row r="38" spans="1:7" ht="13.5" customHeight="1">
      <c r="A38" s="954" t="s">
        <v>799</v>
      </c>
      <c r="B38" s="259" t="s">
        <v>2395</v>
      </c>
      <c r="C38" s="264">
        <f ca="1">ROUND(C34*F38,0)</f>
        <v>6</v>
      </c>
      <c r="D38" s="264"/>
      <c r="E38" s="264"/>
      <c r="F38" s="303">
        <f>'数据-取费表'!B36</f>
        <v>1.4999999999999999E-2</v>
      </c>
      <c r="G38" s="263" t="s">
        <v>2390</v>
      </c>
    </row>
    <row r="39" spans="1:7" s="258" customFormat="1" ht="13.5" customHeight="1">
      <c r="A39" s="299" t="s">
        <v>2396</v>
      </c>
      <c r="B39" s="254" t="s">
        <v>2397</v>
      </c>
      <c r="C39" s="276">
        <f ca="1">ROUND(C33*F20,0)</f>
        <v>9</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10</v>
      </c>
      <c r="D41" s="279">
        <f ca="1">C44</f>
        <v>4.0000000000000002E-4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10</v>
      </c>
      <c r="D42" s="282"/>
      <c r="E42" s="282"/>
      <c r="F42" s="283"/>
      <c r="G42" s="3206" t="s">
        <v>2406</v>
      </c>
    </row>
    <row r="43" spans="1:7" ht="13.5" customHeight="1">
      <c r="A43" s="954" t="s">
        <v>792</v>
      </c>
      <c r="B43" s="259" t="s">
        <v>2407</v>
      </c>
      <c r="C43" s="282">
        <f ca="1">ROUND(IF('数据-取费表'!B22&lt;=1,C39*F22*'数据-取费表'!B21/2,C39*(POWER((1+F22),'数据-取费表'!B21/2)-1)),0)</f>
        <v>0</v>
      </c>
      <c r="D43" s="282"/>
      <c r="E43" s="282"/>
      <c r="F43" s="283"/>
      <c r="G43" s="3207"/>
    </row>
    <row r="44" spans="1:7" ht="13.5" customHeight="1">
      <c r="A44" s="954" t="s">
        <v>793</v>
      </c>
      <c r="B44" s="259" t="s">
        <v>2408</v>
      </c>
      <c r="C44" s="282">
        <f ca="1">ROUND(IF('数据-取费表'!B22&lt;=1,C40*F22*'数据-取费表'!B21/2,C40*(POWER((1+F22),'数据-取费表'!B21/2)-1)),4)</f>
        <v>4.0000000000000002E-4</v>
      </c>
      <c r="D44" s="282"/>
      <c r="E44" s="282"/>
      <c r="F44" s="283"/>
      <c r="G44" s="3208"/>
    </row>
    <row r="45" spans="1:7" s="258" customFormat="1" ht="13.5" customHeight="1">
      <c r="A45" s="299" t="s">
        <v>2409</v>
      </c>
      <c r="B45" s="288" t="s">
        <v>2375</v>
      </c>
      <c r="C45" s="289">
        <f ca="1">C46</f>
        <v>89</v>
      </c>
      <c r="D45" s="279">
        <f ca="1">C47</f>
        <v>4.0000000000000001E-3</v>
      </c>
      <c r="E45" s="280" t="s">
        <v>2401</v>
      </c>
      <c r="F45" s="290"/>
      <c r="G45" s="291" t="s">
        <v>2410</v>
      </c>
    </row>
    <row r="46" spans="1:7" s="258" customFormat="1" ht="13.5" customHeight="1">
      <c r="A46" s="954" t="s">
        <v>791</v>
      </c>
      <c r="B46" s="292" t="s">
        <v>2411</v>
      </c>
      <c r="C46" s="293">
        <f ca="1">ROUND((C33+C39)*F27,0)</f>
        <v>89</v>
      </c>
      <c r="D46" s="307"/>
      <c r="E46" s="280"/>
      <c r="F46" s="290"/>
      <c r="G46" s="291"/>
    </row>
    <row r="47" spans="1:7" s="258" customFormat="1" ht="13.5" customHeight="1">
      <c r="A47" s="954" t="s">
        <v>792</v>
      </c>
      <c r="B47" s="292" t="s">
        <v>2412</v>
      </c>
      <c r="C47" s="282">
        <f ca="1">ROUND(C40*F27,4)</f>
        <v>4.0000000000000001E-3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592</v>
      </c>
      <c r="D49" s="276"/>
      <c r="E49" s="276"/>
      <c r="F49" s="308"/>
      <c r="G49" s="278" t="s">
        <v>2416</v>
      </c>
    </row>
    <row r="50" spans="1:7" s="302" customFormat="1" ht="24">
      <c r="A50" s="299" t="s">
        <v>2417</v>
      </c>
      <c r="B50" s="254" t="s">
        <v>2418</v>
      </c>
      <c r="C50" s="276"/>
      <c r="D50" s="276"/>
      <c r="E50" s="276"/>
      <c r="F50" s="308">
        <f>IF('数据-取费表'!B24=0,'数据-取费表'!N16,1)</f>
        <v>0.93</v>
      </c>
      <c r="G50" s="291" t="s">
        <v>2419</v>
      </c>
    </row>
    <row r="51" spans="1:7" ht="16.5" customHeight="1">
      <c r="A51" s="299" t="s">
        <v>2420</v>
      </c>
      <c r="B51" s="254" t="s">
        <v>2421</v>
      </c>
      <c r="C51" s="276">
        <f ca="1">ROUND(C49*F50,0)</f>
        <v>551</v>
      </c>
      <c r="D51" s="276"/>
      <c r="E51" s="276"/>
      <c r="F51" s="308"/>
      <c r="G51" s="278" t="s">
        <v>2422</v>
      </c>
    </row>
    <row r="52" spans="1:7" s="252" customFormat="1" ht="16.5" thickBot="1">
      <c r="A52" s="309" t="s">
        <v>2423</v>
      </c>
      <c r="B52" s="310"/>
      <c r="C52" s="311">
        <f ca="1">C31+C51</f>
        <v>590</v>
      </c>
      <c r="D52" s="310"/>
      <c r="E52" s="310"/>
      <c r="F52" s="310"/>
      <c r="G52" s="312"/>
    </row>
    <row r="55" spans="1:7" ht="15">
      <c r="B55" s="314" t="s">
        <v>2424</v>
      </c>
      <c r="C55" s="315"/>
    </row>
    <row r="56" spans="1:7">
      <c r="B56" s="317" t="s">
        <v>1512</v>
      </c>
      <c r="C56" s="319">
        <f ca="1">1-C57</f>
        <v>6.5999999999999948E-2</v>
      </c>
    </row>
    <row r="57" spans="1:7">
      <c r="B57" s="317" t="s">
        <v>1513</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1.0900000000000001</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8"/>
      <c r="B4" s="3319"/>
      <c r="C4" s="3319"/>
      <c r="D4" s="3320"/>
      <c r="E4" s="3320"/>
      <c r="F4" s="3320"/>
      <c r="G4" s="3320"/>
      <c r="H4" s="3320"/>
      <c r="I4" s="3320"/>
      <c r="J4" s="3321"/>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322"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1.0900000000000001</v>
      </c>
      <c r="AA7" s="1609"/>
      <c r="AB7" s="1609"/>
      <c r="AC7" s="1610"/>
      <c r="AD7" s="1611"/>
      <c r="AE7" s="1611"/>
      <c r="AF7" s="1611"/>
      <c r="AG7" s="1611"/>
      <c r="AH7" s="1611"/>
      <c r="AI7" s="1611"/>
      <c r="AJ7" s="1612"/>
    </row>
    <row r="8" spans="1:36" ht="15">
      <c r="A8" s="3323"/>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5" t="s">
        <v>2837</v>
      </c>
      <c r="X8" s="3316"/>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323"/>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7"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3"/>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3"/>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7" t="s">
        <v>2861</v>
      </c>
      <c r="X11" s="1617" t="s">
        <v>2862</v>
      </c>
      <c r="Y11" s="1618">
        <f>$G$3</f>
        <v>1.0900000000000001</v>
      </c>
      <c r="Z11" s="1618">
        <f t="shared" ref="Z11:AJ11" si="3">$G$3</f>
        <v>1.0900000000000001</v>
      </c>
      <c r="AA11" s="1618">
        <f t="shared" si="3"/>
        <v>1.0900000000000001</v>
      </c>
      <c r="AB11" s="1618">
        <f t="shared" si="3"/>
        <v>1.0900000000000001</v>
      </c>
      <c r="AC11" s="1618">
        <f t="shared" si="3"/>
        <v>1.0900000000000001</v>
      </c>
      <c r="AD11" s="1618">
        <f t="shared" si="3"/>
        <v>1.0900000000000001</v>
      </c>
      <c r="AE11" s="1618">
        <f t="shared" si="3"/>
        <v>1.0900000000000001</v>
      </c>
      <c r="AF11" s="1618">
        <f t="shared" si="3"/>
        <v>1.0900000000000001</v>
      </c>
      <c r="AG11" s="1618">
        <f t="shared" si="3"/>
        <v>1.0900000000000001</v>
      </c>
      <c r="AH11" s="1618">
        <f t="shared" si="3"/>
        <v>1.0900000000000001</v>
      </c>
      <c r="AI11" s="1618">
        <f t="shared" si="3"/>
        <v>1.0900000000000001</v>
      </c>
      <c r="AJ11" s="1618">
        <f t="shared" si="3"/>
        <v>1.0900000000000001</v>
      </c>
    </row>
    <row r="12" spans="1:36" ht="25.5" thickBot="1">
      <c r="A12" s="3322"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7"/>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4"/>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317"/>
      <c r="X13" s="1619"/>
      <c r="Y13" s="1616">
        <f>(-0.163*(Y12^2)-0.59*Y12+7617)*(10^(-4))/Y11</f>
        <v>0.69880733944954132</v>
      </c>
      <c r="Z13" s="1616">
        <f t="shared" ref="Z13:AJ13" si="5">(-0.163*(Z12^2)-0.59*Z12+7617)*(10^(-4))/Z11</f>
        <v>0.69880733944954132</v>
      </c>
      <c r="AA13" s="1616">
        <f t="shared" si="5"/>
        <v>0.69880733944954132</v>
      </c>
      <c r="AB13" s="1616">
        <f t="shared" si="5"/>
        <v>0.69880733944954132</v>
      </c>
      <c r="AC13" s="1616">
        <f t="shared" si="5"/>
        <v>0.69880733944954132</v>
      </c>
      <c r="AD13" s="1616">
        <f t="shared" si="5"/>
        <v>0.69880733944954132</v>
      </c>
      <c r="AE13" s="1616">
        <f t="shared" si="5"/>
        <v>0.69880733944954132</v>
      </c>
      <c r="AF13" s="1616">
        <f t="shared" si="5"/>
        <v>0.69880733944954132</v>
      </c>
      <c r="AG13" s="1616">
        <f t="shared" si="5"/>
        <v>0.69880733944954132</v>
      </c>
      <c r="AH13" s="1616">
        <f t="shared" si="5"/>
        <v>0.69880733944954132</v>
      </c>
      <c r="AI13" s="1616">
        <f t="shared" si="5"/>
        <v>0.69880733944954132</v>
      </c>
      <c r="AJ13" s="1616">
        <f t="shared" si="5"/>
        <v>0.69880733944954132</v>
      </c>
    </row>
    <row r="14" spans="1:36" ht="15">
      <c r="A14" s="3324"/>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5"/>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2"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3"/>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ROUND(IF(H19="按公示增长率计算",SUMPRODUCT((地价!A3:A23=YEAR(G19)&amp;"-"&amp;ROUNDUP(MONTH(G19)/3,0))*(地价!X2:AB2=E2)*(地价!X3:AB23)),IF(H19="地价指数",M20/M19,(1+I19)^O19)),4)</f>
        <v>#DIV/0!</v>
      </c>
      <c r="D19" s="2799" t="s">
        <v>2890</v>
      </c>
      <c r="E19" s="928">
        <v>41640</v>
      </c>
      <c r="F19" s="2799" t="s">
        <v>2891</v>
      </c>
      <c r="G19" s="929">
        <f>'数据-取费表'!B2</f>
        <v>43335</v>
      </c>
      <c r="H19" s="2800" t="s">
        <v>2892</v>
      </c>
      <c r="I19" s="930" t="str">
        <f>IF(H19="季度增幅（自定义）",SUMIF(N21:N24,E2,O21:O24),"")</f>
        <v/>
      </c>
      <c r="J19" s="2797"/>
      <c r="K19" s="1380"/>
      <c r="L19" s="2801" t="s">
        <v>2893</v>
      </c>
      <c r="M19" s="1737">
        <f>ROUND(SUMIF(地价!B2:F2,E2,地价!B23:F23),0)</f>
        <v>0</v>
      </c>
      <c r="N19" s="2802"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ROUND(SUMPRODUCT((地价!A4:A23=YEAR(G19)&amp;"-"&amp;ROUNDUP(MONTH(G19)/3,0))*(地价!B2:F2=E2)*(地价!B4:F23)),0)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332"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3"/>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3"/>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334"/>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51">
      <c r="A48" s="2880" t="s">
        <v>2949</v>
      </c>
      <c r="B48" s="2883" t="str">
        <f>估价对象房地状况!C4</f>
        <v>估价对象位于万兴路，周边商业氛围较不成熟，周边无大型购物场所，人流量一般，商业繁华一般。</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0" t="s">
        <v>2950</v>
      </c>
      <c r="B49" s="2884" t="str">
        <f>估价对象房地状况!C18</f>
        <v>估价对象周边路网密集程度一般，公共交通通达情况较好，有310、565路及地铁14号线等公共交通，停车便捷程度较好，综合评价交通便捷度较好。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80" t="s">
        <v>2951</v>
      </c>
      <c r="B50" s="2884" t="str">
        <f>估价对象房地状况!C19</f>
        <v>区域内多为住宅用地，零星分布商业用地，区域土地利用方向一致度一般。</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5.5">
      <c r="A52" s="2880" t="s">
        <v>2954</v>
      </c>
      <c r="B52" s="2884" t="str">
        <f>估价对象房地状况!C24</f>
        <v>城市次干道——园博西二路</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7" t="s">
        <v>2957</v>
      </c>
      <c r="B5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估价对象所在区域基础设施水平达到“七通”。</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8" t="s">
        <v>2959</v>
      </c>
      <c r="B56" s="2889" t="str">
        <f>估价对象房地状况!C20</f>
        <v>区域自然环境：休闲公园；人文环境：北京园博园；综合评价环境状况一般。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24">
      <c r="A59" s="2880" t="s">
        <v>2962</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0" t="s">
        <v>2950</v>
      </c>
      <c r="B60" s="2884" t="str">
        <f>估价对象房地状况!C18</f>
        <v>估价对象周边路网密集程度一般，公共交通通达情况较好，有310、565路及地铁14号线等公共交通，停车便捷程度较好，综合评价交通便捷度较好。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80" t="s">
        <v>2951</v>
      </c>
      <c r="B61" s="2884" t="str">
        <f>估价对象房地状况!C19</f>
        <v>区域内多为住宅用地，零星分布商业用地，区域土地利用方向一致度一般。</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5.5">
      <c r="A63" s="2880" t="s">
        <v>2954</v>
      </c>
      <c r="B63" s="2884" t="str">
        <f>估价对象房地状况!C24</f>
        <v>城市次干道——园博西二路</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80" t="s">
        <v>2957</v>
      </c>
      <c r="B65"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估价对象所在区域基础设施水平达到“七通”。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8" t="s">
        <v>2959</v>
      </c>
      <c r="B67" s="2890" t="str">
        <f>估价对象房地状况!C20</f>
        <v>区域自然环境：休闲公园；人文环境：北京园博园；综合评价环境状况一般。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24">
      <c r="A70" s="2880" t="s">
        <v>2964</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0" t="s">
        <v>2950</v>
      </c>
      <c r="B71" s="2884" t="str">
        <f>估价对象房地状况!C18</f>
        <v>估价对象周边路网密集程度一般，公共交通通达情况较好，有310、565路及地铁14号线等公共交通，停车便捷程度较好，综合评价交通便捷度较好。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80" t="s">
        <v>2951</v>
      </c>
      <c r="B72" s="2884" t="str">
        <f>估价对象房地状况!C19</f>
        <v>区域内多为住宅用地，零星分布商业用地，区域土地利用方向一致度一般。</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25.5">
      <c r="A73" s="2880" t="s">
        <v>2965</v>
      </c>
      <c r="B73" s="2884" t="str">
        <f>估价对象房地状况!C24</f>
        <v>城市次干道——园博西二路</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80" t="s">
        <v>2957</v>
      </c>
      <c r="B74" s="1728" t="str">
        <f>估价对象房地状况!C21</f>
        <v>估价对象所在区域周边1.5公里范围内有：银行（北京市农村商业银行、交通银行），购物（家和超市、华联超市），医院（张郭庄村社区卫生服务站），学校（张郭庄幼儿园、槐树岭学校）等，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估价对象所在区域基础设施水平达到“七通”。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51">
      <c r="A77" s="2880" t="s">
        <v>2959</v>
      </c>
      <c r="B77" s="2883" t="str">
        <f>估价对象房地状况!C20</f>
        <v>区域自然环境：休闲公园；人文环境：北京园博园；综合评价环境状况一般。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326" t="s">
        <v>2971</v>
      </c>
      <c r="B90" s="3326"/>
      <c r="C90" s="3326"/>
      <c r="D90" s="3326"/>
      <c r="E90" s="3326"/>
      <c r="F90" s="3326"/>
      <c r="G90" s="3326"/>
      <c r="H90" s="3326"/>
      <c r="I90" s="3326"/>
      <c r="J90" s="3326"/>
      <c r="K90" s="2894"/>
      <c r="L90" s="2894"/>
      <c r="M90" s="2894"/>
      <c r="N90" s="2894"/>
    </row>
    <row r="91" spans="1:37">
      <c r="A91" s="3328" t="s">
        <v>2972</v>
      </c>
      <c r="B91" s="3328" t="s">
        <v>2973</v>
      </c>
      <c r="C91" s="2848" t="s">
        <v>2974</v>
      </c>
      <c r="D91" s="2849"/>
      <c r="E91" s="2849"/>
      <c r="F91" s="2849"/>
      <c r="G91" s="2849"/>
      <c r="H91" s="2849"/>
      <c r="I91" s="2849"/>
      <c r="J91" s="2895"/>
      <c r="K91" s="2896"/>
      <c r="L91" s="2896"/>
      <c r="M91" s="2896"/>
      <c r="N91" s="2896"/>
    </row>
    <row r="92" spans="1:37">
      <c r="A92" s="3328"/>
      <c r="B92" s="3328"/>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29"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3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3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3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3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3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30"/>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3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29" t="s">
        <v>2976</v>
      </c>
      <c r="B101" s="2901" t="s">
        <v>2977</v>
      </c>
      <c r="C101" s="2902">
        <f>$G$3</f>
        <v>1.0900000000000001</v>
      </c>
      <c r="D101" s="2902">
        <f t="shared" ref="D101:N101" si="31">$G$3</f>
        <v>1.0900000000000001</v>
      </c>
      <c r="E101" s="2902">
        <f t="shared" si="31"/>
        <v>1.0900000000000001</v>
      </c>
      <c r="F101" s="2902">
        <f t="shared" si="31"/>
        <v>1.0900000000000001</v>
      </c>
      <c r="G101" s="2902">
        <f t="shared" si="31"/>
        <v>1.0900000000000001</v>
      </c>
      <c r="H101" s="2902">
        <f t="shared" si="31"/>
        <v>1.0900000000000001</v>
      </c>
      <c r="I101" s="2902">
        <f t="shared" si="31"/>
        <v>1.0900000000000001</v>
      </c>
      <c r="J101" s="2902">
        <f t="shared" si="31"/>
        <v>1.0900000000000001</v>
      </c>
      <c r="K101" s="2902">
        <f t="shared" si="31"/>
        <v>1.0900000000000001</v>
      </c>
      <c r="L101" s="2902">
        <f t="shared" si="31"/>
        <v>1.0900000000000001</v>
      </c>
      <c r="M101" s="2902">
        <f t="shared" si="31"/>
        <v>1.0900000000000001</v>
      </c>
      <c r="N101" s="2902">
        <f t="shared" si="31"/>
        <v>1.0900000000000001</v>
      </c>
    </row>
    <row r="102" spans="1:14">
      <c r="A102" s="3330"/>
      <c r="B102" s="2897">
        <v>1</v>
      </c>
      <c r="C102" s="2898">
        <f>1.9362/C101</f>
        <v>1.7763302752293575</v>
      </c>
      <c r="D102" s="2898">
        <f>1.9362/D101</f>
        <v>1.7763302752293575</v>
      </c>
      <c r="E102" s="2898">
        <f>1.8629/E101</f>
        <v>1.7090825688073392</v>
      </c>
      <c r="F102" s="2898">
        <f>1.8629/F101</f>
        <v>1.7090825688073392</v>
      </c>
      <c r="G102" s="2898">
        <f>1.8629/G101</f>
        <v>1.7090825688073392</v>
      </c>
      <c r="H102" s="2898">
        <f>1.8629/H101</f>
        <v>1.7090825688073392</v>
      </c>
      <c r="I102" s="2898">
        <f>1.8629/I101</f>
        <v>1.7090825688073392</v>
      </c>
      <c r="J102" s="2898">
        <f>1.942/J101</f>
        <v>1.7816513761467889</v>
      </c>
      <c r="K102" s="2898">
        <f>1.942/K101</f>
        <v>1.7816513761467889</v>
      </c>
      <c r="L102" s="2898">
        <f>1.942/L101</f>
        <v>1.7816513761467889</v>
      </c>
      <c r="M102" s="2898">
        <f>1.942/M101</f>
        <v>1.7816513761467889</v>
      </c>
      <c r="N102" s="2898">
        <f>1.942/N101</f>
        <v>1.7816513761467889</v>
      </c>
    </row>
    <row r="103" spans="1:14">
      <c r="A103" s="3330"/>
      <c r="B103" s="2897">
        <v>2</v>
      </c>
      <c r="C103" s="2898">
        <f>1.4198/C101</f>
        <v>1.3025688073394495</v>
      </c>
      <c r="D103" s="2898">
        <f>1.4198/D101</f>
        <v>1.3025688073394495</v>
      </c>
      <c r="E103" s="2898">
        <f>1.3372/E101</f>
        <v>1.2267889908256879</v>
      </c>
      <c r="F103" s="2898">
        <f>1.3372/F101</f>
        <v>1.2267889908256879</v>
      </c>
      <c r="G103" s="2898">
        <f>1.3372/G101</f>
        <v>1.2267889908256879</v>
      </c>
      <c r="H103" s="2898">
        <f>1.3372/H101</f>
        <v>1.2267889908256879</v>
      </c>
      <c r="I103" s="2898">
        <f>1.3372/I101</f>
        <v>1.2267889908256879</v>
      </c>
      <c r="J103" s="2898">
        <f>1.2799/J101</f>
        <v>1.1742201834862385</v>
      </c>
      <c r="K103" s="2898">
        <f>1.2799/K101</f>
        <v>1.1742201834862385</v>
      </c>
      <c r="L103" s="2898">
        <f>1.2799/L101</f>
        <v>1.1742201834862385</v>
      </c>
      <c r="M103" s="2898">
        <f>1.2799/M101</f>
        <v>1.1742201834862385</v>
      </c>
      <c r="N103" s="2898">
        <f>1.2799/N101</f>
        <v>1.1742201834862385</v>
      </c>
    </row>
    <row r="104" spans="1:14">
      <c r="A104" s="3330"/>
      <c r="B104" s="2897">
        <v>3</v>
      </c>
      <c r="C104" s="2898">
        <f>1.1594/C101</f>
        <v>1.0636697247706421</v>
      </c>
      <c r="D104" s="2898">
        <f>1.1594/D101</f>
        <v>1.0636697247706421</v>
      </c>
      <c r="E104" s="2898">
        <f>1.0788/E101</f>
        <v>0.98972477064220177</v>
      </c>
      <c r="F104" s="2898">
        <f>1.0788/F101</f>
        <v>0.98972477064220177</v>
      </c>
      <c r="G104" s="2898">
        <f>1.0788/G101</f>
        <v>0.98972477064220177</v>
      </c>
      <c r="H104" s="2898">
        <f>1.0788/H101</f>
        <v>0.98972477064220177</v>
      </c>
      <c r="I104" s="2898">
        <f>1.0788/I101</f>
        <v>0.98972477064220177</v>
      </c>
      <c r="J104" s="2898">
        <f>1.0072/J101</f>
        <v>0.92403669724770643</v>
      </c>
      <c r="K104" s="2898">
        <f>1.0072/K101</f>
        <v>0.92403669724770643</v>
      </c>
      <c r="L104" s="2898">
        <f>1.0072/L101</f>
        <v>0.92403669724770643</v>
      </c>
      <c r="M104" s="2898">
        <f>1.0072/M101</f>
        <v>0.92403669724770643</v>
      </c>
      <c r="N104" s="2898">
        <f>1.0072/N101</f>
        <v>0.92403669724770643</v>
      </c>
    </row>
    <row r="105" spans="1:14">
      <c r="A105" s="3330"/>
      <c r="B105" s="2897">
        <v>4</v>
      </c>
      <c r="C105" s="2898">
        <f>0.9622/C101</f>
        <v>0.88275229357798168</v>
      </c>
      <c r="D105" s="2898">
        <f>0.9622/D101</f>
        <v>0.88275229357798168</v>
      </c>
      <c r="E105" s="2898">
        <f>0.8656/E101</f>
        <v>0.7941284403669725</v>
      </c>
      <c r="F105" s="2898">
        <f>0.8656/F101</f>
        <v>0.7941284403669725</v>
      </c>
      <c r="G105" s="2898">
        <f>0.8656/G101</f>
        <v>0.7941284403669725</v>
      </c>
      <c r="H105" s="2898">
        <f>0.8656/H101</f>
        <v>0.7941284403669725</v>
      </c>
      <c r="I105" s="2898">
        <f>0.8656/I101</f>
        <v>0.7941284403669725</v>
      </c>
      <c r="J105" s="2898">
        <f>0.7525/J101</f>
        <v>0.69036697247706413</v>
      </c>
      <c r="K105" s="2898">
        <f>0.7525/K101</f>
        <v>0.69036697247706413</v>
      </c>
      <c r="L105" s="2898">
        <f>0.7525/L101</f>
        <v>0.69036697247706413</v>
      </c>
      <c r="M105" s="2898">
        <f>0.7525/M101</f>
        <v>0.69036697247706413</v>
      </c>
      <c r="N105" s="2898">
        <f>0.7525/N101</f>
        <v>0.69036697247706413</v>
      </c>
    </row>
    <row r="106" spans="1:14">
      <c r="A106" s="3330"/>
      <c r="B106" s="2897">
        <v>5</v>
      </c>
      <c r="C106" s="2898">
        <f>0.8417/C101</f>
        <v>0.77220183486238525</v>
      </c>
      <c r="D106" s="2898">
        <f>0.8417/D101</f>
        <v>0.77220183486238525</v>
      </c>
      <c r="E106" s="2898">
        <f>0.7371/E101</f>
        <v>0.67623853211009166</v>
      </c>
      <c r="F106" s="2898">
        <f>0.7371/F101</f>
        <v>0.67623853211009166</v>
      </c>
      <c r="G106" s="2898">
        <f>0.7371/G101</f>
        <v>0.67623853211009166</v>
      </c>
      <c r="H106" s="2898">
        <f>0.7371/H101</f>
        <v>0.67623853211009166</v>
      </c>
      <c r="I106" s="2898">
        <f>0.7371/I101</f>
        <v>0.67623853211009166</v>
      </c>
      <c r="J106" s="2898">
        <f>0.5659/J101</f>
        <v>0.51917431192660546</v>
      </c>
      <c r="K106" s="2898">
        <f>0.5659/K101</f>
        <v>0.51917431192660546</v>
      </c>
      <c r="L106" s="2898">
        <f>0.5659/L101</f>
        <v>0.51917431192660546</v>
      </c>
      <c r="M106" s="2898">
        <f>0.5659/M101</f>
        <v>0.51917431192660546</v>
      </c>
      <c r="N106" s="2898">
        <f>0.5659/N101</f>
        <v>0.51917431192660546</v>
      </c>
    </row>
    <row r="107" spans="1:14">
      <c r="A107" s="3330"/>
      <c r="B107" s="2897">
        <v>6</v>
      </c>
      <c r="C107" s="2898">
        <f>0.7608/C101</f>
        <v>0.69798165137614676</v>
      </c>
      <c r="D107" s="2898">
        <f>0.7608/D101</f>
        <v>0.69798165137614676</v>
      </c>
      <c r="E107" s="2898">
        <f>0.6482/E101</f>
        <v>0.59467889908256877</v>
      </c>
      <c r="F107" s="2898">
        <f>0.6482/F101</f>
        <v>0.59467889908256877</v>
      </c>
      <c r="G107" s="2898">
        <f>0.6482/G101</f>
        <v>0.59467889908256877</v>
      </c>
      <c r="H107" s="2898">
        <f>0.6482/H101</f>
        <v>0.59467889908256877</v>
      </c>
      <c r="I107" s="2898">
        <f>0.6482/I101</f>
        <v>0.59467889908256877</v>
      </c>
      <c r="J107" s="2898">
        <f>0.4525/J101</f>
        <v>0.41513761467889909</v>
      </c>
      <c r="K107" s="2898">
        <f>0.4525/K101</f>
        <v>0.41513761467889909</v>
      </c>
      <c r="L107" s="2898">
        <f>0.4525/L101</f>
        <v>0.41513761467889909</v>
      </c>
      <c r="M107" s="2898">
        <f>0.4525/M101</f>
        <v>0.41513761467889909</v>
      </c>
      <c r="N107" s="2898">
        <f>0.4525/N101</f>
        <v>0.41513761467889909</v>
      </c>
    </row>
    <row r="108" spans="1:14">
      <c r="A108" s="3330"/>
      <c r="B108" s="3179"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31"/>
      <c r="B109" s="3180"/>
      <c r="C109" s="2900">
        <f>(-0.163*(C108^2)-0.59*C108+7617)*(10^(-4))/C101</f>
        <v>0.69880733944954132</v>
      </c>
      <c r="D109" s="2900">
        <f>(-0.163*(D108^2)-0.59*D108+7617)*(10^(-4))/D101</f>
        <v>0.69880733944954132</v>
      </c>
      <c r="E109" s="2900">
        <f>(-0.161*(E108^2)-7.509*E108+6533)*(10^(-4))/E101</f>
        <v>0.59935779816513757</v>
      </c>
      <c r="F109" s="2900">
        <f>(-0.161*(F108^2)-7.509*F108+6533)*(10^(-4))/F101</f>
        <v>0.59935779816513757</v>
      </c>
      <c r="G109" s="2900">
        <f>(-0.161*(G108^2)-7.509*G108+6533)*(10^(-4))/G101</f>
        <v>0.59935779816513757</v>
      </c>
      <c r="H109" s="2900">
        <f>(-0.161*(H108^2)-7.509*H108+6533)*(10^(-4))/H101</f>
        <v>0.59935779816513757</v>
      </c>
      <c r="I109" s="2900">
        <f>(-0.161*(I108^2)-7.509*I108+6533)*(10^(-4))/I101</f>
        <v>0.59935779816513757</v>
      </c>
      <c r="J109" s="2900">
        <f>(-0.214*(J108^2)-21.991*J108+4665)*(10^(-4))/J101</f>
        <v>0.4279816513761468</v>
      </c>
      <c r="K109" s="2900">
        <f>(-0.214*(K108^2)-21.991*K108+4665)*(10^(-4))/K101</f>
        <v>0.4279816513761468</v>
      </c>
      <c r="L109" s="2900">
        <f>(-0.214*(L108^2)-21.991*L108+4665)*(10^(-4))/L101</f>
        <v>0.4279816513761468</v>
      </c>
      <c r="M109" s="2900">
        <f>(-0.214*(M108^2)-21.991*M108+4665)*(10^(-4))/M101</f>
        <v>0.4279816513761468</v>
      </c>
      <c r="N109" s="2900">
        <f>(-0.214*(N108^2)-21.991*N108+4665)*(10^(-4))/N101</f>
        <v>0.4279816513761468</v>
      </c>
    </row>
    <row r="110" spans="1:14">
      <c r="A110" s="3327" t="s">
        <v>2979</v>
      </c>
      <c r="B110" s="3327"/>
      <c r="C110" s="3327"/>
      <c r="D110" s="3327"/>
      <c r="E110" s="3327"/>
      <c r="F110" s="3327"/>
      <c r="G110" s="3327"/>
      <c r="H110" s="3327"/>
      <c r="I110" s="3327"/>
      <c r="J110" s="3327"/>
      <c r="K110" s="2903"/>
      <c r="L110" s="2903"/>
      <c r="M110" s="2903"/>
      <c r="N110" s="2903"/>
    </row>
    <row r="112" spans="1:14" ht="13.5" thickBot="1"/>
    <row r="113" spans="1:13" ht="25.5" thickBot="1">
      <c r="A113" s="903" t="s">
        <v>2980</v>
      </c>
      <c r="B113" s="1290">
        <f>G3</f>
        <v>1.0900000000000001</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0.92330000000000001</v>
      </c>
      <c r="C115" s="910">
        <f>B115</f>
        <v>0.92330000000000001</v>
      </c>
      <c r="D115" s="910">
        <f>ROUND(0.8331-0.0109*B113,4)</f>
        <v>0.82120000000000004</v>
      </c>
      <c r="E115" s="910">
        <f>D115</f>
        <v>0.82120000000000004</v>
      </c>
      <c r="F115" s="910">
        <f>E115</f>
        <v>0.82120000000000004</v>
      </c>
      <c r="G115" s="910">
        <f>F115</f>
        <v>0.82120000000000004</v>
      </c>
      <c r="H115" s="910">
        <f>G115</f>
        <v>0.82120000000000004</v>
      </c>
      <c r="I115" s="910">
        <f>ROUND(0.689-0.0155*B113,4)</f>
        <v>0.67210000000000003</v>
      </c>
      <c r="J115" s="910">
        <f t="shared" ref="J115:M118" si="33">I115</f>
        <v>0.67210000000000003</v>
      </c>
      <c r="K115" s="910">
        <f t="shared" si="33"/>
        <v>0.67210000000000003</v>
      </c>
      <c r="L115" s="910">
        <f t="shared" si="33"/>
        <v>0.67210000000000003</v>
      </c>
      <c r="M115" s="911">
        <f t="shared" si="33"/>
        <v>0.67210000000000003</v>
      </c>
    </row>
    <row r="116" spans="1:13">
      <c r="A116" s="909" t="s">
        <v>2877</v>
      </c>
      <c r="B116" s="910">
        <f>ROUND(0.949-0.012*B113,4)</f>
        <v>0.93589999999999995</v>
      </c>
      <c r="C116" s="910">
        <f>B116</f>
        <v>0.93589999999999995</v>
      </c>
      <c r="D116" s="910">
        <f>ROUND(0.8567-0.013*B113,4)</f>
        <v>0.84250000000000003</v>
      </c>
      <c r="E116" s="910">
        <f t="shared" ref="E116:H117" si="34">D116</f>
        <v>0.84250000000000003</v>
      </c>
      <c r="F116" s="910">
        <f t="shared" si="34"/>
        <v>0.84250000000000003</v>
      </c>
      <c r="G116" s="910">
        <f t="shared" si="34"/>
        <v>0.84250000000000003</v>
      </c>
      <c r="H116" s="910">
        <f t="shared" si="34"/>
        <v>0.84250000000000003</v>
      </c>
      <c r="I116" s="910">
        <f>ROUND(0.7694-0.014*B113,4)</f>
        <v>0.75409999999999999</v>
      </c>
      <c r="J116" s="910">
        <f t="shared" si="33"/>
        <v>0.75409999999999999</v>
      </c>
      <c r="K116" s="910">
        <f t="shared" si="33"/>
        <v>0.75409999999999999</v>
      </c>
      <c r="L116" s="910">
        <f t="shared" si="33"/>
        <v>0.75409999999999999</v>
      </c>
      <c r="M116" s="911">
        <f t="shared" si="33"/>
        <v>0.75409999999999999</v>
      </c>
    </row>
    <row r="117" spans="1:13">
      <c r="A117" s="909" t="s">
        <v>2878</v>
      </c>
      <c r="B117" s="910">
        <f>ROUND(0.8808-0.006*B113,4)</f>
        <v>0.87429999999999997</v>
      </c>
      <c r="C117" s="910">
        <f>B117</f>
        <v>0.87429999999999997</v>
      </c>
      <c r="D117" s="910">
        <f>ROUND(0.8748-0.008*B113,4)</f>
        <v>0.86609999999999998</v>
      </c>
      <c r="E117" s="910">
        <f t="shared" si="34"/>
        <v>0.86609999999999998</v>
      </c>
      <c r="F117" s="910">
        <f t="shared" si="34"/>
        <v>0.86609999999999998</v>
      </c>
      <c r="G117" s="910">
        <f t="shared" si="34"/>
        <v>0.86609999999999998</v>
      </c>
      <c r="H117" s="910">
        <f t="shared" si="34"/>
        <v>0.86609999999999998</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2879</v>
      </c>
      <c r="B118" s="912">
        <f>ROUND(0.7275-0.01*B113,4)</f>
        <v>0.71660000000000001</v>
      </c>
      <c r="C118" s="912">
        <f>B118</f>
        <v>0.71660000000000001</v>
      </c>
      <c r="D118" s="912">
        <f>ROUND(0.7043-0.012*B113,4)</f>
        <v>0.69120000000000004</v>
      </c>
      <c r="E118" s="912">
        <f>D118</f>
        <v>0.69120000000000004</v>
      </c>
      <c r="F118" s="912">
        <f>E118</f>
        <v>0.69120000000000004</v>
      </c>
      <c r="G118" s="912">
        <f>ROUND(0.6299-0.0122*B113,4)</f>
        <v>0.61660000000000004</v>
      </c>
      <c r="H118" s="912">
        <f>G118</f>
        <v>0.61660000000000004</v>
      </c>
      <c r="I118" s="912">
        <f>ROUND(0.5667-0.0136*B113,4)</f>
        <v>0.55189999999999995</v>
      </c>
      <c r="J118" s="912">
        <f t="shared" si="33"/>
        <v>0.55189999999999995</v>
      </c>
      <c r="K118" s="912">
        <f t="shared" si="33"/>
        <v>0.55189999999999995</v>
      </c>
      <c r="L118" s="912">
        <f t="shared" si="33"/>
        <v>0.55189999999999995</v>
      </c>
      <c r="M118" s="913">
        <f t="shared" si="33"/>
        <v>0.55189999999999995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4"/>
      <c r="B4" s="3024" t="s">
        <v>1629</v>
      </c>
      <c r="C4" s="3024"/>
      <c r="D4" s="3024"/>
      <c r="E4" s="1964"/>
    </row>
    <row r="5" spans="1:5" ht="16.5" thickTop="1">
      <c r="A5" s="1962"/>
      <c r="B5" s="3022" t="s">
        <v>1621</v>
      </c>
      <c r="C5" s="1965" t="s">
        <v>1622</v>
      </c>
      <c r="D5" s="1043">
        <f ca="1">结果表!H101</f>
        <v>4479</v>
      </c>
      <c r="E5" s="1962"/>
    </row>
    <row r="6" spans="1:5" ht="15.75">
      <c r="A6" s="1962"/>
      <c r="B6" s="3022"/>
      <c r="C6" s="1965" t="s">
        <v>1623</v>
      </c>
      <c r="D6" s="1043" t="str">
        <f ca="1">NUMBERSTRING(INT(D5*10000),2)&amp;"元整"</f>
        <v>肆仟肆佰柒拾玖万元整</v>
      </c>
      <c r="E6" s="1962"/>
    </row>
    <row r="7" spans="1:5" ht="15.75">
      <c r="A7" s="1962"/>
      <c r="B7" s="3027"/>
      <c r="C7" s="1966" t="s">
        <v>1624</v>
      </c>
      <c r="D7" s="1044">
        <f ca="1">结果表!H102</f>
        <v>32022</v>
      </c>
      <c r="E7" s="1962"/>
    </row>
    <row r="8" spans="1:5" ht="15.75">
      <c r="A8" s="1962"/>
      <c r="B8" s="3028" t="str">
        <f>结果表!E103</f>
        <v>2.估价师知悉的法定优先受偿款</v>
      </c>
      <c r="C8" s="1967" t="s">
        <v>1625</v>
      </c>
      <c r="D8" s="1044">
        <f>结果表!H103</f>
        <v>0</v>
      </c>
      <c r="E8" s="1962"/>
    </row>
    <row r="9" spans="1:5" ht="15.75">
      <c r="A9" s="1962"/>
      <c r="B9" s="3030"/>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3021" t="str">
        <f>结果表!E107</f>
        <v>3.房地产抵押价值</v>
      </c>
      <c r="C13" s="1970" t="s">
        <v>1622</v>
      </c>
      <c r="D13" s="1046">
        <f ca="1">结果表!H107</f>
        <v>4479</v>
      </c>
      <c r="E13" s="1962"/>
    </row>
    <row r="14" spans="1:5" ht="15.75">
      <c r="A14" s="1962"/>
      <c r="B14" s="3022"/>
      <c r="C14" s="1965" t="s">
        <v>1623</v>
      </c>
      <c r="D14" s="1043" t="str">
        <f ca="1">NUMBERSTRING(INT(D13*10000),2)&amp;"元整"</f>
        <v>肆仟肆佰柒拾玖万元整</v>
      </c>
      <c r="E14" s="1962"/>
    </row>
    <row r="15" spans="1:5" ht="15">
      <c r="A15" s="1962"/>
      <c r="B15" s="3027"/>
      <c r="C15" s="1966" t="s">
        <v>1633</v>
      </c>
      <c r="D15" s="1055">
        <f ca="1">结果表!H108</f>
        <v>32022</v>
      </c>
      <c r="E15" s="1962"/>
    </row>
    <row r="16" spans="1:5" ht="15">
      <c r="A16" s="1962"/>
      <c r="B16" s="3028" t="str">
        <f>结果表!E109</f>
        <v>——</v>
      </c>
      <c r="C16" s="1970" t="s">
        <v>1634</v>
      </c>
      <c r="D16" s="1971" t="str">
        <f>结果表!H109</f>
        <v>——</v>
      </c>
      <c r="E16" s="1962"/>
    </row>
    <row r="17" spans="1:5" ht="15.75">
      <c r="A17" s="1962"/>
      <c r="B17" s="3029"/>
      <c r="C17" s="1965" t="s">
        <v>1635</v>
      </c>
      <c r="D17" s="1043" t="e">
        <f>NUMBERSTRING(INT(D16*10000),2)&amp;"元整"</f>
        <v>#VALUE!</v>
      </c>
      <c r="E17" s="1962"/>
    </row>
    <row r="18" spans="1:5" ht="15">
      <c r="A18" s="1962"/>
      <c r="B18" s="3030"/>
      <c r="C18" s="1966" t="s">
        <v>1624</v>
      </c>
      <c r="D18" s="1055" t="str">
        <f>结果表!H110</f>
        <v>——</v>
      </c>
      <c r="E18" s="1962"/>
    </row>
    <row r="19" spans="1:5" ht="15.75">
      <c r="A19" s="1962"/>
      <c r="B19" s="3021" t="str">
        <f>结果表!E111</f>
        <v>——</v>
      </c>
      <c r="C19" s="1970" t="s">
        <v>1622</v>
      </c>
      <c r="D19" s="1044" t="str">
        <f>结果表!H111</f>
        <v>——</v>
      </c>
      <c r="E19" s="1962"/>
    </row>
    <row r="20" spans="1:5" ht="15.75">
      <c r="A20" s="1962"/>
      <c r="B20" s="3022"/>
      <c r="C20" s="1965" t="s">
        <v>1635</v>
      </c>
      <c r="D20" s="1043" t="e">
        <f>NUMBERSTRING(INT(D19*10000),2)&amp;"元整"</f>
        <v>#VALUE!</v>
      </c>
      <c r="E20" s="1962"/>
    </row>
    <row r="21" spans="1:5" ht="15.75" thickBot="1">
      <c r="A21" s="1962"/>
      <c r="B21" s="3023"/>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0" t="s">
        <v>1150</v>
      </c>
      <c r="C1" s="3340"/>
      <c r="D1" s="3340"/>
      <c r="E1" s="3340"/>
      <c r="F1" s="3340"/>
      <c r="G1" s="3339" t="s">
        <v>1151</v>
      </c>
      <c r="H1" s="3339"/>
      <c r="I1" s="3339"/>
      <c r="J1" s="3339"/>
      <c r="K1" s="3339"/>
      <c r="L1" s="3339"/>
      <c r="N1" s="3339" t="s">
        <v>1152</v>
      </c>
      <c r="O1" s="3339"/>
      <c r="P1" s="3339"/>
      <c r="Q1" s="3339"/>
      <c r="R1" s="1449"/>
      <c r="S1" s="3339" t="s">
        <v>1153</v>
      </c>
      <c r="T1" s="3339"/>
      <c r="U1" s="3339"/>
      <c r="V1" s="3339"/>
      <c r="X1" s="3338" t="s">
        <v>1154</v>
      </c>
      <c r="Y1" s="3339"/>
      <c r="Z1" s="3339"/>
      <c r="AA1" s="3339"/>
      <c r="AB1" s="3339"/>
      <c r="AD1" s="3338" t="s">
        <v>1155</v>
      </c>
      <c r="AE1" s="3339"/>
      <c r="AF1" s="3339"/>
      <c r="AG1" s="3339"/>
      <c r="AH1" s="333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3035</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3031</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28925</v>
      </c>
      <c r="C2" s="2" t="s">
        <v>133</v>
      </c>
      <c r="D2" s="243"/>
      <c r="E2" s="243"/>
      <c r="F2" s="243"/>
      <c r="G2" s="243"/>
    </row>
    <row r="3" spans="1:7" s="244" customFormat="1" ht="18" customHeight="1" thickBot="1">
      <c r="A3" s="247" t="s">
        <v>85</v>
      </c>
      <c r="B3" s="248">
        <f ca="1">ROUND(B2*10000/'数据-汇总表'!E3,0)</f>
        <v>206795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1398.7300000000002</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28</v>
      </c>
      <c r="D19" s="1039">
        <f>'数据-汇总表'!E3</f>
        <v>1398.7300000000002</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4210</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4210</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28374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392</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28</v>
      </c>
      <c r="D37" s="261">
        <f>'数据-汇总表'!E3</f>
        <v>1398.7300000000002</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10</v>
      </c>
      <c r="D42" s="282"/>
      <c r="E42" s="282"/>
      <c r="F42" s="283"/>
      <c r="G42" s="3206" t="s">
        <v>121</v>
      </c>
    </row>
    <row r="43" spans="1:7" ht="13.5" customHeight="1">
      <c r="A43" s="954" t="s">
        <v>792</v>
      </c>
      <c r="B43" s="259" t="s">
        <v>1064</v>
      </c>
      <c r="C43" s="282">
        <f ca="1">ROUND(IF('数据-取费表'!B22&lt;=1,C39*F22*'数据-取费表'!B21/2,C39*(POWER((1+F22),'数据-取费表'!B21/2)-1)),0)</f>
        <v>0</v>
      </c>
      <c r="D43" s="282"/>
      <c r="E43" s="282"/>
      <c r="F43" s="283"/>
      <c r="G43" s="3207"/>
    </row>
    <row r="44" spans="1:7" ht="13.5" customHeight="1">
      <c r="A44" s="954" t="s">
        <v>793</v>
      </c>
      <c r="B44" s="259" t="s">
        <v>1066</v>
      </c>
      <c r="C44" s="282">
        <f ca="1">ROUND(IF('数据-取费表'!B22&lt;=1,C40*F22*'数据-取费表'!B21/2,C40*(POWER((1+F22),'数据-取费表'!B21/2)-1)),4)</f>
        <v>4.0000000000000002E-4</v>
      </c>
      <c r="D44" s="282"/>
      <c r="E44" s="282"/>
      <c r="F44" s="283"/>
      <c r="G44" s="3208"/>
    </row>
    <row r="45" spans="1:7" s="258" customFormat="1" ht="13.5" customHeight="1">
      <c r="A45" s="951" t="s">
        <v>786</v>
      </c>
      <c r="B45" s="288" t="s">
        <v>112</v>
      </c>
      <c r="C45" s="289">
        <f>C46</f>
        <v>89</v>
      </c>
      <c r="D45" s="279">
        <f>C47</f>
        <v>4.0000000000000001E-3</v>
      </c>
      <c r="E45" s="280" t="s">
        <v>129</v>
      </c>
      <c r="F45" s="290"/>
      <c r="G45" s="291" t="s">
        <v>1072</v>
      </c>
    </row>
    <row r="46" spans="1:7" s="258" customFormat="1" ht="13.5" customHeight="1">
      <c r="A46" s="954" t="s">
        <v>794</v>
      </c>
      <c r="B46" s="292" t="s">
        <v>1065</v>
      </c>
      <c r="C46" s="293">
        <f>ROUND((C33+C39)*F27,0)</f>
        <v>89</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592</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551</v>
      </c>
      <c r="D51" s="276"/>
      <c r="E51" s="276"/>
      <c r="F51" s="308"/>
      <c r="G51" s="278" t="s">
        <v>64</v>
      </c>
    </row>
    <row r="52" spans="1:7" s="252" customFormat="1" ht="16.5" thickBot="1">
      <c r="A52" s="309" t="s">
        <v>65</v>
      </c>
      <c r="B52" s="310"/>
      <c r="C52" s="311">
        <f ca="1">C31+C51</f>
        <v>28925</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5" t="s">
        <v>156</v>
      </c>
      <c r="B1" s="3345"/>
      <c r="C1" s="3345"/>
      <c r="D1" s="3345"/>
      <c r="E1" s="3345"/>
      <c r="F1" s="334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6" t="s">
        <v>169</v>
      </c>
      <c r="B2" s="3346"/>
      <c r="C2" s="3346"/>
      <c r="D2" s="3346"/>
      <c r="E2" s="3346"/>
      <c r="F2" s="334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5" t="s">
        <v>871</v>
      </c>
      <c r="B1" s="334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43335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workbookViewId="0">
      <selection activeCell="M36" sqref="M36"/>
    </sheetView>
  </sheetViews>
  <sheetFormatPr defaultRowHeight="29.25" customHeight="1"/>
  <cols>
    <col min="1" max="1" width="5.25" style="2954" bestFit="1" customWidth="1"/>
    <col min="2" max="2" width="10.25" style="2954" bestFit="1" customWidth="1"/>
    <col min="3" max="3" width="5.25" style="2954" bestFit="1" customWidth="1"/>
    <col min="4" max="4" width="9" style="2954"/>
    <col min="5" max="5" width="11.625" style="2983" customWidth="1"/>
    <col min="6" max="12" width="11.625" style="2954" customWidth="1"/>
    <col min="13" max="13" width="23.875" style="2983" bestFit="1" customWidth="1"/>
    <col min="14" max="14" width="7.5" style="2954" bestFit="1" customWidth="1"/>
    <col min="15" max="15" width="17.25" style="2954" bestFit="1" customWidth="1"/>
    <col min="16" max="16" width="15.625" style="2954" bestFit="1" customWidth="1"/>
    <col min="17" max="17" width="12.25" style="2954" bestFit="1" customWidth="1"/>
    <col min="18" max="18" width="10.5" style="2954" customWidth="1"/>
    <col min="19" max="16384" width="9" style="2954"/>
  </cols>
  <sheetData>
    <row r="1" spans="1:18" ht="11.25">
      <c r="A1" s="3359" t="s">
        <v>3068</v>
      </c>
      <c r="B1" s="3355" t="s">
        <v>3069</v>
      </c>
      <c r="C1" s="3355" t="s">
        <v>3070</v>
      </c>
      <c r="D1" s="3355" t="s">
        <v>3071</v>
      </c>
      <c r="E1" s="3355" t="s">
        <v>3072</v>
      </c>
      <c r="F1" s="3355" t="s">
        <v>3073</v>
      </c>
      <c r="G1" s="3355" t="s">
        <v>3074</v>
      </c>
      <c r="H1" s="3357" t="s">
        <v>3075</v>
      </c>
      <c r="I1" s="3349" t="s">
        <v>3076</v>
      </c>
      <c r="J1" s="3349"/>
      <c r="K1" s="3349"/>
      <c r="L1" s="3349" t="s">
        <v>3077</v>
      </c>
      <c r="M1" s="3349"/>
      <c r="N1" s="3349" t="s">
        <v>3078</v>
      </c>
      <c r="O1" s="3349" t="s">
        <v>3079</v>
      </c>
      <c r="P1" s="3349" t="s">
        <v>3080</v>
      </c>
      <c r="Q1" s="3351" t="s">
        <v>3081</v>
      </c>
    </row>
    <row r="2" spans="1:18" ht="11.25">
      <c r="A2" s="3360"/>
      <c r="B2" s="3356"/>
      <c r="C2" s="3356"/>
      <c r="D2" s="3356"/>
      <c r="E2" s="3356"/>
      <c r="F2" s="3356"/>
      <c r="G2" s="3356"/>
      <c r="H2" s="3358"/>
      <c r="I2" s="3350"/>
      <c r="J2" s="3350"/>
      <c r="K2" s="3350"/>
      <c r="L2" s="3350"/>
      <c r="M2" s="3350"/>
      <c r="N2" s="3350"/>
      <c r="O2" s="3350"/>
      <c r="P2" s="3350"/>
      <c r="Q2" s="3352"/>
    </row>
    <row r="3" spans="1:18" ht="11.25">
      <c r="A3" s="3360"/>
      <c r="B3" s="3356"/>
      <c r="C3" s="3356"/>
      <c r="D3" s="3356"/>
      <c r="E3" s="3356"/>
      <c r="F3" s="3356"/>
      <c r="G3" s="3356"/>
      <c r="H3" s="3358"/>
      <c r="I3" s="2955" t="s">
        <v>3082</v>
      </c>
      <c r="J3" s="2955" t="s">
        <v>3083</v>
      </c>
      <c r="K3" s="2955" t="s">
        <v>3084</v>
      </c>
      <c r="L3" s="2955" t="s">
        <v>3085</v>
      </c>
      <c r="M3" s="2955" t="s">
        <v>3086</v>
      </c>
      <c r="N3" s="3350"/>
      <c r="O3" s="3350"/>
      <c r="P3" s="3350"/>
      <c r="Q3" s="3352"/>
    </row>
    <row r="4" spans="1:18" ht="12">
      <c r="A4" s="2956">
        <v>1</v>
      </c>
      <c r="B4" s="2957" t="s">
        <v>3087</v>
      </c>
      <c r="C4" s="2957" t="s">
        <v>3088</v>
      </c>
      <c r="D4" s="2958">
        <v>292.33999999999997</v>
      </c>
      <c r="E4" s="2958">
        <v>273.04000000000002</v>
      </c>
      <c r="F4" s="2957" t="s">
        <v>3089</v>
      </c>
      <c r="G4" s="2959" t="s">
        <v>3090</v>
      </c>
      <c r="H4" s="2960" t="s">
        <v>3091</v>
      </c>
      <c r="I4" s="2961" t="s">
        <v>3092</v>
      </c>
      <c r="J4" s="2961" t="s">
        <v>3093</v>
      </c>
      <c r="K4" s="2961" t="s">
        <v>3094</v>
      </c>
      <c r="L4" s="2961" t="s">
        <v>3095</v>
      </c>
      <c r="M4" s="2961" t="s">
        <v>3096</v>
      </c>
      <c r="N4" s="2955" t="s">
        <v>3097</v>
      </c>
      <c r="O4" s="2962" t="s">
        <v>3098</v>
      </c>
      <c r="P4" s="2963">
        <v>136047.6</v>
      </c>
      <c r="Q4" s="2964">
        <v>493239.56666666665</v>
      </c>
      <c r="R4" s="2965">
        <f>Q4/D4/365</f>
        <v>4.6224987293521682</v>
      </c>
    </row>
    <row r="5" spans="1:18" ht="12">
      <c r="A5" s="2956">
        <v>2</v>
      </c>
      <c r="B5" s="2957" t="s">
        <v>3087</v>
      </c>
      <c r="C5" s="2957" t="s">
        <v>3099</v>
      </c>
      <c r="D5" s="2958">
        <v>156.91999999999999</v>
      </c>
      <c r="E5" s="2958">
        <v>146.56</v>
      </c>
      <c r="F5" s="2957" t="s">
        <v>3089</v>
      </c>
      <c r="G5" s="2959" t="s">
        <v>3090</v>
      </c>
      <c r="H5" s="2960" t="s">
        <v>3091</v>
      </c>
      <c r="I5" s="2961" t="s">
        <v>3092</v>
      </c>
      <c r="J5" s="2961" t="s">
        <v>3093</v>
      </c>
      <c r="K5" s="2961" t="s">
        <v>3094</v>
      </c>
      <c r="L5" s="2961" t="s">
        <v>3095</v>
      </c>
      <c r="M5" s="2961" t="s">
        <v>3096</v>
      </c>
      <c r="N5" s="2955" t="s">
        <v>3097</v>
      </c>
      <c r="O5" s="2961" t="s">
        <v>3100</v>
      </c>
      <c r="P5" s="2963">
        <v>73026.616666666669</v>
      </c>
      <c r="Q5" s="2964">
        <v>264757.25555555557</v>
      </c>
      <c r="R5" s="2965">
        <f t="shared" ref="R5:R10" si="0">Q5/D5/365</f>
        <v>4.6224977312504691</v>
      </c>
    </row>
    <row r="6" spans="1:18" ht="12">
      <c r="A6" s="2956">
        <v>3</v>
      </c>
      <c r="B6" s="2957" t="s">
        <v>3087</v>
      </c>
      <c r="C6" s="2957" t="s">
        <v>3101</v>
      </c>
      <c r="D6" s="2958">
        <v>144.93</v>
      </c>
      <c r="E6" s="2958">
        <v>135.36000000000001</v>
      </c>
      <c r="F6" s="2957" t="s">
        <v>3089</v>
      </c>
      <c r="G6" s="2959" t="s">
        <v>3102</v>
      </c>
      <c r="H6" s="2960" t="s">
        <v>3103</v>
      </c>
      <c r="I6" s="2961" t="s">
        <v>3104</v>
      </c>
      <c r="J6" s="2961" t="s">
        <v>3105</v>
      </c>
      <c r="K6" s="2961" t="s">
        <v>3106</v>
      </c>
      <c r="L6" s="2961" t="s">
        <v>3107</v>
      </c>
      <c r="M6" s="2961" t="s">
        <v>3108</v>
      </c>
      <c r="N6" s="2955" t="s">
        <v>3109</v>
      </c>
      <c r="O6" s="2989" t="s">
        <v>3110</v>
      </c>
      <c r="P6" s="2963">
        <v>0</v>
      </c>
      <c r="Q6" s="2964">
        <v>225483.40833333333</v>
      </c>
      <c r="R6" s="2965">
        <f t="shared" si="0"/>
        <v>4.2624905993036473</v>
      </c>
    </row>
    <row r="7" spans="1:18" ht="12">
      <c r="A7" s="2956">
        <v>4</v>
      </c>
      <c r="B7" s="2957" t="s">
        <v>3087</v>
      </c>
      <c r="C7" s="2957" t="s">
        <v>3111</v>
      </c>
      <c r="D7" s="2958">
        <v>119.6</v>
      </c>
      <c r="E7" s="2958">
        <v>111.71</v>
      </c>
      <c r="F7" s="2957" t="s">
        <v>3089</v>
      </c>
      <c r="G7" s="2959" t="s">
        <v>3102</v>
      </c>
      <c r="H7" s="2960" t="s">
        <v>3112</v>
      </c>
      <c r="I7" s="2961" t="s">
        <v>3113</v>
      </c>
      <c r="J7" s="2961" t="s">
        <v>3114</v>
      </c>
      <c r="K7" s="2961" t="s">
        <v>3115</v>
      </c>
      <c r="L7" s="2961" t="s">
        <v>3107</v>
      </c>
      <c r="M7" s="2961" t="s">
        <v>3116</v>
      </c>
      <c r="N7" s="2955" t="s">
        <v>3109</v>
      </c>
      <c r="O7" s="2961" t="s">
        <v>3117</v>
      </c>
      <c r="P7" s="2963">
        <v>55658.85</v>
      </c>
      <c r="Q7" s="2964">
        <v>201790.53333333335</v>
      </c>
      <c r="R7" s="2965">
        <f t="shared" si="0"/>
        <v>4.6224981292283269</v>
      </c>
    </row>
    <row r="8" spans="1:18" ht="12">
      <c r="A8" s="2956">
        <v>5</v>
      </c>
      <c r="B8" s="2957" t="s">
        <v>3087</v>
      </c>
      <c r="C8" s="2957" t="s">
        <v>3118</v>
      </c>
      <c r="D8" s="2958">
        <v>131.99</v>
      </c>
      <c r="E8" s="2958">
        <v>123.28</v>
      </c>
      <c r="F8" s="2957" t="s">
        <v>3089</v>
      </c>
      <c r="G8" s="2959" t="s">
        <v>3102</v>
      </c>
      <c r="H8" s="2960" t="s">
        <v>3119</v>
      </c>
      <c r="I8" s="2961" t="s">
        <v>3113</v>
      </c>
      <c r="J8" s="2961" t="s">
        <v>3120</v>
      </c>
      <c r="K8" s="2961" t="s">
        <v>3121</v>
      </c>
      <c r="L8" s="2961" t="s">
        <v>3095</v>
      </c>
      <c r="M8" s="2961" t="s">
        <v>3122</v>
      </c>
      <c r="N8" s="2955" t="s">
        <v>3097</v>
      </c>
      <c r="O8" s="2989" t="s">
        <v>3123</v>
      </c>
      <c r="P8" s="2963">
        <v>43358.625</v>
      </c>
      <c r="Q8" s="2964">
        <v>231246</v>
      </c>
      <c r="R8" s="2965">
        <f t="shared" si="0"/>
        <v>4.7999900366050978</v>
      </c>
    </row>
    <row r="9" spans="1:18" ht="12">
      <c r="A9" s="2956">
        <v>6</v>
      </c>
      <c r="B9" s="2957" t="s">
        <v>3087</v>
      </c>
      <c r="C9" s="2957" t="s">
        <v>3124</v>
      </c>
      <c r="D9" s="2958">
        <v>131.99</v>
      </c>
      <c r="E9" s="2958">
        <v>123.28</v>
      </c>
      <c r="F9" s="2957" t="s">
        <v>3089</v>
      </c>
      <c r="G9" s="2959" t="s">
        <v>3090</v>
      </c>
      <c r="H9" s="2960" t="s">
        <v>3125</v>
      </c>
      <c r="I9" s="2961" t="s">
        <v>3126</v>
      </c>
      <c r="J9" s="2961" t="s">
        <v>3120</v>
      </c>
      <c r="K9" s="2961" t="s">
        <v>3121</v>
      </c>
      <c r="L9" s="2961" t="s">
        <v>3095</v>
      </c>
      <c r="M9" s="2961" t="s">
        <v>3122</v>
      </c>
      <c r="N9" s="2955" t="s">
        <v>3097</v>
      </c>
      <c r="O9" s="2989" t="s">
        <v>3123</v>
      </c>
      <c r="P9" s="2963">
        <v>43358.625</v>
      </c>
      <c r="Q9" s="2964">
        <v>231246</v>
      </c>
      <c r="R9" s="2965">
        <f t="shared" si="0"/>
        <v>4.7999900366050978</v>
      </c>
    </row>
    <row r="10" spans="1:18" ht="12">
      <c r="A10" s="2956">
        <v>7</v>
      </c>
      <c r="B10" s="2957" t="s">
        <v>3087</v>
      </c>
      <c r="C10" s="2957" t="s">
        <v>3127</v>
      </c>
      <c r="D10" s="2958">
        <v>131.99</v>
      </c>
      <c r="E10" s="2958">
        <v>123.28</v>
      </c>
      <c r="F10" s="2957" t="s">
        <v>3089</v>
      </c>
      <c r="G10" s="2959" t="s">
        <v>3090</v>
      </c>
      <c r="H10" s="2960" t="s">
        <v>3128</v>
      </c>
      <c r="I10" s="2961" t="s">
        <v>3126</v>
      </c>
      <c r="J10" s="2961" t="s">
        <v>3129</v>
      </c>
      <c r="K10" s="2961" t="s">
        <v>3130</v>
      </c>
      <c r="L10" s="2961" t="s">
        <v>3095</v>
      </c>
      <c r="M10" s="2961" t="s">
        <v>3131</v>
      </c>
      <c r="N10" s="2955" t="s">
        <v>3132</v>
      </c>
      <c r="O10" s="2989" t="s">
        <v>3123</v>
      </c>
      <c r="P10" s="2963">
        <v>0</v>
      </c>
      <c r="Q10" s="2964">
        <v>180660.83333333334</v>
      </c>
      <c r="R10" s="2965">
        <f t="shared" si="0"/>
        <v>3.7499900539026583</v>
      </c>
    </row>
    <row r="11" spans="1:18" ht="12">
      <c r="A11" s="2956">
        <v>8</v>
      </c>
      <c r="B11" s="2957" t="s">
        <v>3087</v>
      </c>
      <c r="C11" s="2957" t="s">
        <v>3133</v>
      </c>
      <c r="D11" s="2958">
        <v>162.61000000000001</v>
      </c>
      <c r="E11" s="2958">
        <v>151.88</v>
      </c>
      <c r="F11" s="2957" t="s">
        <v>3089</v>
      </c>
      <c r="G11" s="2959" t="s">
        <v>3134</v>
      </c>
      <c r="H11" s="2960" t="s">
        <v>3128</v>
      </c>
      <c r="I11" s="2966"/>
      <c r="J11" s="2966"/>
      <c r="K11" s="2966"/>
      <c r="L11" s="2966"/>
      <c r="M11" s="2966"/>
      <c r="N11" s="2966"/>
      <c r="O11" s="2966"/>
      <c r="P11" s="2967"/>
      <c r="Q11" s="2968"/>
      <c r="R11" s="2965"/>
    </row>
    <row r="12" spans="1:18" s="2977" customFormat="1" ht="12">
      <c r="A12" s="2969">
        <v>6</v>
      </c>
      <c r="B12" s="2957" t="s">
        <v>3087</v>
      </c>
      <c r="C12" s="2970">
        <v>107</v>
      </c>
      <c r="D12" s="2971">
        <v>126.36</v>
      </c>
      <c r="E12" s="2971">
        <v>118.02</v>
      </c>
      <c r="F12" s="2970" t="s">
        <v>3089</v>
      </c>
      <c r="G12" s="2972"/>
      <c r="H12" s="2972" t="s">
        <v>3135</v>
      </c>
      <c r="I12" s="2973" t="s">
        <v>3136</v>
      </c>
      <c r="J12" s="2973" t="s">
        <v>3137</v>
      </c>
      <c r="K12" s="2973" t="s">
        <v>3138</v>
      </c>
      <c r="L12" s="2973" t="s">
        <v>3139</v>
      </c>
      <c r="M12" s="2973" t="s">
        <v>3140</v>
      </c>
      <c r="N12" s="2974" t="s">
        <v>3141</v>
      </c>
      <c r="O12" s="2989" t="s">
        <v>3123</v>
      </c>
      <c r="P12" s="2975"/>
      <c r="Q12" s="2975">
        <v>51886.5</v>
      </c>
      <c r="R12" s="2976">
        <f>Q12/D12/90</f>
        <v>4.5624934050859975</v>
      </c>
    </row>
    <row r="13" spans="1:18" ht="12.75" thickBot="1">
      <c r="A13" s="3353" t="s">
        <v>3142</v>
      </c>
      <c r="B13" s="3354"/>
      <c r="C13" s="2978">
        <v>9</v>
      </c>
      <c r="D13" s="2979">
        <f>SUM(D4:D12)</f>
        <v>1398.7300000000002</v>
      </c>
      <c r="E13" s="2979">
        <f>SUM(E4:E12)</f>
        <v>1306.4099999999999</v>
      </c>
      <c r="F13" s="2980"/>
      <c r="G13" s="2980"/>
      <c r="H13" s="2980"/>
      <c r="I13" s="2980"/>
      <c r="J13" s="2980"/>
      <c r="K13" s="2980"/>
      <c r="L13" s="2980"/>
      <c r="M13" s="2980"/>
      <c r="N13" s="2980"/>
      <c r="O13" s="2980"/>
      <c r="P13" s="2981">
        <f>SUM(P4:P12)</f>
        <v>351450.31666666665</v>
      </c>
      <c r="Q13" s="2982">
        <f>SUM(Q4:Q12)</f>
        <v>1880310.0972222222</v>
      </c>
      <c r="R13" s="2965"/>
    </row>
    <row r="15" spans="1:18" s="2983" customFormat="1" ht="29.25" customHeight="1">
      <c r="E15" s="2984" t="s">
        <v>3143</v>
      </c>
      <c r="F15" s="2984" t="s">
        <v>3144</v>
      </c>
      <c r="G15" s="2984" t="s">
        <v>3145</v>
      </c>
      <c r="H15" s="2984" t="s">
        <v>3146</v>
      </c>
      <c r="I15" s="2984" t="s">
        <v>3147</v>
      </c>
      <c r="J15" s="2984" t="s">
        <v>3148</v>
      </c>
      <c r="K15" s="2984" t="s">
        <v>3149</v>
      </c>
      <c r="L15" s="2984" t="s">
        <v>3150</v>
      </c>
    </row>
    <row r="16" spans="1:18" s="2983" customFormat="1" ht="29.25" customHeight="1">
      <c r="D16" s="2983" t="s">
        <v>3151</v>
      </c>
      <c r="E16" s="2983">
        <v>0.35</v>
      </c>
      <c r="F16" s="2983">
        <v>1</v>
      </c>
      <c r="G16" s="2983">
        <v>1</v>
      </c>
      <c r="H16" s="2983">
        <v>1</v>
      </c>
      <c r="I16" s="2983">
        <v>1</v>
      </c>
      <c r="J16" s="2983">
        <v>1</v>
      </c>
      <c r="K16" s="2983">
        <v>1</v>
      </c>
      <c r="L16" s="2983">
        <v>0.44</v>
      </c>
      <c r="M16" s="2983">
        <v>6.79</v>
      </c>
    </row>
    <row r="17" spans="3:13" s="2983" customFormat="1" ht="29.25" customHeight="1">
      <c r="C17" s="2983">
        <v>101</v>
      </c>
      <c r="D17" s="2985">
        <f>D4</f>
        <v>292.33999999999997</v>
      </c>
      <c r="E17" s="2987">
        <f>R4</f>
        <v>4.6224987293521682</v>
      </c>
      <c r="F17" s="2988">
        <f t="shared" ref="F17:L17" si="1">E17*1.05</f>
        <v>4.8536236658197769</v>
      </c>
      <c r="G17" s="2987">
        <f t="shared" si="1"/>
        <v>5.0963048491107656</v>
      </c>
      <c r="H17" s="2987">
        <f t="shared" si="1"/>
        <v>5.3511200915663037</v>
      </c>
      <c r="I17" s="2987">
        <f t="shared" si="1"/>
        <v>5.6186760961446192</v>
      </c>
      <c r="J17" s="2987">
        <f t="shared" si="1"/>
        <v>5.8996099009518508</v>
      </c>
      <c r="K17" s="2987">
        <f t="shared" si="1"/>
        <v>6.1945903959994437</v>
      </c>
      <c r="L17" s="2987">
        <f t="shared" si="1"/>
        <v>6.5043199157994165</v>
      </c>
      <c r="M17" s="2987"/>
    </row>
    <row r="18" spans="3:13" s="2983" customFormat="1" ht="29.25" customHeight="1">
      <c r="D18" s="2985"/>
      <c r="E18" s="2987">
        <f>E17*D4*365*E16</f>
        <v>172633.84833333333</v>
      </c>
      <c r="F18" s="2988">
        <f>F17*D4*365</f>
        <v>517901.54500000004</v>
      </c>
      <c r="G18" s="2987">
        <f>G17*D4*365</f>
        <v>543796.62225000001</v>
      </c>
      <c r="H18" s="2987">
        <f>H17*D4*365</f>
        <v>570986.45336250006</v>
      </c>
      <c r="I18" s="2987">
        <f>I17*D4*365</f>
        <v>599535.77603062498</v>
      </c>
      <c r="J18" s="2987">
        <f>J17*D4*365</f>
        <v>629512.56483215629</v>
      </c>
      <c r="K18" s="2987">
        <f>K17*D4*365</f>
        <v>660988.19307376421</v>
      </c>
      <c r="L18" s="2987">
        <f>L17*D4*365*L16</f>
        <v>305376.54520007904</v>
      </c>
      <c r="M18" s="2987">
        <f>SUM(E18:L18)</f>
        <v>4000731.5480824583</v>
      </c>
    </row>
    <row r="19" spans="3:13" s="2983" customFormat="1" ht="29.25" customHeight="1">
      <c r="C19" s="2983">
        <v>102</v>
      </c>
      <c r="D19" s="2985">
        <f>D5</f>
        <v>156.91999999999999</v>
      </c>
      <c r="E19" s="2987">
        <f t="shared" ref="E19" si="2">R5</f>
        <v>4.6224977312504691</v>
      </c>
      <c r="F19" s="2988">
        <f t="shared" ref="F19:L19" si="3">E19*1.05</f>
        <v>4.8536226178129924</v>
      </c>
      <c r="G19" s="2987">
        <f t="shared" si="3"/>
        <v>5.096303748703642</v>
      </c>
      <c r="H19" s="2987">
        <f t="shared" si="3"/>
        <v>5.3511189361388247</v>
      </c>
      <c r="I19" s="2987">
        <f t="shared" si="3"/>
        <v>5.6186748829457658</v>
      </c>
      <c r="J19" s="2987">
        <f t="shared" si="3"/>
        <v>5.8996086270930546</v>
      </c>
      <c r="K19" s="2987">
        <f t="shared" si="3"/>
        <v>6.1945890584477077</v>
      </c>
      <c r="L19" s="2987">
        <f t="shared" si="3"/>
        <v>6.5043185113700934</v>
      </c>
    </row>
    <row r="20" spans="3:13" s="2983" customFormat="1" ht="29.25" customHeight="1">
      <c r="D20" s="2985"/>
      <c r="E20" s="2987">
        <f>E19*D5*365*E16</f>
        <v>92665.039444444468</v>
      </c>
      <c r="F20" s="2987">
        <f>F19*D5*365</f>
        <v>277995.11833333335</v>
      </c>
      <c r="G20" s="2987">
        <f>G19*D5*365</f>
        <v>291894.87425000005</v>
      </c>
      <c r="H20" s="2987">
        <f>H19*D5*365</f>
        <v>306489.61796250008</v>
      </c>
      <c r="I20" s="2987">
        <f>I19*D5*365</f>
        <v>321814.09886062506</v>
      </c>
      <c r="J20" s="2987">
        <f>J19*D5*365</f>
        <v>337904.80380365637</v>
      </c>
      <c r="K20" s="2987">
        <f>K19*D5*365</f>
        <v>354800.04399383918</v>
      </c>
      <c r="L20" s="2987">
        <f>L19*D5*365*L16</f>
        <v>163917.62032515369</v>
      </c>
      <c r="M20" s="2987">
        <f>SUM(E20:L20)</f>
        <v>2147481.216973552</v>
      </c>
    </row>
    <row r="21" spans="3:13" s="2983" customFormat="1" ht="29.25" customHeight="1">
      <c r="C21" s="2983">
        <v>103</v>
      </c>
      <c r="D21" s="2985">
        <f t="shared" ref="D21" si="4">D6</f>
        <v>144.93</v>
      </c>
      <c r="E21" s="2987">
        <f>R6</f>
        <v>4.2624905993036473</v>
      </c>
      <c r="F21" s="2987">
        <f>E21</f>
        <v>4.2624905993036473</v>
      </c>
      <c r="G21" s="2987">
        <f t="shared" ref="G21:L21" si="5">F21*1.05</f>
        <v>4.4756151292688298</v>
      </c>
      <c r="H21" s="2987">
        <f t="shared" si="5"/>
        <v>4.6993958857322715</v>
      </c>
      <c r="I21" s="2987">
        <f t="shared" si="5"/>
        <v>4.9343656800188853</v>
      </c>
      <c r="J21" s="2987">
        <f t="shared" si="5"/>
        <v>5.1810839640198294</v>
      </c>
      <c r="K21" s="2987">
        <f t="shared" si="5"/>
        <v>5.4401381622208209</v>
      </c>
      <c r="L21" s="2987">
        <f t="shared" si="5"/>
        <v>5.7121450703318626</v>
      </c>
    </row>
    <row r="22" spans="3:13" s="2983" customFormat="1" ht="29.25" customHeight="1">
      <c r="D22" s="2985"/>
      <c r="E22" s="2987">
        <f>E21*D6*365*E16</f>
        <v>78919.192916666652</v>
      </c>
      <c r="F22" s="2987">
        <f>F21*D6*365</f>
        <v>225483.40833333333</v>
      </c>
      <c r="G22" s="2987">
        <f>G21*D6*365</f>
        <v>236757.57875000002</v>
      </c>
      <c r="H22" s="2987">
        <f>H21*D6*365</f>
        <v>248595.45768750002</v>
      </c>
      <c r="I22" s="2987">
        <f>I21*D6*365</f>
        <v>261025.23057187503</v>
      </c>
      <c r="J22" s="2987">
        <f>J21*365*D6</f>
        <v>274076.49210046878</v>
      </c>
      <c r="K22" s="2987">
        <f>K21*D6*365</f>
        <v>287780.31670549227</v>
      </c>
      <c r="L22" s="2987">
        <f>L21*D6*365*L16</f>
        <v>132954.50631793743</v>
      </c>
      <c r="M22" s="2987">
        <f>SUM(E22:L22)</f>
        <v>1745592.1833832737</v>
      </c>
    </row>
    <row r="23" spans="3:13" s="2983" customFormat="1" ht="29.25" customHeight="1">
      <c r="C23" s="2983">
        <v>110</v>
      </c>
      <c r="D23" s="2985">
        <f>D7</f>
        <v>119.6</v>
      </c>
      <c r="E23" s="2987">
        <f>R7</f>
        <v>4.6224981292283269</v>
      </c>
      <c r="F23" s="2987">
        <f t="shared" ref="F23:L23" si="6">E23*1.05</f>
        <v>4.8536230356897434</v>
      </c>
      <c r="G23" s="2987">
        <f t="shared" si="6"/>
        <v>5.0963041874742308</v>
      </c>
      <c r="H23" s="2987">
        <f t="shared" si="6"/>
        <v>5.3511193968479427</v>
      </c>
      <c r="I23" s="2987">
        <f t="shared" si="6"/>
        <v>5.61867536669034</v>
      </c>
      <c r="J23" s="2987">
        <f t="shared" si="6"/>
        <v>5.899609135024857</v>
      </c>
      <c r="K23" s="2987">
        <f t="shared" si="6"/>
        <v>6.1945895917760998</v>
      </c>
      <c r="L23" s="2987">
        <f t="shared" si="6"/>
        <v>6.5043190713649048</v>
      </c>
    </row>
    <row r="24" spans="3:13" s="2983" customFormat="1" ht="29.25" customHeight="1">
      <c r="D24" s="2985"/>
      <c r="E24" s="2987">
        <f>E23*D23*365*E16</f>
        <v>70626.686666666676</v>
      </c>
      <c r="F24" s="2987">
        <f>F23*D23*365</f>
        <v>211880.06000000006</v>
      </c>
      <c r="G24" s="2987">
        <f>G23*D23*365</f>
        <v>222474.06300000005</v>
      </c>
      <c r="H24" s="2987">
        <f>H23*D23*365</f>
        <v>233597.7661500001</v>
      </c>
      <c r="I24" s="2987">
        <f>I23*D23*365</f>
        <v>245277.65445750009</v>
      </c>
      <c r="J24" s="2987">
        <f>J23*D23*365</f>
        <v>257541.53718037507</v>
      </c>
      <c r="K24" s="2987">
        <f>K23*D23*365</f>
        <v>270418.61403939384</v>
      </c>
      <c r="L24" s="2987">
        <f>L23*D23*365*L16</f>
        <v>124933.39968619996</v>
      </c>
      <c r="M24" s="2987">
        <f>SUM(E24:L24)</f>
        <v>1636749.7811801359</v>
      </c>
    </row>
    <row r="25" spans="3:13" s="2983" customFormat="1" ht="29.25" customHeight="1">
      <c r="C25" s="2983">
        <v>111</v>
      </c>
      <c r="D25" s="2985">
        <f>D8</f>
        <v>131.99</v>
      </c>
      <c r="E25" s="2987">
        <f>R8</f>
        <v>4.7999900366050978</v>
      </c>
      <c r="F25" s="2987">
        <f>E25</f>
        <v>4.7999900366050978</v>
      </c>
      <c r="G25" s="2987">
        <f t="shared" ref="G25:L25" si="7">F25*1.05</f>
        <v>5.0399895384353526</v>
      </c>
      <c r="H25" s="2987">
        <f t="shared" si="7"/>
        <v>5.2919890153571201</v>
      </c>
      <c r="I25" s="2987">
        <f t="shared" si="7"/>
        <v>5.5565884661249765</v>
      </c>
      <c r="J25" s="2987">
        <f t="shared" si="7"/>
        <v>5.8344178894312257</v>
      </c>
      <c r="K25" s="2987">
        <f t="shared" si="7"/>
        <v>6.1261387839027872</v>
      </c>
      <c r="L25" s="2987">
        <f t="shared" si="7"/>
        <v>6.4324457230979268</v>
      </c>
    </row>
    <row r="26" spans="3:13" s="2983" customFormat="1" ht="29.25" customHeight="1">
      <c r="D26" s="2985"/>
      <c r="E26" s="2987">
        <f>E25*D25*365*E16</f>
        <v>80936.100000000006</v>
      </c>
      <c r="F26" s="2987">
        <f>F25*D25*365</f>
        <v>231246.00000000003</v>
      </c>
      <c r="G26" s="2987">
        <f>G25*D25*365</f>
        <v>242808.30000000002</v>
      </c>
      <c r="H26" s="2987">
        <f>H25*D25*365</f>
        <v>254948.715</v>
      </c>
      <c r="I26" s="2987">
        <f>I25*D25*365</f>
        <v>267696.15075000003</v>
      </c>
      <c r="J26" s="2987">
        <f>J25*D25*365</f>
        <v>281080.95828750008</v>
      </c>
      <c r="K26" s="2987">
        <f>K25*D25*365</f>
        <v>295135.00620187505</v>
      </c>
      <c r="L26" s="2987">
        <f>L25*D25*365</f>
        <v>309891.75651196879</v>
      </c>
      <c r="M26" s="2987">
        <f>SUM(E26:L26)</f>
        <v>1963742.9867513438</v>
      </c>
    </row>
    <row r="27" spans="3:13" s="2983" customFormat="1" ht="29.25" customHeight="1">
      <c r="C27" s="2983">
        <v>112</v>
      </c>
      <c r="D27" s="2985">
        <f>D9</f>
        <v>131.99</v>
      </c>
      <c r="E27" s="2987">
        <f>R9</f>
        <v>4.7999900366050978</v>
      </c>
      <c r="F27" s="2987">
        <f>F25</f>
        <v>4.7999900366050978</v>
      </c>
      <c r="G27" s="2987">
        <f>F27*1.05</f>
        <v>5.0399895384353526</v>
      </c>
      <c r="H27" s="2987">
        <f t="shared" ref="H27:L28" si="8">H25</f>
        <v>5.2919890153571201</v>
      </c>
      <c r="I27" s="2987">
        <f t="shared" si="8"/>
        <v>5.5565884661249765</v>
      </c>
      <c r="J27" s="2987">
        <f t="shared" si="8"/>
        <v>5.8344178894312257</v>
      </c>
      <c r="K27" s="2987">
        <f t="shared" si="8"/>
        <v>6.1261387839027872</v>
      </c>
      <c r="L27" s="2987">
        <f t="shared" si="8"/>
        <v>6.4324457230979268</v>
      </c>
    </row>
    <row r="28" spans="3:13" s="2983" customFormat="1" ht="29.25" customHeight="1">
      <c r="D28" s="2985"/>
      <c r="E28" s="2987">
        <f>E26</f>
        <v>80936.100000000006</v>
      </c>
      <c r="F28" s="2987">
        <f>F26</f>
        <v>231246.00000000003</v>
      </c>
      <c r="G28" s="2987">
        <f>G26</f>
        <v>242808.30000000002</v>
      </c>
      <c r="H28" s="2987">
        <f t="shared" si="8"/>
        <v>254948.715</v>
      </c>
      <c r="I28" s="2987">
        <f t="shared" si="8"/>
        <v>267696.15075000003</v>
      </c>
      <c r="J28" s="2987">
        <f t="shared" si="8"/>
        <v>281080.95828750008</v>
      </c>
      <c r="K28" s="2987">
        <f t="shared" si="8"/>
        <v>295135.00620187505</v>
      </c>
      <c r="L28" s="2987">
        <f t="shared" si="8"/>
        <v>309891.75651196879</v>
      </c>
      <c r="M28" s="2987">
        <f>M26</f>
        <v>1963742.9867513438</v>
      </c>
    </row>
    <row r="29" spans="3:13" s="2983" customFormat="1" ht="29.25" customHeight="1">
      <c r="C29" s="2983">
        <v>113</v>
      </c>
      <c r="D29" s="2985">
        <f>D10</f>
        <v>131.99</v>
      </c>
      <c r="E29" s="2987">
        <f>R10</f>
        <v>3.7499900539026583</v>
      </c>
      <c r="F29" s="2987">
        <f>E29</f>
        <v>3.7499900539026583</v>
      </c>
      <c r="G29" s="2987">
        <f t="shared" ref="G29:L29" si="9">F29*1.05</f>
        <v>3.9374895565977912</v>
      </c>
      <c r="H29" s="2987">
        <f t="shared" si="9"/>
        <v>4.1343640344276809</v>
      </c>
      <c r="I29" s="2987">
        <f t="shared" si="9"/>
        <v>4.3410822361490649</v>
      </c>
      <c r="J29" s="2987">
        <f t="shared" si="9"/>
        <v>4.558136347956518</v>
      </c>
      <c r="K29" s="2987">
        <f t="shared" si="9"/>
        <v>4.7860431653543438</v>
      </c>
      <c r="L29" s="2987">
        <f t="shared" si="9"/>
        <v>5.0253453236220613</v>
      </c>
    </row>
    <row r="30" spans="3:13" s="2983" customFormat="1" ht="29.25" customHeight="1">
      <c r="D30" s="2985"/>
      <c r="E30" s="2987">
        <f>E29*D29*365*E16</f>
        <v>63231.291666666664</v>
      </c>
      <c r="F30" s="2987">
        <f>F29*D29*365</f>
        <v>180660.83333333334</v>
      </c>
      <c r="G30" s="2987">
        <f>G29*D29*365</f>
        <v>189693.875</v>
      </c>
      <c r="H30" s="2987">
        <f>H29*D29*365</f>
        <v>199178.56875000003</v>
      </c>
      <c r="I30" s="2987">
        <f>I29*D29*365</f>
        <v>209137.49718750003</v>
      </c>
      <c r="J30" s="2987">
        <f>J29*D29*365</f>
        <v>219594.37204687501</v>
      </c>
      <c r="K30" s="2987">
        <f>K29*D29*365</f>
        <v>230574.09064921874</v>
      </c>
      <c r="L30" s="2987">
        <f>L29*D29*365</f>
        <v>242102.79518167971</v>
      </c>
      <c r="M30" s="2987">
        <f>SUM(E30:L30)</f>
        <v>1534173.3238152736</v>
      </c>
    </row>
    <row r="31" spans="3:13" s="2983" customFormat="1" ht="29.25" customHeight="1">
      <c r="C31" s="2983">
        <v>114</v>
      </c>
      <c r="D31" s="2985">
        <f>D11</f>
        <v>162.61000000000001</v>
      </c>
      <c r="E31" s="2987">
        <f>R11</f>
        <v>0</v>
      </c>
    </row>
    <row r="32" spans="3:13" s="2983" customFormat="1" ht="29.25" customHeight="1">
      <c r="D32" s="2985"/>
      <c r="E32" s="2987"/>
    </row>
    <row r="33" spans="3:13" s="2983" customFormat="1" ht="29.25" customHeight="1">
      <c r="C33" s="2983">
        <v>107</v>
      </c>
      <c r="D33" s="2985">
        <f>D12</f>
        <v>126.36</v>
      </c>
      <c r="E33" s="2987">
        <f>R12</f>
        <v>4.5624934050859975</v>
      </c>
      <c r="F33" s="2987">
        <f>E33</f>
        <v>4.5624934050859975</v>
      </c>
      <c r="G33" s="2987">
        <f t="shared" ref="G33:L33" si="10">F33*1.05</f>
        <v>4.7906180753402978</v>
      </c>
      <c r="H33" s="2987">
        <f t="shared" si="10"/>
        <v>5.0301489791073131</v>
      </c>
      <c r="I33" s="2987">
        <f t="shared" si="10"/>
        <v>5.2816564280626785</v>
      </c>
      <c r="J33" s="2987">
        <f t="shared" si="10"/>
        <v>5.5457392494658126</v>
      </c>
      <c r="K33" s="2987">
        <f t="shared" si="10"/>
        <v>5.8230262119391032</v>
      </c>
      <c r="L33" s="2987">
        <f t="shared" si="10"/>
        <v>6.1141775225360586</v>
      </c>
    </row>
    <row r="34" spans="3:13" s="2983" customFormat="1" ht="29.25" customHeight="1">
      <c r="D34" s="2985"/>
      <c r="E34" s="2987">
        <f>E33*D33*365*E16</f>
        <v>73650.004166666651</v>
      </c>
      <c r="F34" s="2987">
        <f>F33*D33*365</f>
        <v>210428.58333333331</v>
      </c>
      <c r="G34" s="2987">
        <f>G33*D33*365</f>
        <v>220950.01250000004</v>
      </c>
      <c r="H34" s="2987">
        <f>H33*D33*365</f>
        <v>231997.51312500003</v>
      </c>
      <c r="I34" s="2987">
        <f>I33*D33*365</f>
        <v>243597.38878125002</v>
      </c>
      <c r="J34" s="2987">
        <f>J33*D33*365</f>
        <v>255777.25822031251</v>
      </c>
      <c r="K34" s="2987">
        <f>K33*D33*365</f>
        <v>268566.12113132817</v>
      </c>
      <c r="L34" s="2987">
        <f>L33*D33*365*L16</f>
        <v>124077.54796267359</v>
      </c>
      <c r="M34" s="2987">
        <f>SUM(E34:L34)</f>
        <v>1629044.4292205642</v>
      </c>
    </row>
    <row r="35" spans="3:13" ht="29.25" customHeight="1">
      <c r="D35" s="2986">
        <f>D13</f>
        <v>1398.7300000000002</v>
      </c>
      <c r="L35" s="2954" t="s">
        <v>3152</v>
      </c>
      <c r="M35" s="2987">
        <f>M18+M20+M22+M24+M26+M28+M30+M34</f>
        <v>16621258.456157947</v>
      </c>
    </row>
    <row r="36" spans="3:13" ht="29.25" customHeight="1">
      <c r="D36" s="2990">
        <f>D17+D19+D21+D23+D25+D27+D29+D33</f>
        <v>1236.1200000000001</v>
      </c>
      <c r="M36" s="2987">
        <f>M35/D36/365/M16</f>
        <v>5.4255107804463085</v>
      </c>
    </row>
  </sheetData>
  <mergeCells count="15">
    <mergeCell ref="P1:P3"/>
    <mergeCell ref="Q1:Q3"/>
    <mergeCell ref="A13:B13"/>
    <mergeCell ref="G1:G3"/>
    <mergeCell ref="H1:H3"/>
    <mergeCell ref="I1:K2"/>
    <mergeCell ref="L1:M2"/>
    <mergeCell ref="N1:N3"/>
    <mergeCell ref="O1:O3"/>
    <mergeCell ref="A1:A3"/>
    <mergeCell ref="B1:B3"/>
    <mergeCell ref="C1:C3"/>
    <mergeCell ref="D1:D3"/>
    <mergeCell ref="E1:E3"/>
    <mergeCell ref="F1:F3"/>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0"/>
  <sheetViews>
    <sheetView workbookViewId="0">
      <selection activeCell="E21" sqref="E21"/>
    </sheetView>
  </sheetViews>
  <sheetFormatPr defaultRowHeight="13.5"/>
  <cols>
    <col min="4" max="4" width="12.25" customWidth="1"/>
    <col min="5" max="5" width="9.5" bestFit="1" customWidth="1"/>
    <col min="6" max="6" width="11.625" customWidth="1"/>
  </cols>
  <sheetData>
    <row r="2" spans="2:12" ht="14.25">
      <c r="B2" s="3361" t="s">
        <v>3153</v>
      </c>
      <c r="C2" s="3361" t="s">
        <v>3154</v>
      </c>
      <c r="D2" s="3361" t="s">
        <v>3155</v>
      </c>
      <c r="E2" s="3361" t="s">
        <v>3156</v>
      </c>
      <c r="F2" s="3364" t="s">
        <v>3157</v>
      </c>
      <c r="G2" s="3365"/>
      <c r="H2" s="3365"/>
      <c r="I2" s="3365"/>
      <c r="J2" s="3365"/>
      <c r="K2" s="3365"/>
      <c r="L2" s="3365"/>
    </row>
    <row r="3" spans="2:12" ht="14.25">
      <c r="B3" s="3362"/>
      <c r="C3" s="3362"/>
      <c r="D3" s="3362"/>
      <c r="E3" s="3362"/>
      <c r="F3" s="3366" t="s">
        <v>37</v>
      </c>
      <c r="G3" s="3368"/>
      <c r="H3" s="3369"/>
      <c r="I3" s="3369"/>
      <c r="J3" s="3369"/>
      <c r="K3" s="3369"/>
      <c r="L3" s="3370"/>
    </row>
    <row r="4" spans="2:12" ht="14.25">
      <c r="B4" s="3363"/>
      <c r="C4" s="3363"/>
      <c r="D4" s="3363"/>
      <c r="E4" s="3363"/>
      <c r="F4" s="3367"/>
      <c r="G4" s="2991" t="s">
        <v>40</v>
      </c>
      <c r="H4" s="2992" t="s">
        <v>3158</v>
      </c>
      <c r="I4" s="2992" t="s">
        <v>3159</v>
      </c>
      <c r="J4" s="2992" t="s">
        <v>1377</v>
      </c>
      <c r="K4" s="2992" t="s">
        <v>27</v>
      </c>
      <c r="L4" s="2992"/>
    </row>
    <row r="5" spans="2:12" ht="14.25">
      <c r="B5" s="3371" t="s">
        <v>3160</v>
      </c>
      <c r="C5" s="3373" t="s">
        <v>3161</v>
      </c>
      <c r="D5" t="s">
        <v>3162</v>
      </c>
      <c r="E5" s="2992">
        <f>ROUND(F5/F15*E15,2)</f>
        <v>2119.27</v>
      </c>
      <c r="F5" s="2993">
        <f t="shared" ref="F5:F10" si="0">G5+M5</f>
        <v>2313.3200000000002</v>
      </c>
      <c r="G5" s="2993">
        <f t="shared" ref="G5:G10" si="1">SUM(H5:L5)</f>
        <v>2313.3200000000002</v>
      </c>
      <c r="H5" s="2992"/>
      <c r="I5" s="2992">
        <v>2313.3200000000002</v>
      </c>
      <c r="J5" s="2992"/>
      <c r="K5" s="2992"/>
      <c r="L5" s="2992"/>
    </row>
    <row r="6" spans="2:12" ht="14.25">
      <c r="B6" s="3372"/>
      <c r="C6" s="3374"/>
      <c r="D6" t="s">
        <v>3163</v>
      </c>
      <c r="E6" s="2992">
        <f>ROUND(F6/F15*E15,2)</f>
        <v>1685.52</v>
      </c>
      <c r="F6" s="2993">
        <f t="shared" si="0"/>
        <v>1839.86</v>
      </c>
      <c r="G6" s="2993">
        <f t="shared" si="1"/>
        <v>1839.86</v>
      </c>
      <c r="H6" s="2992"/>
      <c r="I6" s="2992">
        <v>1839.86</v>
      </c>
      <c r="J6" s="2992"/>
      <c r="K6" s="2992"/>
      <c r="L6" s="2992"/>
    </row>
    <row r="7" spans="2:12" ht="14.25">
      <c r="B7" s="3372"/>
      <c r="C7" s="3374"/>
      <c r="D7" t="s">
        <v>3164</v>
      </c>
      <c r="E7" s="2992">
        <f>ROUND(F7/F15*E15,2)</f>
        <v>1677.46</v>
      </c>
      <c r="F7" s="2993">
        <f t="shared" si="0"/>
        <v>1831.06</v>
      </c>
      <c r="G7" s="2993">
        <f t="shared" si="1"/>
        <v>1831.06</v>
      </c>
      <c r="H7" s="2992"/>
      <c r="I7" s="2992">
        <v>1831.06</v>
      </c>
      <c r="J7" s="2992"/>
      <c r="K7" s="2992"/>
      <c r="L7" s="2992"/>
    </row>
    <row r="8" spans="2:12" ht="14.25">
      <c r="B8" s="3372"/>
      <c r="C8" s="3374"/>
      <c r="D8" t="s">
        <v>3165</v>
      </c>
      <c r="E8" s="2992">
        <f>ROUND(F8/F15*E15,2)</f>
        <v>2482.09</v>
      </c>
      <c r="F8" s="2993">
        <f t="shared" si="0"/>
        <v>2709.36</v>
      </c>
      <c r="G8" s="2993">
        <f t="shared" si="1"/>
        <v>2709.36</v>
      </c>
      <c r="H8" s="2992"/>
      <c r="I8" s="2992">
        <v>2709.36</v>
      </c>
      <c r="J8" s="2992"/>
      <c r="K8" s="2992"/>
      <c r="L8" s="2992"/>
    </row>
    <row r="9" spans="2:12" ht="14.25">
      <c r="B9" s="3372"/>
      <c r="C9" s="3374"/>
      <c r="D9" t="s">
        <v>3166</v>
      </c>
      <c r="E9" s="2992">
        <f>ROUND(F9/F15*E15,2)</f>
        <v>2686</v>
      </c>
      <c r="F9" s="2993">
        <f t="shared" si="0"/>
        <v>2931.94</v>
      </c>
      <c r="G9" s="2993">
        <f t="shared" si="1"/>
        <v>2931.94</v>
      </c>
      <c r="H9" s="2992"/>
      <c r="I9" s="2992">
        <v>2931.94</v>
      </c>
      <c r="J9" s="2992"/>
      <c r="K9" s="2992"/>
      <c r="L9" s="2992"/>
    </row>
    <row r="10" spans="2:12" ht="14.25">
      <c r="B10" s="3372"/>
      <c r="C10" s="3374"/>
      <c r="D10" t="s">
        <v>3167</v>
      </c>
      <c r="E10" s="2992">
        <f>ROUND(F10/F15*E15,2)</f>
        <v>877.65</v>
      </c>
      <c r="F10" s="2993">
        <f t="shared" si="0"/>
        <v>958.01</v>
      </c>
      <c r="G10" s="2993">
        <f t="shared" si="1"/>
        <v>958.01</v>
      </c>
      <c r="H10" s="2992"/>
      <c r="I10" s="2992">
        <v>958.01</v>
      </c>
      <c r="J10" s="2992"/>
      <c r="K10" s="2992"/>
      <c r="L10" s="2992"/>
    </row>
    <row r="11" spans="2:12" ht="14.25">
      <c r="B11" s="3372"/>
      <c r="C11" s="3375" t="s">
        <v>3168</v>
      </c>
      <c r="D11" s="2994" t="s">
        <v>3169</v>
      </c>
      <c r="E11" s="2992">
        <f>ROUND(F11/F15*E15,2)</f>
        <v>18562.259999999998</v>
      </c>
      <c r="F11" s="2995">
        <v>20261.93</v>
      </c>
      <c r="G11" s="2993"/>
      <c r="H11" s="2992"/>
      <c r="I11" s="2992"/>
      <c r="J11" s="2992">
        <v>2126.83</v>
      </c>
      <c r="K11" s="2992">
        <f>F11-J11</f>
        <v>18135.099999999999</v>
      </c>
      <c r="L11" s="2992"/>
    </row>
    <row r="12" spans="2:12" ht="14.25">
      <c r="B12" s="3372"/>
      <c r="C12" s="3376"/>
      <c r="D12" s="2994" t="s">
        <v>3170</v>
      </c>
      <c r="E12" s="2992">
        <f>ROUND(F12/F15*E15,2)</f>
        <v>9053.9500000000007</v>
      </c>
      <c r="F12" s="2995">
        <v>9882.98</v>
      </c>
      <c r="G12" s="2993"/>
      <c r="H12" s="2992"/>
      <c r="I12" s="2992"/>
      <c r="J12" s="2992">
        <v>859.65</v>
      </c>
      <c r="K12" s="2992">
        <f>F12-J12</f>
        <v>9023.33</v>
      </c>
      <c r="L12" s="2992"/>
    </row>
    <row r="13" spans="2:12" ht="14.25">
      <c r="B13" s="3372"/>
      <c r="C13" s="3376"/>
      <c r="D13" s="2994" t="s">
        <v>3171</v>
      </c>
      <c r="E13" s="2992">
        <f>ROUND(F13/F15*E15,2)</f>
        <v>1227.98</v>
      </c>
      <c r="F13" s="2996">
        <v>1340.42</v>
      </c>
      <c r="G13" s="2993"/>
      <c r="H13" s="2992"/>
      <c r="I13" s="2992"/>
      <c r="J13" s="2992">
        <f>F13</f>
        <v>1340.42</v>
      </c>
      <c r="K13" s="2992"/>
      <c r="L13" s="2992"/>
    </row>
    <row r="14" spans="2:12" ht="14.25">
      <c r="B14" s="3372"/>
      <c r="C14" s="3376"/>
      <c r="D14" s="2997" t="s">
        <v>3172</v>
      </c>
      <c r="E14" s="2992">
        <f>ROUND(F14/F15*E15,2)</f>
        <v>2781.02</v>
      </c>
      <c r="F14" s="2996">
        <v>3035.67</v>
      </c>
      <c r="G14" s="2993"/>
      <c r="H14" s="2992"/>
      <c r="I14" s="2992"/>
      <c r="J14" s="2992">
        <f>F14</f>
        <v>3035.67</v>
      </c>
      <c r="K14" s="2992"/>
      <c r="L14" s="2992"/>
    </row>
    <row r="15" spans="2:12" ht="14.25">
      <c r="B15" s="2998"/>
      <c r="C15" s="2999" t="s">
        <v>3173</v>
      </c>
      <c r="D15" s="3000"/>
      <c r="E15" s="3001">
        <v>43153.2</v>
      </c>
      <c r="F15" s="3002">
        <v>47104.55</v>
      </c>
      <c r="G15" s="3002"/>
      <c r="H15" s="3003"/>
      <c r="I15" s="3003"/>
      <c r="J15" s="3003"/>
      <c r="K15" s="3003"/>
      <c r="L15" s="3003"/>
    </row>
    <row r="18" spans="4:5">
      <c r="D18" s="3004" t="s">
        <v>3174</v>
      </c>
      <c r="E18">
        <f>F11</f>
        <v>20261.93</v>
      </c>
    </row>
    <row r="19" spans="4:5">
      <c r="D19" s="3004" t="s">
        <v>3175</v>
      </c>
      <c r="E19" s="3005">
        <f>租约整理!D13</f>
        <v>1398.7300000000002</v>
      </c>
    </row>
    <row r="20" spans="4:5">
      <c r="D20" s="3004" t="s">
        <v>3176</v>
      </c>
      <c r="E20">
        <f>ROUND(E19/E18*E11,2)</f>
        <v>1281.4000000000001</v>
      </c>
    </row>
  </sheetData>
  <mergeCells count="10">
    <mergeCell ref="B5:B14"/>
    <mergeCell ref="C5:C10"/>
    <mergeCell ref="C11:C14"/>
    <mergeCell ref="B2:B4"/>
    <mergeCell ref="C2:C4"/>
    <mergeCell ref="D2:D4"/>
    <mergeCell ref="E2:E4"/>
    <mergeCell ref="F2:L2"/>
    <mergeCell ref="F3:F4"/>
    <mergeCell ref="G3:L3"/>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5" sqref="O9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1640</v>
      </c>
      <c r="B2" s="3041" t="s">
        <v>1641</v>
      </c>
      <c r="C2" s="3041" t="s">
        <v>1642</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47" t="s">
        <v>1637</v>
      </c>
      <c r="E3" s="1047" t="s">
        <v>1643</v>
      </c>
      <c r="F3" s="1047" t="s">
        <v>1637</v>
      </c>
      <c r="G3" s="1047" t="s">
        <v>1638</v>
      </c>
      <c r="H3" s="1047" t="s">
        <v>1637</v>
      </c>
      <c r="I3" s="1047" t="s">
        <v>1638</v>
      </c>
    </row>
    <row r="4" spans="1:9" ht="30">
      <c r="A4" s="1976" t="str">
        <f>项目基本情况!S2</f>
        <v>北京市丰台区万兴路1号院1号楼房地产</v>
      </c>
      <c r="B4" s="1047">
        <f>项目基本情况!C17</f>
        <v>1398.7300000000002</v>
      </c>
      <c r="C4" s="1047">
        <f>项目基本情况!C18</f>
        <v>1281.4000000000001</v>
      </c>
      <c r="D4" s="1047">
        <f ca="1">结果表!D118</f>
        <v>3489</v>
      </c>
      <c r="E4" s="1047">
        <f ca="1">结果表!E118</f>
        <v>24944</v>
      </c>
      <c r="F4" s="1047">
        <f ca="1">结果表!F118</f>
        <v>990</v>
      </c>
      <c r="G4" s="1047">
        <f ca="1">结果表!G118</f>
        <v>7078</v>
      </c>
      <c r="H4" s="1047">
        <f ca="1">结果表!H118</f>
        <v>4479</v>
      </c>
      <c r="I4" s="1047">
        <f ca="1">结果表!I118</f>
        <v>32022</v>
      </c>
    </row>
    <row r="5" spans="1:9" ht="30" customHeight="1">
      <c r="A5" s="3035" t="s">
        <v>1639</v>
      </c>
      <c r="B5" s="3035"/>
      <c r="C5" s="3035"/>
      <c r="D5" s="3036" t="str">
        <f ca="1">结果表!D119</f>
        <v>叁仟肆佰捌拾玖万元整</v>
      </c>
      <c r="E5" s="3036"/>
      <c r="F5" s="3036" t="str">
        <f ca="1">结果表!F119</f>
        <v>玖佰玖拾万元整</v>
      </c>
      <c r="G5" s="3036"/>
      <c r="H5" s="3036" t="str">
        <f ca="1">结果表!H119</f>
        <v>肆仟肆佰柒拾玖万元整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1639</v>
      </c>
      <c r="B7" s="3035"/>
      <c r="C7" s="3035"/>
      <c r="D7" s="3037" t="str">
        <f>结果表!D121</f>
        <v>零元整</v>
      </c>
      <c r="E7" s="3038"/>
      <c r="F7" s="3038"/>
      <c r="G7" s="3038"/>
      <c r="H7" s="3038"/>
      <c r="I7" s="3039"/>
    </row>
    <row r="8" spans="1:9" ht="15.75">
      <c r="A8" s="3034" t="str">
        <f>结果表!A122</f>
        <v>房地产抵押价值</v>
      </c>
      <c r="B8" s="3034"/>
      <c r="C8" s="3034"/>
      <c r="D8" s="3034">
        <f ca="1">结果表!D122</f>
        <v>4479</v>
      </c>
      <c r="E8" s="3034"/>
      <c r="F8" s="3034"/>
      <c r="G8" s="3034"/>
      <c r="H8" s="3034"/>
      <c r="I8" s="3034"/>
    </row>
    <row r="9" spans="1:9" ht="15">
      <c r="A9" s="3035" t="s">
        <v>1639</v>
      </c>
      <c r="B9" s="3035"/>
      <c r="C9" s="3035"/>
      <c r="D9" s="3036" t="str">
        <f ca="1">结果表!D123</f>
        <v>肆仟肆佰柒拾玖万元整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1639</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1639</v>
      </c>
      <c r="B13" s="3031"/>
      <c r="C13" s="3031"/>
      <c r="D13" s="3032" t="e">
        <f>结果表!D127</f>
        <v>#VALUE!</v>
      </c>
      <c r="E13" s="3032"/>
      <c r="F13" s="3032"/>
      <c r="G13" s="3032"/>
      <c r="H13" s="3032"/>
      <c r="I13" s="3032"/>
    </row>
    <row r="14" spans="1:9" ht="15" thickTop="1">
      <c r="A14" s="3033" t="s">
        <v>1644</v>
      </c>
      <c r="B14" s="3033"/>
      <c r="C14" s="3033"/>
      <c r="D14" s="3033"/>
      <c r="E14" s="3033"/>
      <c r="F14" s="3033"/>
      <c r="G14" s="3033"/>
      <c r="H14" s="3033"/>
      <c r="I14" s="3033"/>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48" t="s">
        <v>1661</v>
      </c>
      <c r="B1" s="3048"/>
      <c r="C1" s="3048"/>
      <c r="D1" s="3048"/>
    </row>
    <row r="2" spans="1:4" ht="18">
      <c r="A2" s="3049" t="s">
        <v>1645</v>
      </c>
      <c r="B2" s="3049"/>
      <c r="C2" s="3049"/>
      <c r="D2" s="3049"/>
    </row>
    <row r="3" spans="1:4" ht="18.75">
      <c r="A3" s="1980" t="s">
        <v>1646</v>
      </c>
      <c r="B3" s="1980" t="s">
        <v>1647</v>
      </c>
      <c r="C3" s="1980" t="s">
        <v>1648</v>
      </c>
      <c r="D3" s="1980" t="s">
        <v>1649</v>
      </c>
    </row>
    <row r="4" spans="1:4" ht="56.25" customHeight="1">
      <c r="A4" s="1981" t="str">
        <f>项目基本情况!B4</f>
        <v>王鹏</v>
      </c>
      <c r="B4" s="1982">
        <f ca="1">项目基本情况!C4</f>
        <v>1120050019</v>
      </c>
      <c r="C4" s="1983"/>
      <c r="D4" s="1984" t="s">
        <v>1650</v>
      </c>
    </row>
    <row r="5" spans="1:4" ht="56.25" customHeight="1">
      <c r="A5" s="1981" t="str">
        <f>项目基本情况!D4</f>
        <v>郑燚</v>
      </c>
      <c r="B5" s="1982">
        <f ca="1">项目基本情况!E4</f>
        <v>1120070131</v>
      </c>
      <c r="C5" s="1985"/>
      <c r="D5" s="1984" t="s">
        <v>1650</v>
      </c>
    </row>
    <row r="6" spans="1:4" ht="18">
      <c r="A6" s="3049" t="s">
        <v>1651</v>
      </c>
      <c r="B6" s="3049"/>
      <c r="C6" s="3049"/>
      <c r="D6" s="3049"/>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50" t="s">
        <v>1654</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7"/>
      <c r="C12" s="3047"/>
      <c r="D12" s="3047"/>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7"/>
      <c r="C13" s="3047"/>
      <c r="D13" s="3047"/>
    </row>
    <row r="14" spans="1:4" ht="15.75" customHeight="1">
      <c r="A14" s="3042" t="str">
        <f>IF(项目基本情况!B8="抵押","4.本次评估估价师所知悉的法定优先受偿款情况说明如下：","——")</f>
        <v>4.本次评估估价师所知悉的法定优先受偿款情况说明如下：</v>
      </c>
      <c r="B14" s="3047"/>
      <c r="C14" s="3047"/>
      <c r="D14" s="3047"/>
    </row>
    <row r="15" spans="1:4" ht="42" customHeight="1">
      <c r="A15" s="3042" t="str">
        <f>IF(项目基本情况!B8="抵押","（1）"&amp;CONCATENATE(项目基本情况!L20,项目基本情况!L21,项目基本情况!L22),"——")</f>
        <v>（1）根据估价对象《房屋所有权证》复印件、《国有土地使用权》复印件，截至价值时点，估价对象抵押权未见登记。</v>
      </c>
      <c r="B15" s="3042"/>
      <c r="C15" s="3042"/>
      <c r="D15" s="3042"/>
    </row>
    <row r="16" spans="1:4" ht="30" customHeight="1">
      <c r="A16" s="3044" t="s">
        <v>1655</v>
      </c>
      <c r="B16" s="3044"/>
      <c r="C16" s="3044"/>
      <c r="D16" s="3044"/>
    </row>
    <row r="17" spans="1:4" ht="144" customHeight="1">
      <c r="A17" s="3044" t="s">
        <v>1656</v>
      </c>
      <c r="B17" s="3044"/>
      <c r="C17" s="3044"/>
      <c r="D17" s="3044"/>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1657</v>
      </c>
      <c r="B22" s="3046"/>
      <c r="C22" s="3046"/>
      <c r="D22" s="3046"/>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56" t="s">
        <v>1668</v>
      </c>
      <c r="B15" s="3051" t="s">
        <v>136</v>
      </c>
      <c r="C15" s="3052"/>
    </row>
    <row r="16" spans="1:7" ht="13.5">
      <c r="A16" s="3057"/>
      <c r="B16" s="3051" t="s">
        <v>69</v>
      </c>
      <c r="C16" s="3052"/>
    </row>
    <row r="17" spans="1:3" ht="13.5">
      <c r="A17" s="3057"/>
      <c r="B17" s="3054" t="s">
        <v>1669</v>
      </c>
      <c r="C17" s="2003" t="s">
        <v>1668</v>
      </c>
    </row>
    <row r="18" spans="1:3" ht="13.5">
      <c r="A18" s="3057"/>
      <c r="B18" s="3054"/>
      <c r="C18" s="2003" t="s">
        <v>1670</v>
      </c>
    </row>
    <row r="19" spans="1:3" ht="13.5">
      <c r="A19" s="3057"/>
      <c r="B19" s="3054"/>
      <c r="C19" s="2003" t="s">
        <v>1671</v>
      </c>
    </row>
    <row r="20" spans="1:3" ht="13.5">
      <c r="A20" s="3058"/>
      <c r="B20" s="3053" t="s">
        <v>1672</v>
      </c>
      <c r="C20" s="3052"/>
    </row>
    <row r="21" spans="1:3" ht="13.5">
      <c r="A21" s="2004" t="s">
        <v>1673</v>
      </c>
      <c r="B21" s="2005"/>
      <c r="C21" s="2006"/>
    </row>
    <row r="22" spans="1:3" ht="13.5">
      <c r="A22" s="3055" t="s">
        <v>1674</v>
      </c>
      <c r="B22" s="3053" t="s">
        <v>1675</v>
      </c>
      <c r="C22" s="3052"/>
    </row>
    <row r="23" spans="1:3" ht="13.5">
      <c r="A23" s="3055"/>
      <c r="B23" s="3053" t="s">
        <v>1676</v>
      </c>
      <c r="C23" s="3052"/>
    </row>
    <row r="24" spans="1:3" ht="13.5">
      <c r="A24" s="3055"/>
      <c r="B24" s="3053" t="s">
        <v>1677</v>
      </c>
      <c r="C24" s="3052"/>
    </row>
    <row r="25" spans="1:3" ht="13.5">
      <c r="A25" s="3055"/>
      <c r="B25" s="3054" t="s">
        <v>1678</v>
      </c>
      <c r="C25" s="2003" t="s">
        <v>1679</v>
      </c>
    </row>
    <row r="26" spans="1:3" ht="13.5">
      <c r="A26" s="3055"/>
      <c r="B26" s="3054"/>
      <c r="C26" s="2003" t="s">
        <v>1680</v>
      </c>
    </row>
    <row r="27" spans="1:3" ht="13.5">
      <c r="A27" s="3055"/>
      <c r="B27" s="3054"/>
      <c r="C27" s="2003" t="s">
        <v>1681</v>
      </c>
    </row>
    <row r="28" spans="1:3" ht="13.5">
      <c r="A28" s="3055"/>
      <c r="B28" s="3054"/>
      <c r="C28" s="2003" t="s">
        <v>1682</v>
      </c>
    </row>
    <row r="29" spans="1:3" ht="13.5">
      <c r="A29" s="3055"/>
      <c r="B29" s="3054"/>
      <c r="C29" s="2003" t="s">
        <v>1683</v>
      </c>
    </row>
    <row r="30" spans="1:3" ht="13.5">
      <c r="A30" s="3055"/>
      <c r="B30" s="3054"/>
      <c r="C30" s="2003" t="s">
        <v>1684</v>
      </c>
    </row>
    <row r="31" spans="1:3" ht="13.5">
      <c r="A31" s="3055"/>
      <c r="B31" s="3054"/>
      <c r="C31" s="2003" t="s">
        <v>1685</v>
      </c>
    </row>
    <row r="32" spans="1:3" ht="13.5">
      <c r="A32" s="3055"/>
      <c r="B32" s="3054"/>
      <c r="C32" s="2003" t="s">
        <v>1686</v>
      </c>
    </row>
    <row r="33" spans="1:3" ht="13.5">
      <c r="A33" s="3055"/>
      <c r="B33" s="3054"/>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3041</v>
      </c>
      <c r="B12" s="1025">
        <v>1120110054</v>
      </c>
      <c r="C12" s="2942">
        <v>43937</v>
      </c>
      <c r="D12" s="1705" t="s">
        <v>3041</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2">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59" t="s">
        <v>846</v>
      </c>
      <c r="B25" s="3059"/>
      <c r="C25" s="3059"/>
      <c r="D25" s="3059"/>
      <c r="E25" s="3059"/>
      <c r="F25" s="3059"/>
      <c r="G25" s="3059"/>
    </row>
    <row r="26" spans="1:7" s="1028" customFormat="1" ht="24" customHeight="1">
      <c r="A26" s="3060" t="s">
        <v>847</v>
      </c>
      <c r="B26" s="3060"/>
      <c r="C26" s="3061"/>
      <c r="D26" s="3062" t="s">
        <v>848</v>
      </c>
      <c r="E26" s="3060"/>
      <c r="F26" s="306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典型户型修正</vt:lpstr>
      <vt:lpstr>比较法-商业租金</vt:lpstr>
      <vt:lpstr>收益法</vt:lpstr>
      <vt:lpstr>成本法</vt:lpstr>
      <vt:lpstr>基准地价修正</vt:lpstr>
      <vt:lpstr>基准地价（汇总）</vt:lpstr>
      <vt:lpstr>地价</vt:lpstr>
      <vt:lpstr>成本法（废）</vt:lpstr>
      <vt:lpstr>区片价</vt:lpstr>
      <vt:lpstr>因素修正幅度</vt:lpstr>
      <vt:lpstr>存贷款利率</vt:lpstr>
      <vt:lpstr>区片价（范围）</vt:lpstr>
      <vt:lpstr>租约整理</vt:lpstr>
      <vt:lpstr>分摊土地面积计算</vt:lpstr>
      <vt:lpstr>案例及位置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2018-09-03T01:21:23Z</dcterms:modified>
</cp:coreProperties>
</file>