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A17C9D53-CDD7-4EDA-9FF7-97F9F8D964C7}" xr6:coauthVersionLast="47" xr6:coauthVersionMax="47" xr10:uidLastSave="{00000000-0000-0000-0000-000000000000}"/>
  <bookViews>
    <workbookView xWindow="-120" yWindow="-120" windowWidth="19440" windowHeight="1500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明细废弃" sheetId="78" state="hidden" r:id="rId45"/>
    <sheet name="建委及中指数据" sheetId="79" r:id="rId46"/>
    <sheet name="面积明细更新" sheetId="80" r:id="rId47"/>
    <sheet name="最新土地案例" sheetId="81" r:id="rId48"/>
    <sheet name="售价"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32" i="80" l="1"/>
  <c r="J36" i="80" s="1"/>
  <c r="N27" i="80"/>
  <c r="J38" i="80"/>
  <c r="K36" i="80"/>
  <c r="J37" i="80" l="1"/>
  <c r="L36" i="80" s="1"/>
  <c r="T39" i="80"/>
  <c r="J39" i="80" l="1"/>
  <c r="L37" i="80" s="1"/>
  <c r="N6" i="1" s="1"/>
  <c r="N7" i="1" s="1"/>
  <c r="I7" i="21"/>
  <c r="G7" i="21"/>
  <c r="C33" i="21"/>
  <c r="AD6" i="1"/>
  <c r="I13" i="3"/>
  <c r="K14" i="3" s="1"/>
  <c r="I37" i="78"/>
  <c r="K37" i="78"/>
  <c r="M37" i="78"/>
  <c r="G37" i="78"/>
  <c r="C36" i="78"/>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c r="Y25" i="71"/>
  <c r="Z25" i="71"/>
  <c r="B25" i="71"/>
  <c r="B24" i="71"/>
  <c r="B23" i="71" s="1"/>
  <c r="X22" i="71"/>
  <c r="X23" i="71"/>
  <c r="X24" i="71"/>
  <c r="X25" i="71"/>
  <c r="C28" i="71"/>
  <c r="D27" i="71"/>
  <c r="D31" i="71"/>
  <c r="C36" i="71"/>
  <c r="D35" i="71"/>
  <c r="C40" i="71"/>
  <c r="D39" i="71"/>
  <c r="C44" i="71"/>
  <c r="D44" i="71"/>
  <c r="D43" i="71"/>
  <c r="C48" i="71"/>
  <c r="D47" i="71"/>
  <c r="P25" i="71"/>
  <c r="E52" i="71"/>
  <c r="E53" i="71"/>
  <c r="U53" i="71" s="1"/>
  <c r="E56" i="71"/>
  <c r="E57" i="71" s="1"/>
  <c r="U57" i="71" s="1"/>
  <c r="E60" i="71"/>
  <c r="E61" i="71"/>
  <c r="U61" i="71" s="1"/>
  <c r="U65" i="71"/>
  <c r="E64" i="71"/>
  <c r="Q25" i="71"/>
  <c r="C52" i="71"/>
  <c r="D51" i="71"/>
  <c r="C56" i="71"/>
  <c r="D55" i="71"/>
  <c r="C60" i="71"/>
  <c r="D59" i="71"/>
  <c r="N64" i="71"/>
  <c r="B63"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s="1"/>
  <c r="AB22" i="71"/>
  <c r="AB23" i="71"/>
  <c r="AB24" i="71"/>
  <c r="AB25" i="71"/>
  <c r="E25" i="71"/>
  <c r="E24" i="71" s="1"/>
  <c r="E23" i="71" s="1"/>
  <c r="AA3" i="71"/>
  <c r="AA22" i="71"/>
  <c r="AA23" i="71"/>
  <c r="AA24" i="71"/>
  <c r="AA25" i="71"/>
  <c r="D25" i="71"/>
  <c r="U25" i="71" s="1"/>
  <c r="C63" i="71"/>
  <c r="D63" i="71" s="1"/>
  <c r="O64" i="71"/>
  <c r="D64" i="71"/>
  <c r="C61" i="71"/>
  <c r="D60" i="71"/>
  <c r="D80" i="71"/>
  <c r="C79" i="71"/>
  <c r="D79" i="71" s="1"/>
  <c r="D72" i="71"/>
  <c r="C71" i="71"/>
  <c r="D71" i="71"/>
  <c r="N62" i="71"/>
  <c r="N63" i="71"/>
  <c r="D84" i="71"/>
  <c r="C83" i="71"/>
  <c r="D83" i="71" s="1"/>
  <c r="D76" i="71"/>
  <c r="C75" i="71"/>
  <c r="D75" i="71"/>
  <c r="D68" i="71"/>
  <c r="C67" i="71"/>
  <c r="D67" i="71" s="1"/>
  <c r="C57" i="71"/>
  <c r="T57" i="71" s="1"/>
  <c r="D56" i="71"/>
  <c r="C53" i="71"/>
  <c r="T53" i="71" s="1"/>
  <c r="D52" i="71"/>
  <c r="P64" i="71"/>
  <c r="E63" i="71"/>
  <c r="C49" i="71"/>
  <c r="T49" i="71" s="1"/>
  <c r="D48" i="71"/>
  <c r="C41" i="71"/>
  <c r="T41" i="71" s="1"/>
  <c r="D40" i="71"/>
  <c r="C37" i="71"/>
  <c r="T37" i="71" s="1"/>
  <c r="D36" i="71"/>
  <c r="C29" i="71"/>
  <c r="T29" i="71" s="1"/>
  <c r="D28" i="71"/>
  <c r="C23" i="71"/>
  <c r="D23" i="71" s="1"/>
  <c r="D24" i="71"/>
  <c r="V25" i="71"/>
  <c r="P62" i="71"/>
  <c r="P63" i="71"/>
  <c r="O63" i="71"/>
  <c r="O62" i="71"/>
  <c r="D29" i="71"/>
  <c r="D37" i="71"/>
  <c r="D41"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H25" i="40"/>
  <c r="J25" i="40"/>
  <c r="H29" i="39"/>
  <c r="AB29" i="39" s="1"/>
  <c r="J29" i="39"/>
  <c r="AC29" i="39" s="1"/>
  <c r="J18" i="36"/>
  <c r="W18" i="36" s="1"/>
  <c r="F68" i="35"/>
  <c r="H18" i="35"/>
  <c r="U18" i="35" s="1"/>
  <c r="S18" i="35"/>
  <c r="G68" i="35"/>
  <c r="J18" i="35"/>
  <c r="H21" i="37"/>
  <c r="F21" i="37"/>
  <c r="S21" i="37" s="1"/>
  <c r="F84" i="34"/>
  <c r="H21" i="34"/>
  <c r="U21" i="34" s="1"/>
  <c r="F83" i="33"/>
  <c r="H21" i="33"/>
  <c r="AB21" i="33" s="1"/>
  <c r="F21" i="33"/>
  <c r="E83" i="21"/>
  <c r="H1" i="69"/>
  <c r="AC25" i="40"/>
  <c r="W25" i="40"/>
  <c r="AB25" i="40"/>
  <c r="U25" i="40"/>
  <c r="AC18" i="36"/>
  <c r="AB21" i="37"/>
  <c r="U21" i="37"/>
  <c r="AA21" i="37"/>
  <c r="AB21" i="34"/>
  <c r="U21" i="33"/>
  <c r="AA21" i="33"/>
  <c r="S21" i="33"/>
  <c r="AB18" i="35"/>
  <c r="AC18" i="35"/>
  <c r="W18" i="35"/>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C7" i="12"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s="1"/>
  <c r="F9" i="40"/>
  <c r="S9" i="40" s="1"/>
  <c r="J8" i="40"/>
  <c r="AC8" i="40" s="1"/>
  <c r="H8" i="40"/>
  <c r="AB8" i="40" s="1"/>
  <c r="F8" i="40"/>
  <c r="AA8" i="40" s="1"/>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A14" i="37"/>
  <c r="W31" i="34"/>
  <c r="S11" i="36"/>
  <c r="AC30" i="34"/>
  <c r="AB31" i="33"/>
  <c r="S44" i="34"/>
  <c r="BA586" i="3"/>
  <c r="BA585" i="3"/>
  <c r="AZ585" i="3" s="1"/>
  <c r="F17" i="21"/>
  <c r="AA17" i="21" s="1"/>
  <c r="H17" i="21"/>
  <c r="AB17" i="21" s="1"/>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AC25" i="39" s="1"/>
  <c r="F25" i="39"/>
  <c r="AA25" i="39" s="1"/>
  <c r="F15" i="39"/>
  <c r="AA15" i="39" s="1"/>
  <c r="H15" i="39"/>
  <c r="U15" i="39" s="1"/>
  <c r="J15" i="39"/>
  <c r="W15" i="39" s="1"/>
  <c r="AB34" i="39"/>
  <c r="S42" i="39"/>
  <c r="W14" i="39"/>
  <c r="W9" i="39"/>
  <c r="W8" i="39"/>
  <c r="J19" i="40"/>
  <c r="AC19" i="40"/>
  <c r="J50" i="40"/>
  <c r="H103" i="9"/>
  <c r="D8" i="53" s="1"/>
  <c r="B16" i="53"/>
  <c r="B33" i="72" s="1"/>
  <c r="C7" i="37"/>
  <c r="C7" i="34"/>
  <c r="C7" i="36"/>
  <c r="W35" i="40"/>
  <c r="A118" i="9"/>
  <c r="A4" i="52"/>
  <c r="B41" i="72"/>
  <c r="J11" i="39"/>
  <c r="W11" i="39" s="1"/>
  <c r="F11" i="39"/>
  <c r="AA11" i="39" s="1"/>
  <c r="A12" i="52"/>
  <c r="B56" i="72"/>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8" i="6" s="1"/>
  <c r="BR5" i="3"/>
  <c r="G28" i="6"/>
  <c r="AZ384" i="3"/>
  <c r="AZ392" i="3"/>
  <c r="AZ396" i="3"/>
  <c r="AZ394" i="3"/>
  <c r="AZ499" i="3"/>
  <c r="AZ509" i="3"/>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G8" i="1"/>
  <c r="G9"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AB27" i="39"/>
  <c r="U31" i="39"/>
  <c r="S25" i="39"/>
  <c r="J21" i="39"/>
  <c r="W21" i="39" s="1"/>
  <c r="F21" i="39"/>
  <c r="S21" i="39" s="1"/>
  <c r="H21" i="39"/>
  <c r="AB21" i="39" s="1"/>
  <c r="W19" i="39"/>
  <c r="U19" i="39"/>
  <c r="S17" i="39"/>
  <c r="S15" i="39"/>
  <c r="AB15" i="39"/>
  <c r="AA12"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J15" i="21"/>
  <c r="W15" i="21" s="1"/>
  <c r="F23" i="21"/>
  <c r="S23" i="21" s="1"/>
  <c r="E85" i="21"/>
  <c r="F85" i="21" s="1"/>
  <c r="G85" i="21" s="1"/>
  <c r="AC11" i="21"/>
  <c r="AA14" i="21"/>
  <c r="AB8" i="21"/>
  <c r="S8" i="21"/>
  <c r="M3" i="43"/>
  <c r="M1" i="43"/>
  <c r="N8" i="43"/>
  <c r="D120" i="9"/>
  <c r="D121" i="9" s="1"/>
  <c r="D7" i="52" s="1"/>
  <c r="C18" i="9"/>
  <c r="D18" i="9"/>
  <c r="F34" i="67"/>
  <c r="F62" i="67" s="1"/>
  <c r="M20" i="67"/>
  <c r="F34" i="15"/>
  <c r="F62" i="15" s="1"/>
  <c r="G13" i="3"/>
  <c r="BA13" i="3"/>
  <c r="E10" i="6"/>
  <c r="BA5" i="3"/>
  <c r="E11" i="6"/>
  <c r="E61" i="39" s="1"/>
  <c r="BL17" i="3"/>
  <c r="AZ17" i="3"/>
  <c r="BL13" i="3"/>
  <c r="E65" i="39"/>
  <c r="G30" i="6"/>
  <c r="G31" i="6" s="1"/>
  <c r="J56" i="9"/>
  <c r="J57" i="9" s="1"/>
  <c r="J59" i="9" s="1"/>
  <c r="J61" i="9" s="1"/>
  <c r="A24" i="51"/>
  <c r="B18" i="72"/>
  <c r="U29" i="34"/>
  <c r="E14" i="6"/>
  <c r="E64" i="39" s="1"/>
  <c r="E5" i="6"/>
  <c r="D9" i="11" s="1"/>
  <c r="C9" i="11" s="1"/>
  <c r="L19" i="6"/>
  <c r="G1" i="68"/>
  <c r="K1" i="12"/>
  <c r="E28" i="6"/>
  <c r="AR12" i="1"/>
  <c r="T12"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B6" i="1"/>
  <c r="E6" i="1" s="1"/>
  <c r="S8" i="1"/>
  <c r="AQ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U13" i="39"/>
  <c r="AB13" i="39"/>
  <c r="AA13" i="39"/>
  <c r="S13" i="39"/>
  <c r="S14" i="39"/>
  <c r="AA14"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A11" i="21"/>
  <c r="S45" i="21"/>
  <c r="F33" i="21"/>
  <c r="S33" i="21" s="1"/>
  <c r="J33" i="21"/>
  <c r="W33" i="21" s="1"/>
  <c r="H33" i="21"/>
  <c r="AB33" i="21" s="1"/>
  <c r="AA26" i="21"/>
  <c r="AB14" i="21"/>
  <c r="U40" i="21"/>
  <c r="AB31" i="21"/>
  <c r="U31" i="21"/>
  <c r="U13" i="21"/>
  <c r="AB13" i="21"/>
  <c r="W8" i="21"/>
  <c r="H15" i="21"/>
  <c r="AB15" i="21" s="1"/>
  <c r="J17" i="21"/>
  <c r="AC17" i="21" s="1"/>
  <c r="AC19" i="21"/>
  <c r="W39" i="21"/>
  <c r="AC14" i="21"/>
  <c r="W30" i="21"/>
  <c r="S46" i="21"/>
  <c r="H45" i="21"/>
  <c r="U45" i="21" s="1"/>
  <c r="F29" i="21"/>
  <c r="S29" i="21" s="1"/>
  <c r="F13" i="21"/>
  <c r="AA13" i="21" s="1"/>
  <c r="AC38" i="21"/>
  <c r="H32" i="21"/>
  <c r="U32" i="21" s="1"/>
  <c r="H9" i="21"/>
  <c r="AB9" i="21" s="1"/>
  <c r="J9" i="21"/>
  <c r="W9" i="21" s="1"/>
  <c r="AA31" i="21"/>
  <c r="U17" i="21"/>
  <c r="S19" i="21"/>
  <c r="S9" i="21"/>
  <c r="AA9" i="21"/>
  <c r="K141" i="21"/>
  <c r="K144" i="21"/>
  <c r="K143" i="21"/>
  <c r="AB25" i="21"/>
  <c r="AB44" i="21"/>
  <c r="AA30" i="21"/>
  <c r="W13" i="21"/>
  <c r="W42" i="21"/>
  <c r="AC45" i="21"/>
  <c r="F10" i="21"/>
  <c r="S10" i="21" s="1"/>
  <c r="K145" i="21"/>
  <c r="W2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E63" i="39"/>
  <c r="AQ9" i="1"/>
  <c r="E59" i="40"/>
  <c r="E7" i="70"/>
  <c r="AA39" i="40"/>
  <c r="S39" i="40"/>
  <c r="S12" i="33"/>
  <c r="AA12" i="33"/>
  <c r="J32" i="39"/>
  <c r="AC32" i="39" s="1"/>
  <c r="H32" i="39"/>
  <c r="AB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H23" i="21"/>
  <c r="U23" i="21" s="1"/>
  <c r="S13" i="21"/>
  <c r="D6" i="52"/>
  <c r="K14" i="1"/>
  <c r="M14" i="1" s="1"/>
  <c r="AR8" i="1"/>
  <c r="R22" i="31"/>
  <c r="AC33" i="21"/>
  <c r="AA33" i="2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AC11" i="37"/>
  <c r="W11" i="37"/>
  <c r="AC11" i="34"/>
  <c r="R8" i="1"/>
  <c r="AE7" i="1"/>
  <c r="AE8" i="1"/>
  <c r="AG6" i="1"/>
  <c r="H109" i="9"/>
  <c r="H110" i="9" s="1"/>
  <c r="D18" i="53" s="1"/>
  <c r="B35" i="72" s="1"/>
  <c r="D124" i="9"/>
  <c r="H14" i="74" s="1"/>
  <c r="B7" i="74" s="1"/>
  <c r="D10" i="52"/>
  <c r="H112" i="9"/>
  <c r="D21" i="53" s="1"/>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V17" i="71"/>
  <c r="E41" i="43"/>
  <c r="C41" i="43"/>
  <c r="C20" i="43"/>
  <c r="I59" i="34"/>
  <c r="J59" i="34" s="1"/>
  <c r="M6" i="15"/>
  <c r="D34" i="9"/>
  <c r="B9" i="76"/>
  <c r="F38" i="15"/>
  <c r="B11" i="76"/>
  <c r="AO8" i="1"/>
  <c r="D6" i="73"/>
  <c r="C76" i="67"/>
  <c r="F3" i="73"/>
  <c r="F16" i="67"/>
  <c r="D2" i="36"/>
  <c r="M9" i="15"/>
  <c r="F41" i="67"/>
  <c r="M28" i="67"/>
  <c r="L48" i="67"/>
  <c r="E12" i="76"/>
  <c r="AO7" i="1"/>
  <c r="B10" i="76"/>
  <c r="E10" i="76"/>
  <c r="F42" i="67"/>
  <c r="E11" i="76"/>
  <c r="D3" i="73"/>
  <c r="E8" i="76"/>
  <c r="AO13" i="1"/>
  <c r="F13" i="67"/>
  <c r="J15" i="67"/>
  <c r="F35" i="67"/>
  <c r="E13" i="76"/>
  <c r="M21" i="67"/>
  <c r="AO12" i="1"/>
  <c r="F9" i="67"/>
  <c r="F6" i="73"/>
  <c r="M23" i="67"/>
  <c r="E7" i="76"/>
  <c r="F6" i="15"/>
  <c r="J15" i="15"/>
  <c r="M22" i="15"/>
  <c r="M6" i="67"/>
  <c r="M8" i="67"/>
  <c r="E9" i="76"/>
  <c r="M22" i="67"/>
  <c r="D2" i="34"/>
  <c r="F7" i="73"/>
  <c r="F43" i="15"/>
  <c r="F40" i="15"/>
  <c r="M29" i="67"/>
  <c r="F8" i="15"/>
  <c r="F8" i="67"/>
  <c r="M9" i="67"/>
  <c r="F38" i="67"/>
  <c r="F37" i="15"/>
  <c r="F9" i="15"/>
  <c r="D2" i="35"/>
  <c r="D5" i="73"/>
  <c r="F42" i="15"/>
  <c r="AO10" i="1"/>
  <c r="F13" i="15"/>
  <c r="F7" i="67"/>
  <c r="F40" i="67"/>
  <c r="B12" i="76"/>
  <c r="F16" i="15"/>
  <c r="F5" i="73"/>
  <c r="F26" i="15"/>
  <c r="F26" i="67"/>
  <c r="D35" i="9"/>
  <c r="D2" i="21"/>
  <c r="D4" i="73"/>
  <c r="M24" i="67"/>
  <c r="M23" i="15"/>
  <c r="D2" i="37"/>
  <c r="D7" i="73"/>
  <c r="F20" i="31"/>
  <c r="F36" i="67"/>
  <c r="F6" i="67"/>
  <c r="L47" i="15"/>
  <c r="M26" i="15"/>
  <c r="AO9" i="1"/>
  <c r="B7" i="76"/>
  <c r="M29" i="15"/>
  <c r="B13" i="76"/>
  <c r="AO11" i="1"/>
  <c r="M27" i="15"/>
  <c r="L47" i="67"/>
  <c r="E2" i="69"/>
  <c r="M28" i="15"/>
  <c r="M27" i="67"/>
  <c r="F4" i="73"/>
  <c r="E2" i="68"/>
  <c r="F7" i="15"/>
  <c r="F43" i="67"/>
  <c r="B8" i="76"/>
  <c r="M8" i="15"/>
  <c r="M26" i="67"/>
  <c r="D2" i="33"/>
  <c r="F37" i="67"/>
  <c r="L48" i="15"/>
  <c r="M24" i="15"/>
  <c r="F36" i="15"/>
  <c r="C76" i="15"/>
  <c r="S27" i="21" l="1"/>
  <c r="I14" i="74"/>
  <c r="B8" i="74" s="1"/>
  <c r="D12" i="52"/>
  <c r="D125" i="9"/>
  <c r="D11" i="52" s="1"/>
  <c r="D16" i="53"/>
  <c r="BL5" i="3"/>
  <c r="AZ503" i="3"/>
  <c r="E12" i="71"/>
  <c r="E11" i="71" s="1"/>
  <c r="E10" i="71" s="1"/>
  <c r="E9" i="71" s="1"/>
  <c r="V13" i="71"/>
  <c r="AZ557" i="3"/>
  <c r="E12" i="6"/>
  <c r="S44" i="33"/>
  <c r="AA44" i="33"/>
  <c r="S14" i="33"/>
  <c r="AA14" i="33"/>
  <c r="AC11" i="36"/>
  <c r="W11" i="36"/>
  <c r="U46" i="34"/>
  <c r="AB46" i="34"/>
  <c r="S14" i="34"/>
  <c r="AA14" i="34"/>
  <c r="U45" i="33"/>
  <c r="AB45" i="33"/>
  <c r="AB13" i="33"/>
  <c r="U13" i="33"/>
  <c r="S12" i="34"/>
  <c r="AA12" i="34"/>
  <c r="AC32" i="40"/>
  <c r="W32" i="40"/>
  <c r="G5" i="3"/>
  <c r="B3" i="3" s="1"/>
  <c r="F29" i="6"/>
  <c r="K5" i="4"/>
  <c r="B47" i="48" s="1"/>
  <c r="AZ548" i="3"/>
  <c r="W29" i="33"/>
  <c r="S45" i="33"/>
  <c r="W11" i="35"/>
  <c r="AC13" i="36"/>
  <c r="U11" i="36"/>
  <c r="AB11" i="36"/>
  <c r="W9" i="34"/>
  <c r="AC9" i="34"/>
  <c r="AC34" i="35"/>
  <c r="W34" i="35"/>
  <c r="AA38" i="40"/>
  <c r="S38" i="40"/>
  <c r="AZ398" i="3"/>
  <c r="AZ405" i="3"/>
  <c r="AZ407" i="3"/>
  <c r="AZ410" i="3"/>
  <c r="AZ415" i="3"/>
  <c r="AZ420" i="3"/>
  <c r="AZ426" i="3"/>
  <c r="AZ431" i="3"/>
  <c r="AZ436" i="3"/>
  <c r="AZ448" i="3"/>
  <c r="AZ452" i="3"/>
  <c r="AZ461" i="3"/>
  <c r="AZ463" i="3"/>
  <c r="H38" i="40"/>
  <c r="J38" i="40"/>
  <c r="H39" i="40"/>
  <c r="AZ385" i="3"/>
  <c r="AZ210" i="3"/>
  <c r="AZ225" i="3"/>
  <c r="AZ239" i="3"/>
  <c r="AZ255" i="3"/>
  <c r="AZ274" i="3"/>
  <c r="AZ277" i="3"/>
  <c r="AZ301" i="3"/>
  <c r="AZ122" i="3"/>
  <c r="H9" i="34"/>
  <c r="F34" i="35"/>
  <c r="H34" i="35"/>
  <c r="J36" i="35"/>
  <c r="AZ468" i="3"/>
  <c r="AZ470" i="3"/>
  <c r="AZ472" i="3"/>
  <c r="AZ316" i="3"/>
  <c r="AZ247" i="3"/>
  <c r="AZ260" i="3"/>
  <c r="AZ264" i="3"/>
  <c r="AZ290" i="3"/>
  <c r="AZ293" i="3"/>
  <c r="AZ153" i="3"/>
  <c r="AZ169" i="3"/>
  <c r="AZ177" i="3"/>
  <c r="AZ193" i="3"/>
  <c r="AZ34" i="3"/>
  <c r="AZ38" i="3"/>
  <c r="AZ44" i="3"/>
  <c r="AZ48" i="3"/>
  <c r="AZ60" i="3"/>
  <c r="AZ64" i="3"/>
  <c r="AZ78" i="3"/>
  <c r="AZ92" i="3"/>
  <c r="AZ103" i="3"/>
  <c r="D32" i="71"/>
  <c r="C33" i="71"/>
  <c r="F27" i="71"/>
  <c r="F28" i="71" s="1"/>
  <c r="F29" i="71" s="1"/>
  <c r="V29" i="71" s="1"/>
  <c r="Y6" i="71"/>
  <c r="Z6" i="71" s="1"/>
  <c r="Y36" i="71"/>
  <c r="Z36" i="71" s="1"/>
  <c r="Z12" i="43"/>
  <c r="Z10" i="43"/>
  <c r="AD12" i="43"/>
  <c r="AD10" i="43"/>
  <c r="AF12" i="43"/>
  <c r="AF10" i="43"/>
  <c r="AH12" i="43"/>
  <c r="AH10" i="43"/>
  <c r="AA6" i="71"/>
  <c r="AA36" i="71"/>
  <c r="AA34" i="71"/>
  <c r="V65" i="71"/>
  <c r="F64" i="71"/>
  <c r="Y18" i="71"/>
  <c r="Z18" i="71" s="1"/>
  <c r="AB18" i="71"/>
  <c r="AA18" i="71"/>
  <c r="X15" i="71"/>
  <c r="AA15" i="71"/>
  <c r="AB15" i="71"/>
  <c r="X10" i="71"/>
  <c r="AA7" i="71"/>
  <c r="X14" i="71"/>
  <c r="AA14" i="71"/>
  <c r="X7" i="71"/>
  <c r="X6" i="71"/>
  <c r="AB6" i="71"/>
  <c r="AB7" i="71"/>
  <c r="AC12" i="43"/>
  <c r="AC10" i="43"/>
  <c r="AG12" i="43"/>
  <c r="AG10" i="43"/>
  <c r="X21" i="71"/>
  <c r="Y21" i="71"/>
  <c r="Z21" i="71" s="1"/>
  <c r="AA19" i="71"/>
  <c r="X18" i="71"/>
  <c r="Y15" i="71"/>
  <c r="Z15" i="71" s="1"/>
  <c r="Y10" i="71"/>
  <c r="Z10" i="71" s="1"/>
  <c r="Y14" i="71"/>
  <c r="Z14" i="71" s="1"/>
  <c r="AB14" i="71"/>
  <c r="AA21" i="71"/>
  <c r="AB21" i="71"/>
  <c r="B21" i="71"/>
  <c r="C21" i="71"/>
  <c r="Y20" i="71"/>
  <c r="Z20" i="71" s="1"/>
  <c r="Y19" i="71"/>
  <c r="Z19" i="71" s="1"/>
  <c r="AA20" i="71"/>
  <c r="AB20" i="71"/>
  <c r="X19" i="71"/>
  <c r="AB12" i="71"/>
  <c r="AB10" i="71"/>
  <c r="AB9" i="71"/>
  <c r="Y7" i="71"/>
  <c r="Z7" i="71" s="1"/>
  <c r="Y9" i="71"/>
  <c r="Z9" i="71" s="1"/>
  <c r="Y11" i="71"/>
  <c r="Z11" i="71" s="1"/>
  <c r="AA9" i="71"/>
  <c r="X9" i="71"/>
  <c r="X8" i="71"/>
  <c r="X12" i="71"/>
  <c r="AA12" i="71"/>
  <c r="AB8" i="71"/>
  <c r="AB11" i="71"/>
  <c r="Y8" i="71"/>
  <c r="Z8" i="71" s="1"/>
  <c r="AA8" i="71"/>
  <c r="AA10" i="71"/>
  <c r="AA11" i="71"/>
  <c r="X11" i="71"/>
  <c r="I4" i="6"/>
  <c r="G3" i="43" s="1"/>
  <c r="F22" i="43" s="1"/>
  <c r="F20" i="6"/>
  <c r="E20" i="6" s="1"/>
  <c r="T8" i="1"/>
  <c r="D9" i="68"/>
  <c r="C9" i="68" s="1"/>
  <c r="D68" i="39"/>
  <c r="C70" i="39"/>
  <c r="J51" i="15"/>
  <c r="J53" i="15" s="1"/>
  <c r="L56" i="15" s="1"/>
  <c r="AB32" i="21"/>
  <c r="F37" i="21"/>
  <c r="AA37" i="21" s="1"/>
  <c r="J37" i="21"/>
  <c r="H113" i="21"/>
  <c r="H37" i="21"/>
  <c r="F101" i="21"/>
  <c r="G101" i="21" s="1"/>
  <c r="H101" i="21" s="1"/>
  <c r="I101" i="21" s="1"/>
  <c r="J101" i="21" s="1"/>
  <c r="K101" i="21" s="1"/>
  <c r="L101" i="21" s="1"/>
  <c r="M101" i="21" s="1"/>
  <c r="F32" i="21"/>
  <c r="S32" i="21" s="1"/>
  <c r="J32" i="21"/>
  <c r="W32" i="21" s="1"/>
  <c r="U33" i="21"/>
  <c r="AC32" i="21"/>
  <c r="AC29" i="21"/>
  <c r="W29" i="21"/>
  <c r="AA32" i="21"/>
  <c r="S35" i="21"/>
  <c r="S44" i="21"/>
  <c r="AC40" i="21"/>
  <c r="U10" i="21"/>
  <c r="AC9" i="21"/>
  <c r="AC28" i="21"/>
  <c r="AC46" i="21"/>
  <c r="W44" i="21"/>
  <c r="AC23" i="21"/>
  <c r="W17" i="21"/>
  <c r="AC15" i="21"/>
  <c r="U9" i="21"/>
  <c r="AB46" i="21"/>
  <c r="U28" i="21"/>
  <c r="AB29" i="21"/>
  <c r="U27" i="21"/>
  <c r="U15" i="21"/>
  <c r="AB42" i="21"/>
  <c r="AB30" i="21"/>
  <c r="AB23" i="21"/>
  <c r="AB45" i="21"/>
  <c r="AB11" i="21"/>
  <c r="AA10" i="21"/>
  <c r="AA25" i="21"/>
  <c r="S21" i="21"/>
  <c r="AC21" i="39"/>
  <c r="F124" i="39"/>
  <c r="G124" i="39" s="1"/>
  <c r="F41" i="39"/>
  <c r="H41" i="39"/>
  <c r="U40" i="39"/>
  <c r="W29" i="39"/>
  <c r="W32" i="39"/>
  <c r="AC15" i="39"/>
  <c r="W27" i="39"/>
  <c r="U21" i="39"/>
  <c r="U29" i="39"/>
  <c r="U14" i="39"/>
  <c r="U25" i="39"/>
  <c r="U17" i="39"/>
  <c r="U32" i="39"/>
  <c r="U12" i="39"/>
  <c r="S11" i="39"/>
  <c r="S32" i="39"/>
  <c r="AA21" i="39"/>
  <c r="S29" i="39"/>
  <c r="P61" i="15"/>
  <c r="C92" i="9"/>
  <c r="C94" i="9"/>
  <c r="F28" i="15"/>
  <c r="C28" i="15" s="1"/>
  <c r="F31" i="12"/>
  <c r="F54" i="9"/>
  <c r="M18" i="67"/>
  <c r="F30" i="68"/>
  <c r="F48" i="9"/>
  <c r="O52" i="9" s="1"/>
  <c r="C24" i="12"/>
  <c r="D68" i="9"/>
  <c r="M18" i="15"/>
  <c r="F32" i="15"/>
  <c r="F60" i="15" s="1"/>
  <c r="F30" i="69"/>
  <c r="F32" i="67"/>
  <c r="F60" i="67" s="1"/>
  <c r="F52" i="9"/>
  <c r="F28" i="67"/>
  <c r="C28" i="67" s="1"/>
  <c r="F30" i="11"/>
  <c r="C21" i="69"/>
  <c r="D22" i="67"/>
  <c r="E62" i="39"/>
  <c r="E66" i="39" s="1"/>
  <c r="E57" i="40"/>
  <c r="F27" i="6"/>
  <c r="E56" i="39"/>
  <c r="E51" i="40"/>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125" i="3"/>
  <c r="E217" i="3"/>
  <c r="E366" i="3"/>
  <c r="E526" i="3"/>
  <c r="E553" i="3"/>
  <c r="E268" i="3"/>
  <c r="E282" i="3"/>
  <c r="E322" i="3"/>
  <c r="N6" i="3"/>
  <c r="AJ6" i="3"/>
  <c r="E239" i="3"/>
  <c r="E509" i="3"/>
  <c r="E516" i="3"/>
  <c r="E579" i="3"/>
  <c r="E569" i="3"/>
  <c r="E431" i="3"/>
  <c r="E396" i="3"/>
  <c r="E247" i="3"/>
  <c r="E229" i="3"/>
  <c r="E201" i="3"/>
  <c r="E151" i="3"/>
  <c r="E27" i="6"/>
  <c r="AZ5" i="3"/>
  <c r="E3" i="6" s="1"/>
  <c r="B113" i="43"/>
  <c r="D115" i="43" s="1"/>
  <c r="E115" i="43" s="1"/>
  <c r="F115" i="43" s="1"/>
  <c r="G115" i="43" s="1"/>
  <c r="H115" i="43" s="1"/>
  <c r="N104" i="46"/>
  <c r="D101" i="43"/>
  <c r="G22" i="43"/>
  <c r="AD11" i="43"/>
  <c r="AD13" i="43" s="1"/>
  <c r="AG11" i="43"/>
  <c r="AG13" i="43" s="1"/>
  <c r="Y11" i="43"/>
  <c r="Y13" i="43" s="1"/>
  <c r="F101" i="43"/>
  <c r="F109" i="43" s="1"/>
  <c r="H22" i="43"/>
  <c r="M101" i="43"/>
  <c r="M104" i="43" s="1"/>
  <c r="AJ11" i="43"/>
  <c r="AJ13" i="43" s="1"/>
  <c r="AB11" i="43"/>
  <c r="AB13" i="43" s="1"/>
  <c r="AI11" i="43"/>
  <c r="AI13" i="43" s="1"/>
  <c r="AA11" i="43"/>
  <c r="AA13" i="43" s="1"/>
  <c r="D9" i="69"/>
  <c r="C9" i="69" s="1"/>
  <c r="D19" i="12"/>
  <c r="C19" i="12" s="1"/>
  <c r="T9" i="1"/>
  <c r="AQ13" i="1"/>
  <c r="T10" i="1"/>
  <c r="G101" i="43"/>
  <c r="K101" i="43"/>
  <c r="E16" i="6"/>
  <c r="T13" i="1"/>
  <c r="AR11" i="1"/>
  <c r="T11" i="1"/>
  <c r="AR10" i="1"/>
  <c r="AY6" i="3"/>
  <c r="P6" i="1"/>
  <c r="K20" i="6"/>
  <c r="K24" i="6"/>
  <c r="M24" i="6" s="1"/>
  <c r="I24" i="6" s="1"/>
  <c r="K26" i="6"/>
  <c r="M26" i="6" s="1"/>
  <c r="I26" i="6" s="1"/>
  <c r="K19" i="6"/>
  <c r="S6" i="1" s="1"/>
  <c r="E6" i="70" s="1"/>
  <c r="E2" i="70" s="1"/>
  <c r="K21" i="6"/>
  <c r="M21" i="6" s="1"/>
  <c r="I21" i="6" s="1"/>
  <c r="K22" i="6"/>
  <c r="M22" i="6" s="1"/>
  <c r="I22" i="6" s="1"/>
  <c r="K25" i="6"/>
  <c r="M25" i="6" s="1"/>
  <c r="I25" i="6" s="1"/>
  <c r="K23" i="6"/>
  <c r="M23" i="6" s="1"/>
  <c r="I23" i="6" s="1"/>
  <c r="O14" i="1"/>
  <c r="P14" i="1" s="1"/>
  <c r="O9" i="1"/>
  <c r="P9" i="1" s="1"/>
  <c r="E29" i="6"/>
  <c r="F30" i="6"/>
  <c r="F31" i="6" s="1"/>
  <c r="O8" i="1"/>
  <c r="P8" i="1"/>
  <c r="E56" i="40"/>
  <c r="H82" i="43"/>
  <c r="H50" i="43"/>
  <c r="G17" i="43"/>
  <c r="C16" i="43" s="1"/>
  <c r="C5" i="43" s="1"/>
  <c r="H75" i="43"/>
  <c r="D127" i="9"/>
  <c r="D13" i="52" s="1"/>
  <c r="Y5" i="71"/>
  <c r="Z5" i="71" s="1"/>
  <c r="X5" i="71"/>
  <c r="AA5" i="71"/>
  <c r="AB5"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7" i="15"/>
  <c r="J55" i="15" s="1"/>
  <c r="J58" i="15" s="1"/>
  <c r="Q50" i="15" s="1"/>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C14" i="67"/>
  <c r="C16" i="15"/>
  <c r="G1" i="73"/>
  <c r="C16" i="67"/>
  <c r="C20" i="71" l="1"/>
  <c r="T21" i="71"/>
  <c r="D21" i="71"/>
  <c r="U21" i="71" s="1"/>
  <c r="F63" i="71"/>
  <c r="Q64" i="71"/>
  <c r="T33" i="71"/>
  <c r="D33" i="71"/>
  <c r="W36" i="35"/>
  <c r="AC36" i="35"/>
  <c r="S34" i="35"/>
  <c r="AA34" i="35"/>
  <c r="AC38" i="40"/>
  <c r="W38" i="40"/>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8" i="71"/>
  <c r="E7" i="71" s="1"/>
  <c r="E6" i="71" s="1"/>
  <c r="E5" i="71" s="1"/>
  <c r="V9" i="71"/>
  <c r="B34" i="72"/>
  <c r="D17" i="53"/>
  <c r="B36" i="72" s="1"/>
  <c r="I54" i="15"/>
  <c r="F7" i="36"/>
  <c r="J7" i="37"/>
  <c r="H7" i="36"/>
  <c r="H7" i="34"/>
  <c r="F7" i="34"/>
  <c r="N101" i="43"/>
  <c r="J101" i="43"/>
  <c r="AE11" i="43"/>
  <c r="AE13" i="43" s="1"/>
  <c r="Z7" i="43"/>
  <c r="AF11" i="43"/>
  <c r="AF13" i="43" s="1"/>
  <c r="E101" i="43"/>
  <c r="H101" i="43"/>
  <c r="C101" i="43"/>
  <c r="J22" i="43"/>
  <c r="AC11" i="43"/>
  <c r="AC13" i="43" s="1"/>
  <c r="Z11" i="43"/>
  <c r="Z13" i="43" s="1"/>
  <c r="AH11" i="43"/>
  <c r="AH13" i="43" s="1"/>
  <c r="I101" i="43"/>
  <c r="L101" i="43"/>
  <c r="E22" i="43"/>
  <c r="E97" i="3"/>
  <c r="E143" i="3"/>
  <c r="E285" i="3"/>
  <c r="E337" i="3"/>
  <c r="E359" i="3"/>
  <c r="E410" i="3"/>
  <c r="E574" i="3"/>
  <c r="E555" i="3"/>
  <c r="O6" i="3"/>
  <c r="E388" i="3"/>
  <c r="E328" i="3"/>
  <c r="E508" i="3"/>
  <c r="E426" i="3"/>
  <c r="E305" i="3"/>
  <c r="E153" i="3"/>
  <c r="E343" i="3"/>
  <c r="E501" i="3"/>
  <c r="E530" i="3"/>
  <c r="E319" i="3"/>
  <c r="E175" i="3"/>
  <c r="E53"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S37" i="21"/>
  <c r="B20" i="71"/>
  <c r="B19" i="71" s="1"/>
  <c r="B18" i="71" s="1"/>
  <c r="B17" i="71" s="1"/>
  <c r="S21" i="71"/>
  <c r="AB34" i="35"/>
  <c r="U34" i="35"/>
  <c r="AB9" i="34"/>
  <c r="U9" i="34"/>
  <c r="U39" i="40"/>
  <c r="AB39" i="40"/>
  <c r="AB38" i="40"/>
  <c r="U38" i="40"/>
  <c r="E557" i="3"/>
  <c r="D5" i="43"/>
  <c r="C33" i="43" s="1"/>
  <c r="E33" i="43" s="1"/>
  <c r="AC6" i="3"/>
  <c r="D7" i="12"/>
  <c r="E32" i="6"/>
  <c r="L20" i="6" s="1"/>
  <c r="K7" i="1"/>
  <c r="H6" i="3"/>
  <c r="I117" i="43"/>
  <c r="J117" i="43" s="1"/>
  <c r="K117" i="43" s="1"/>
  <c r="L117" i="43" s="1"/>
  <c r="M117" i="43" s="1"/>
  <c r="D70" i="39"/>
  <c r="E68" i="39"/>
  <c r="U37" i="21"/>
  <c r="AB37" i="21"/>
  <c r="W37" i="21"/>
  <c r="AC37" i="21"/>
  <c r="S41" i="39"/>
  <c r="AA41" i="39"/>
  <c r="U41" i="39"/>
  <c r="AB41" i="39"/>
  <c r="H124" i="39"/>
  <c r="I124" i="39" s="1"/>
  <c r="J124" i="39" s="1"/>
  <c r="K124" i="39" s="1"/>
  <c r="L124" i="39" s="1"/>
  <c r="M124" i="39" s="1"/>
  <c r="J41" i="39"/>
  <c r="F48" i="68"/>
  <c r="C48" i="68"/>
  <c r="C30" i="68"/>
  <c r="C30" i="11"/>
  <c r="C48" i="11"/>
  <c r="F48" i="69"/>
  <c r="C30" i="69"/>
  <c r="C48" i="69"/>
  <c r="M106" i="43"/>
  <c r="D118" i="43"/>
  <c r="E118" i="43" s="1"/>
  <c r="F118" i="43" s="1"/>
  <c r="I116" i="43"/>
  <c r="J116" i="43" s="1"/>
  <c r="K116" i="43" s="1"/>
  <c r="L116" i="43" s="1"/>
  <c r="M116" i="43" s="1"/>
  <c r="AQ6" i="1"/>
  <c r="AR6" i="1"/>
  <c r="S7" i="1"/>
  <c r="S16" i="1" s="1"/>
  <c r="F103" i="43"/>
  <c r="T6" i="1"/>
  <c r="L18" i="9"/>
  <c r="D3" i="37"/>
  <c r="C17" i="4"/>
  <c r="D117" i="43"/>
  <c r="E117" i="43" s="1"/>
  <c r="F117" i="43" s="1"/>
  <c r="G117" i="43" s="1"/>
  <c r="H117" i="43" s="1"/>
  <c r="D116" i="43"/>
  <c r="E116" i="43" s="1"/>
  <c r="F116" i="43" s="1"/>
  <c r="G116" i="43" s="1"/>
  <c r="H116" i="43" s="1"/>
  <c r="B116" i="43"/>
  <c r="C116" i="43" s="1"/>
  <c r="B117" i="43"/>
  <c r="C117" i="43" s="1"/>
  <c r="D19" i="11"/>
  <c r="C19" i="11" s="1"/>
  <c r="E103" i="43"/>
  <c r="H103" i="43"/>
  <c r="H109" i="43"/>
  <c r="C103" i="43"/>
  <c r="F104" i="43"/>
  <c r="F106" i="43"/>
  <c r="F107" i="43"/>
  <c r="F105" i="43"/>
  <c r="B115" i="43"/>
  <c r="I115" i="43"/>
  <c r="J115" i="43" s="1"/>
  <c r="K115" i="43" s="1"/>
  <c r="L115" i="43" s="1"/>
  <c r="M115" i="43" s="1"/>
  <c r="I118" i="43"/>
  <c r="J118" i="43" s="1"/>
  <c r="K118" i="43" s="1"/>
  <c r="L118" i="43" s="1"/>
  <c r="M118" i="43" s="1"/>
  <c r="B118" i="43"/>
  <c r="C118" i="43" s="1"/>
  <c r="G118" i="43"/>
  <c r="H118" i="43" s="1"/>
  <c r="M109" i="43"/>
  <c r="M107" i="43"/>
  <c r="D109" i="43"/>
  <c r="D103" i="43"/>
  <c r="D104" i="43"/>
  <c r="D107" i="43"/>
  <c r="D105" i="43"/>
  <c r="D106" i="43"/>
  <c r="D102" i="43"/>
  <c r="S2" i="43" s="1"/>
  <c r="T2" i="43" s="1"/>
  <c r="V2" i="43" s="1"/>
  <c r="M102" i="43"/>
  <c r="M103" i="43"/>
  <c r="F102" i="43"/>
  <c r="M105" i="43"/>
  <c r="E102" i="43"/>
  <c r="E105" i="43"/>
  <c r="E104" i="43"/>
  <c r="E109" i="43"/>
  <c r="H102" i="43"/>
  <c r="H107" i="43"/>
  <c r="H105" i="43"/>
  <c r="C104" i="43"/>
  <c r="C109" i="43"/>
  <c r="C106" i="43"/>
  <c r="C105" i="43"/>
  <c r="I109" i="43"/>
  <c r="I102" i="43"/>
  <c r="I106" i="43"/>
  <c r="I103" i="43"/>
  <c r="I104" i="43"/>
  <c r="I107" i="43"/>
  <c r="I105" i="43"/>
  <c r="L109" i="43"/>
  <c r="L102" i="43"/>
  <c r="L105" i="43"/>
  <c r="L104" i="43"/>
  <c r="L106" i="43"/>
  <c r="L107" i="43"/>
  <c r="L103" i="43"/>
  <c r="D22" i="43"/>
  <c r="N102" i="43"/>
  <c r="N105" i="43"/>
  <c r="N107" i="43"/>
  <c r="N109" i="43"/>
  <c r="N103" i="43"/>
  <c r="N106" i="43"/>
  <c r="N104" i="43"/>
  <c r="J104" i="43"/>
  <c r="J105" i="43"/>
  <c r="J107" i="43"/>
  <c r="J102" i="43"/>
  <c r="J106" i="43"/>
  <c r="J109" i="43"/>
  <c r="J103" i="43"/>
  <c r="K103" i="43"/>
  <c r="K102" i="43"/>
  <c r="K106" i="43"/>
  <c r="K109" i="43"/>
  <c r="K107" i="43"/>
  <c r="K104" i="43"/>
  <c r="K105" i="43"/>
  <c r="G105" i="43"/>
  <c r="G102" i="43"/>
  <c r="S6" i="43" s="1"/>
  <c r="T6" i="43" s="1"/>
  <c r="V6" i="43" s="1"/>
  <c r="G107" i="43"/>
  <c r="G104" i="43"/>
  <c r="G103" i="43"/>
  <c r="G106" i="43"/>
  <c r="G109" i="43"/>
  <c r="D3" i="21"/>
  <c r="D3" i="34"/>
  <c r="D37" i="11"/>
  <c r="M18" i="9"/>
  <c r="B118" i="9" s="1"/>
  <c r="B14" i="74" s="1"/>
  <c r="B1" i="74" s="1"/>
  <c r="D14" i="12"/>
  <c r="D3" i="33"/>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29"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186"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9"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413" i="3"/>
  <c r="AY521" i="3"/>
  <c r="AY15" i="3"/>
  <c r="AY566" i="3"/>
  <c r="AY583" i="3"/>
  <c r="BT6" i="3"/>
  <c r="AY567"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50" i="3"/>
  <c r="BD6" i="3"/>
  <c r="BC6" i="3"/>
  <c r="AY511" i="3"/>
  <c r="AY504" i="3"/>
  <c r="AY586" i="3"/>
  <c r="AY498" i="3"/>
  <c r="B4" i="52"/>
  <c r="B43" i="72" s="1"/>
  <c r="S23" i="6"/>
  <c r="H23" i="6"/>
  <c r="S22" i="6"/>
  <c r="H22" i="6"/>
  <c r="S26" i="6"/>
  <c r="H26" i="6"/>
  <c r="C20" i="11"/>
  <c r="E30" i="6"/>
  <c r="E31" i="6" s="1"/>
  <c r="K15" i="1"/>
  <c r="K16" i="1" s="1"/>
  <c r="S25" i="6"/>
  <c r="S21" i="6"/>
  <c r="M19" i="6"/>
  <c r="K27" i="6"/>
  <c r="S24" i="6"/>
  <c r="T11" i="43"/>
  <c r="V11" i="43" s="1"/>
  <c r="T14" i="43"/>
  <c r="V14" i="43" s="1"/>
  <c r="T12" i="43"/>
  <c r="V12" i="43" s="1"/>
  <c r="T9" i="43"/>
  <c r="V9" i="43" s="1"/>
  <c r="C34" i="43"/>
  <c r="E34" i="43" s="1"/>
  <c r="T13" i="43"/>
  <c r="V13" i="43" s="1"/>
  <c r="T10" i="43"/>
  <c r="V10"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15"/>
  <c r="AE6" i="1"/>
  <c r="L27" i="6" l="1"/>
  <c r="M20" i="6"/>
  <c r="I20" i="6" s="1"/>
  <c r="B16" i="71"/>
  <c r="B15" i="71" s="1"/>
  <c r="B14" i="71" s="1"/>
  <c r="B13" i="71" s="1"/>
  <c r="S17" i="71"/>
  <c r="C102" i="43"/>
  <c r="C107" i="43"/>
  <c r="E107" i="43"/>
  <c r="E106" i="43"/>
  <c r="Q63" i="71"/>
  <c r="Q62" i="71"/>
  <c r="E6" i="3"/>
  <c r="H106" i="43"/>
  <c r="H104" i="43"/>
  <c r="C19" i="71"/>
  <c r="D20" i="71"/>
  <c r="G34" i="43"/>
  <c r="I34" i="43" s="1"/>
  <c r="C37" i="43"/>
  <c r="E37" i="43" s="1"/>
  <c r="C36" i="43"/>
  <c r="C39" i="43"/>
  <c r="C35" i="43"/>
  <c r="C38" i="43"/>
  <c r="C15" i="15"/>
  <c r="C18" i="15"/>
  <c r="M7" i="1"/>
  <c r="AP7" i="1"/>
  <c r="C36" i="69" s="1"/>
  <c r="Q16" i="1"/>
  <c r="C34" i="69"/>
  <c r="H16" i="1"/>
  <c r="G16" i="1"/>
  <c r="F68" i="39"/>
  <c r="E70" i="39"/>
  <c r="W41" i="39"/>
  <c r="AC41" i="39"/>
  <c r="G33" i="43"/>
  <c r="I33" i="43" s="1"/>
  <c r="AQ7" i="1"/>
  <c r="AR7" i="1"/>
  <c r="T7" i="1"/>
  <c r="T16" i="1" s="1"/>
  <c r="H24" i="6"/>
  <c r="H21" i="6"/>
  <c r="H25" i="6"/>
  <c r="S5" i="43"/>
  <c r="T5" i="43" s="1"/>
  <c r="V5" i="43" s="1"/>
  <c r="S7" i="43"/>
  <c r="T7" i="43" s="1"/>
  <c r="V7" i="43" s="1"/>
  <c r="S4" i="43"/>
  <c r="T4" i="43" s="1"/>
  <c r="V4" i="43" s="1"/>
  <c r="C23" i="43"/>
  <c r="C21" i="43" s="1"/>
  <c r="C29" i="43" s="1"/>
  <c r="C30" i="43" s="1"/>
  <c r="E30" i="43" s="1"/>
  <c r="S3" i="43"/>
  <c r="T3" i="43" s="1"/>
  <c r="V3" i="43" s="1"/>
  <c r="C115" i="43"/>
  <c r="D113" i="43" s="1"/>
  <c r="M19" i="9"/>
  <c r="C118" i="9" s="1"/>
  <c r="C14" i="74" s="1"/>
  <c r="B2" i="74" s="1"/>
  <c r="D19" i="6"/>
  <c r="D26" i="6"/>
  <c r="R26" i="6" s="1"/>
  <c r="C18" i="4"/>
  <c r="D8" i="6"/>
  <c r="D23" i="6"/>
  <c r="R23" i="6" s="1"/>
  <c r="D14" i="6"/>
  <c r="D6" i="6"/>
  <c r="D9" i="6"/>
  <c r="D10" i="6"/>
  <c r="L19" i="9"/>
  <c r="E61" i="40"/>
  <c r="D25" i="6"/>
  <c r="R25" i="6" s="1"/>
  <c r="D15" i="6"/>
  <c r="D22" i="6"/>
  <c r="R22" i="6" s="1"/>
  <c r="D21" i="6"/>
  <c r="R21" i="6" s="1"/>
  <c r="D24" i="6"/>
  <c r="R24" i="6" s="1"/>
  <c r="D20" i="6"/>
  <c r="D5" i="6"/>
  <c r="D12" i="6"/>
  <c r="D11" i="6"/>
  <c r="D13" i="6"/>
  <c r="D28" i="6"/>
  <c r="D30" i="6" s="1"/>
  <c r="D10" i="11"/>
  <c r="C10" i="11" s="1"/>
  <c r="D10" i="69"/>
  <c r="D10" i="68"/>
  <c r="D20" i="12"/>
  <c r="C20" i="12" s="1"/>
  <c r="D17" i="12"/>
  <c r="C17" i="12" s="1"/>
  <c r="C8" i="74"/>
  <c r="C7" i="74"/>
  <c r="C26" i="43"/>
  <c r="I19" i="6"/>
  <c r="M27" i="6"/>
  <c r="E29" i="43"/>
  <c r="F50" i="11"/>
  <c r="F50" i="68"/>
  <c r="F50" i="69"/>
  <c r="G37" i="43"/>
  <c r="I3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8" i="71" l="1"/>
  <c r="D19" i="71"/>
  <c r="H20" i="6"/>
  <c r="R20" i="6" s="1"/>
  <c r="R7" i="1" s="1"/>
  <c r="S20" i="6"/>
  <c r="B12" i="71"/>
  <c r="B11" i="71" s="1"/>
  <c r="B10" i="71" s="1"/>
  <c r="B9" i="71" s="1"/>
  <c r="S13" i="71"/>
  <c r="E35" i="43"/>
  <c r="G35" i="43"/>
  <c r="I35" i="43" s="1"/>
  <c r="E36" i="43"/>
  <c r="G36" i="43"/>
  <c r="I36" i="43" s="1"/>
  <c r="E38" i="43"/>
  <c r="G38" i="43"/>
  <c r="I38" i="43" s="1"/>
  <c r="G39" i="43"/>
  <c r="I39" i="43" s="1"/>
  <c r="E39" i="43"/>
  <c r="C19" i="15"/>
  <c r="C20" i="15" s="1"/>
  <c r="C26" i="15" s="1"/>
  <c r="F27" i="69"/>
  <c r="F27" i="11"/>
  <c r="F27" i="68"/>
  <c r="F28" i="12"/>
  <c r="C29" i="12" s="1"/>
  <c r="D28" i="12" s="1"/>
  <c r="O7" i="1"/>
  <c r="M16" i="1"/>
  <c r="F10" i="39"/>
  <c r="J10" i="40"/>
  <c r="F10" i="40"/>
  <c r="H10" i="40"/>
  <c r="H10" i="39"/>
  <c r="J10" i="39"/>
  <c r="C35" i="69"/>
  <c r="C38" i="69"/>
  <c r="F70" i="39"/>
  <c r="G68" i="39"/>
  <c r="F69" i="15"/>
  <c r="J29" i="15"/>
  <c r="C27" i="43"/>
  <c r="D16" i="6"/>
  <c r="D27" i="6"/>
  <c r="C10" i="69"/>
  <c r="C8" i="69" s="1"/>
  <c r="C5" i="69" s="1"/>
  <c r="C23" i="69" s="1"/>
  <c r="D19" i="69"/>
  <c r="D8" i="74"/>
  <c r="D7" i="74"/>
  <c r="C10" i="68"/>
  <c r="B29" i="1" s="1"/>
  <c r="D19" i="68"/>
  <c r="C4" i="52"/>
  <c r="B45" i="72" s="1"/>
  <c r="A10" i="51"/>
  <c r="B9" i="72" s="1"/>
  <c r="A7" i="51"/>
  <c r="B7" i="72" s="1"/>
  <c r="D31" i="6"/>
  <c r="H19" i="6"/>
  <c r="I27" i="6"/>
  <c r="S19" i="6"/>
  <c r="S27"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8" i="68" l="1"/>
  <c r="C23" i="15"/>
  <c r="C29" i="15" s="1"/>
  <c r="J14" i="15" s="1"/>
  <c r="B8" i="71"/>
  <c r="B7" i="71" s="1"/>
  <c r="B6" i="71" s="1"/>
  <c r="B5" i="71" s="1"/>
  <c r="S9" i="71"/>
  <c r="D18" i="71"/>
  <c r="C17" i="71"/>
  <c r="AC10" i="39"/>
  <c r="W10" i="39"/>
  <c r="U10" i="40"/>
  <c r="AB10" i="40"/>
  <c r="W10" i="40"/>
  <c r="AC10" i="40"/>
  <c r="N16" i="1"/>
  <c r="L16" i="1"/>
  <c r="C29" i="11"/>
  <c r="D27" i="11" s="1"/>
  <c r="C47" i="11"/>
  <c r="D45" i="11" s="1"/>
  <c r="C28" i="11"/>
  <c r="C27" i="11" s="1"/>
  <c r="U10" i="39"/>
  <c r="AB10" i="39"/>
  <c r="AA10" i="40"/>
  <c r="S10" i="40"/>
  <c r="S10" i="39"/>
  <c r="AA10" i="39"/>
  <c r="P7" i="1"/>
  <c r="O16" i="1"/>
  <c r="C47" i="68"/>
  <c r="D45" i="68" s="1"/>
  <c r="F45" i="68"/>
  <c r="C29" i="68"/>
  <c r="D27" i="68" s="1"/>
  <c r="C47" i="69"/>
  <c r="D45" i="69" s="1"/>
  <c r="F45" i="69"/>
  <c r="C29" i="69"/>
  <c r="D27" i="69" s="1"/>
  <c r="H68" i="39"/>
  <c r="G70" i="39"/>
  <c r="E2" i="76"/>
  <c r="C18" i="12"/>
  <c r="C19" i="68"/>
  <c r="D37" i="68"/>
  <c r="C19" i="69"/>
  <c r="C24" i="69" s="1"/>
  <c r="D37" i="69"/>
  <c r="C37" i="69" s="1"/>
  <c r="C33" i="69" s="1"/>
  <c r="I6" i="6"/>
  <c r="I5" i="6"/>
  <c r="R19" i="6"/>
  <c r="H27" i="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Q49" i="15" l="1"/>
  <c r="C57" i="15"/>
  <c r="C61" i="15" s="1"/>
  <c r="J19" i="15"/>
  <c r="C13" i="15"/>
  <c r="Q70" i="15" s="1"/>
  <c r="C36" i="15"/>
  <c r="C16" i="71"/>
  <c r="T17" i="71"/>
  <c r="D17" i="71"/>
  <c r="U17" i="71" s="1"/>
  <c r="C13" i="12"/>
  <c r="P16" i="1"/>
  <c r="C11" i="12" s="1"/>
  <c r="F34" i="11"/>
  <c r="F11" i="12"/>
  <c r="C14" i="12" s="1"/>
  <c r="F34" i="68"/>
  <c r="C37" i="68" s="1"/>
  <c r="I68" i="39"/>
  <c r="H70" i="39"/>
  <c r="B3" i="76"/>
  <c r="R27" i="6"/>
  <c r="R6" i="1"/>
  <c r="C39" i="69"/>
  <c r="C43" i="69" s="1"/>
  <c r="C42" i="69"/>
  <c r="C20" i="69"/>
  <c r="C24"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C56" i="15"/>
  <c r="C65" i="15" s="1"/>
  <c r="J22" i="15"/>
  <c r="J13" i="15"/>
  <c r="J23" i="15" s="1"/>
  <c r="M21" i="15"/>
  <c r="F35" i="15"/>
  <c r="L51" i="67"/>
  <c r="C37" i="15" l="1"/>
  <c r="C75" i="15"/>
  <c r="C64" i="15"/>
  <c r="C15" i="71"/>
  <c r="D16" i="71"/>
  <c r="C34" i="68"/>
  <c r="C36" i="68"/>
  <c r="C37" i="11"/>
  <c r="C34" i="11"/>
  <c r="C36" i="11"/>
  <c r="C15" i="12"/>
  <c r="C12" i="12"/>
  <c r="J68" i="39"/>
  <c r="I70" i="39"/>
  <c r="C34" i="15"/>
  <c r="C31" i="15" s="1"/>
  <c r="C30" i="15" s="1"/>
  <c r="C39" i="15" s="1"/>
  <c r="C40" i="15" s="1"/>
  <c r="C8" i="12" s="1"/>
  <c r="F63" i="15"/>
  <c r="C62" i="15" s="1"/>
  <c r="C59" i="15" s="1"/>
  <c r="J20" i="15"/>
  <c r="J17" i="15" s="1"/>
  <c r="J16" i="15" s="1"/>
  <c r="J25" i="15" s="1"/>
  <c r="R16" i="1"/>
  <c r="C41" i="69"/>
  <c r="C46" i="69"/>
  <c r="C45" i="69" s="1"/>
  <c r="C28" i="69"/>
  <c r="C27" i="69" s="1"/>
  <c r="C25" i="69"/>
  <c r="C22" i="69"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8" i="15" l="1"/>
  <c r="C67" i="15" s="1"/>
  <c r="C68" i="15" s="1"/>
  <c r="C71" i="15" s="1"/>
  <c r="C14" i="71"/>
  <c r="D15" i="71"/>
  <c r="C16" i="12"/>
  <c r="C21" i="12" s="1"/>
  <c r="C22" i="12" s="1"/>
  <c r="C35" i="11"/>
  <c r="C38" i="11"/>
  <c r="C38" i="68"/>
  <c r="C35" i="68"/>
  <c r="J70" i="39"/>
  <c r="K68" i="39"/>
  <c r="Q69" i="15"/>
  <c r="Q68" i="15" s="1"/>
  <c r="C80" i="15"/>
  <c r="C79" i="15" s="1"/>
  <c r="C31" i="69"/>
  <c r="C49" i="69"/>
  <c r="C51" i="69" s="1"/>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C6" i="12" s="1"/>
  <c r="Q47" i="15"/>
  <c r="Q53" i="15" s="1"/>
  <c r="C83" i="15"/>
  <c r="C82" i="15" s="1"/>
  <c r="C43" i="67"/>
  <c r="D2" i="67"/>
  <c r="Q47" i="67"/>
  <c r="Q53" i="67" s="1"/>
  <c r="Q56" i="67"/>
  <c r="Q65" i="67"/>
  <c r="C83" i="67"/>
  <c r="C82" i="67" s="1"/>
  <c r="C46" i="15"/>
  <c r="AO6" i="1"/>
  <c r="L51" i="15"/>
  <c r="C33" i="11" l="1"/>
  <c r="C39" i="11" s="1"/>
  <c r="C43" i="11" s="1"/>
  <c r="D14" i="71"/>
  <c r="C13" i="71"/>
  <c r="C33" i="68"/>
  <c r="C39" i="68" s="1"/>
  <c r="Q67" i="15"/>
  <c r="K70" i="39"/>
  <c r="L68" i="39"/>
  <c r="C52" i="69"/>
  <c r="B2" i="69" s="1"/>
  <c r="B3" i="69" s="1"/>
  <c r="B6" i="70"/>
  <c r="B2" i="70" s="1"/>
  <c r="B3" i="70" s="1"/>
  <c r="B3" i="15"/>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2" i="11" l="1"/>
  <c r="C41" i="11" s="1"/>
  <c r="C42" i="68"/>
  <c r="C12" i="71"/>
  <c r="T13" i="71"/>
  <c r="D13" i="71"/>
  <c r="U13" i="71" s="1"/>
  <c r="C46" i="11"/>
  <c r="C45" i="11" s="1"/>
  <c r="C46" i="68"/>
  <c r="C45" i="68" s="1"/>
  <c r="C43" i="68"/>
  <c r="M68" i="39"/>
  <c r="L70" i="39"/>
  <c r="B2" i="21"/>
  <c r="D6" i="12"/>
  <c r="B3" i="21"/>
  <c r="C57" i="69"/>
  <c r="C56" i="69" s="1"/>
  <c r="R39" i="35"/>
  <c r="E38" i="35"/>
  <c r="M63" i="40"/>
  <c r="L65" i="40"/>
  <c r="D8" i="12" l="1"/>
  <c r="C4" i="12" s="1"/>
  <c r="C41" i="68"/>
  <c r="C49" i="68" s="1"/>
  <c r="C51" i="68" s="1"/>
  <c r="C11" i="71"/>
  <c r="D12" i="71"/>
  <c r="C49" i="11"/>
  <c r="C51" i="11" s="1"/>
  <c r="N68" i="39"/>
  <c r="M70" i="39"/>
  <c r="C39" i="35"/>
  <c r="B2" i="35" s="1"/>
  <c r="B3" i="35" s="1"/>
  <c r="C38" i="35"/>
  <c r="N63" i="40"/>
  <c r="M65" i="40"/>
  <c r="E43" i="35"/>
  <c r="F43" i="35" s="1"/>
  <c r="E42" i="35"/>
  <c r="F42" i="35" s="1"/>
  <c r="I43" i="35"/>
  <c r="J43" i="35" s="1"/>
  <c r="C31" i="12" l="1"/>
  <c r="C23" i="12"/>
  <c r="C27" i="12" s="1"/>
  <c r="C25" i="12" s="1"/>
  <c r="C10" i="71"/>
  <c r="D11" i="71"/>
  <c r="C52" i="11"/>
  <c r="B2" i="11" s="1"/>
  <c r="B3" i="11" s="1"/>
  <c r="O68" i="39"/>
  <c r="O70" i="39" s="1"/>
  <c r="N70" i="39"/>
  <c r="F7" i="39" s="1"/>
  <c r="H7" i="39"/>
  <c r="J7" i="39"/>
  <c r="C30" i="12"/>
  <c r="C28" i="12" s="1"/>
  <c r="O63" i="40"/>
  <c r="O65" i="40" s="1"/>
  <c r="N65" i="40"/>
  <c r="C9" i="71" l="1"/>
  <c r="D10" i="71"/>
  <c r="C56" i="11"/>
  <c r="C57" i="11" s="1"/>
  <c r="AC7" i="39"/>
  <c r="V47" i="39" s="1"/>
  <c r="I47" i="39" s="1"/>
  <c r="W7" i="39"/>
  <c r="AA7" i="39"/>
  <c r="R47" i="39" s="1"/>
  <c r="S7" i="39"/>
  <c r="AB7" i="39"/>
  <c r="T47" i="39" s="1"/>
  <c r="G47" i="39" s="1"/>
  <c r="U7" i="39"/>
  <c r="C32" i="12"/>
  <c r="B2" i="12" s="1"/>
  <c r="B3" i="12" s="1"/>
  <c r="J7" i="40"/>
  <c r="F7" i="40"/>
  <c r="H7" i="40"/>
  <c r="D19" i="9"/>
  <c r="D20" i="9"/>
  <c r="C8" i="71" l="1"/>
  <c r="T9" i="71"/>
  <c r="D9" i="71"/>
  <c r="U9" i="71" s="1"/>
  <c r="G52" i="39"/>
  <c r="H52" i="39" s="1"/>
  <c r="G51" i="39"/>
  <c r="H51" i="39" s="1"/>
  <c r="E47" i="39"/>
  <c r="R48" i="39"/>
  <c r="I52" i="39"/>
  <c r="J52" i="39" s="1"/>
  <c r="I51" i="39"/>
  <c r="J51" i="39" s="1"/>
  <c r="D102" i="9"/>
  <c r="D21" i="9"/>
  <c r="D103" i="9"/>
  <c r="U7" i="40"/>
  <c r="AB7" i="40"/>
  <c r="T42" i="40" s="1"/>
  <c r="G42" i="40" s="1"/>
  <c r="AA7" i="40"/>
  <c r="R42" i="40" s="1"/>
  <c r="S7" i="40"/>
  <c r="AC7" i="40"/>
  <c r="V42" i="40" s="1"/>
  <c r="I42" i="40" s="1"/>
  <c r="W7" i="40"/>
  <c r="D8" i="71" l="1"/>
  <c r="C7" i="71"/>
  <c r="C48" i="39"/>
  <c r="C47" i="39"/>
  <c r="E51" i="39"/>
  <c r="F51" i="39" s="1"/>
  <c r="E52" i="39"/>
  <c r="F52" i="39" s="1"/>
  <c r="I46" i="40"/>
  <c r="J46" i="40" s="1"/>
  <c r="R43" i="40"/>
  <c r="E42" i="40"/>
  <c r="G47" i="40"/>
  <c r="H47" i="40" s="1"/>
  <c r="G46" i="40"/>
  <c r="H46" i="40" s="1"/>
  <c r="C6" i="71" l="1"/>
  <c r="D7" i="71"/>
  <c r="B56" i="39"/>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F66"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B2" i="39"/>
  <c r="B3" i="39" s="1"/>
  <c r="C6" i="68"/>
  <c r="C7" i="68" l="1"/>
  <c r="C5" i="68" s="1"/>
  <c r="C23" i="68" l="1"/>
  <c r="C20" i="68"/>
  <c r="C25" i="68" s="1"/>
  <c r="C28" i="68" l="1"/>
  <c r="C27" i="68" s="1"/>
  <c r="C22" i="68"/>
  <c r="C31" i="68" l="1"/>
  <c r="C52" i="68" s="1"/>
  <c r="B2" i="68" s="1"/>
  <c r="C19" i="9"/>
  <c r="C57" i="68" l="1"/>
  <c r="C56" i="68" s="1"/>
  <c r="C21" i="9"/>
  <c r="C102" i="9"/>
  <c r="G19" i="9"/>
  <c r="D22" i="9"/>
  <c r="B3" i="68"/>
  <c r="C20" i="9"/>
  <c r="C103" i="9" l="1"/>
  <c r="G20" i="9"/>
  <c r="C32" i="9" s="1"/>
  <c r="C35" i="9" s="1"/>
  <c r="C34" i="9" s="1"/>
  <c r="G21" i="9"/>
  <c r="D14" i="74"/>
  <c r="G14" i="74" l="1"/>
  <c r="B6" i="74" s="1"/>
  <c r="F14" i="74"/>
  <c r="E14" i="74"/>
  <c r="B5" i="74"/>
  <c r="D6" i="74" l="1"/>
  <c r="C6" i="74"/>
  <c r="C5" i="74"/>
  <c r="D5" i="74"/>
  <c r="M65" i="9"/>
  <c r="L65" i="9"/>
  <c r="E97" i="9"/>
  <c r="E96" i="9"/>
  <c r="C96" i="9"/>
  <c r="H5" i="52"/>
  <c r="H119" i="9"/>
  <c r="B53" i="72"/>
  <c r="F5" i="52"/>
  <c r="F119" i="9"/>
  <c r="B21" i="72"/>
  <c r="D7" i="53"/>
  <c r="H102" i="9"/>
  <c r="N58" i="9"/>
  <c r="D55" i="9"/>
  <c r="M53" i="9"/>
  <c r="N57" i="9"/>
  <c r="P57" i="9"/>
  <c r="D8" i="52"/>
  <c r="N69" i="9"/>
  <c r="L63" i="9"/>
  <c r="M63" i="9"/>
  <c r="M69" i="9"/>
  <c r="B52" i="72"/>
  <c r="G4" i="52"/>
  <c r="B47" i="72"/>
  <c r="D4" i="52"/>
  <c r="C73" i="9"/>
  <c r="C78" i="9"/>
  <c r="C80" i="9"/>
  <c r="E80" i="9"/>
  <c r="E81" i="9"/>
  <c r="C72" i="9"/>
  <c r="C79" i="9"/>
  <c r="C81" i="9"/>
  <c r="D122" i="9"/>
  <c r="D123" i="9"/>
  <c r="D9" i="52"/>
  <c r="C86" i="9"/>
  <c r="C93" i="9"/>
  <c r="M68" i="9"/>
  <c r="L68" i="9"/>
  <c r="H108" i="9"/>
  <c r="D15" i="53"/>
  <c r="B31" i="72"/>
  <c r="H4" i="52"/>
  <c r="C104" i="9"/>
  <c r="D54" i="9"/>
  <c r="C68" i="9"/>
  <c r="D53" i="9"/>
  <c r="D52" i="9"/>
  <c r="N60" i="9"/>
  <c r="N59" i="9"/>
  <c r="N61" i="9"/>
  <c r="I4" i="52"/>
  <c r="C105" i="9"/>
  <c r="B48" i="72"/>
  <c r="E4" i="52"/>
  <c r="B30" i="72"/>
  <c r="B22" i="72"/>
  <c r="D6" i="53"/>
  <c r="C85" i="9"/>
  <c r="C95" i="9"/>
  <c r="C97" i="9"/>
  <c r="D58" i="9"/>
  <c r="D56" i="9"/>
  <c r="M54" i="9"/>
  <c r="L64" i="9"/>
  <c r="M64" i="9"/>
  <c r="L66" i="9"/>
  <c r="M66" i="9"/>
  <c r="M48" i="9"/>
  <c r="D13" i="53"/>
  <c r="D14" i="53"/>
  <c r="B32" i="72"/>
  <c r="H107" i="9"/>
  <c r="M49" i="9"/>
  <c r="L67" i="9"/>
  <c r="M67" i="9"/>
  <c r="D45" i="9"/>
  <c r="C64" i="9"/>
  <c r="C63" i="9"/>
  <c r="C67" i="9"/>
  <c r="D59" i="9"/>
  <c r="M55" i="9"/>
  <c r="H101" i="9"/>
  <c r="D5" i="53"/>
  <c r="B20" i="72"/>
  <c r="H118" i="9"/>
  <c r="I118" i="9"/>
  <c r="E118" i="9"/>
  <c r="D118" i="9"/>
  <c r="D119" i="9"/>
  <c r="D5" i="52"/>
  <c r="B49"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<sst xmlns="http://schemas.openxmlformats.org/spreadsheetml/2006/main" count="8572" uniqueCount="3493">
  <si>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</si>
  <si>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</si>
  <si>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</si>
  <si>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</si>
  <si>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</si>
  <si>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</si>
  <si>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</si>
  <si>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</si>
  <si>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</si>
  <si>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</si>
  <si>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</si>
  <si>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</si>
  <si>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</si>
  <si>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</si>
  <si>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</si>
  <si>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</si>
  <si>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</si>
  <si>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</si>
  <si>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</si>
  <si>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</si>
  <si>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</si>
  <si>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</si>
  <si>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</si>
  <si>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</si>
  <si>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</si>
  <si>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</si>
  <si>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</si>
  <si>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</si>
  <si>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</si>
  <si>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</si>
  <si>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</si>
  <si>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</si>
  <si>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</si>
  <si>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</si>
  <si>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</si>
  <si>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</si>
  <si>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</si>
  <si>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</si>
  <si>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</si>
  <si>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</si>
  <si>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</si>
  <si>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</si>
  <si>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</si>
  <si>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</si>
  <si>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</si>
  <si>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</si>
  <si>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</si>
  <si>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</si>
  <si>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</si>
  <si>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</si>
  <si>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</si>
  <si>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</si>
  <si>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</si>
  <si>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</si>
  <si>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</si>
  <si>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</si>
  <si>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</si>
  <si>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</si>
  <si>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</si>
  <si>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</si>
  <si>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</si>
  <si>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</si>
  <si>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</si>
  <si>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</si>
  <si>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</si>
  <si>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</si>
  <si>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</si>
  <si>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</si>
  <si>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</si>
  <si>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</si>
  <si>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</si>
  <si>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</si>
  <si>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</si>
  <si>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</si>
  <si>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</si>
  <si>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</si>
  <si>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</si>
  <si>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</si>
  <si>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</si>
  <si>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</si>
  <si>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</si>
  <si>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</si>
  <si>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</si>
  <si>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</si>
  <si>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</si>
  <si>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</si>
  <si>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</si>
  <si>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</si>
  <si>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</si>
  <si>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</si>
  <si>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</si>
  <si>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</si>
  <si>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</si>
  <si>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</si>
  <si>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</si>
  <si>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</si>
  <si>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</si>
  <si>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</si>
  <si>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</si>
  <si>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</si>
  <si>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</si>
  <si>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</si>
  <si>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</si>
  <si>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</si>
  <si>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</si>
  <si>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</si>
  <si>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</si>
  <si>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</si>
  <si>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</si>
  <si>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</si>
  <si>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</si>
  <si>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</si>
  <si>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</si>
  <si>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</si>
  <si>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</si>
  <si>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</si>
  <si>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</si>
  <si>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</si>
  <si>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</si>
  <si>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</si>
  <si>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</si>
  <si>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</si>
  <si>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</si>
  <si>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</si>
  <si>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</si>
  <si>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</si>
  <si>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</si>
  <si>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</si>
  <si>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</si>
  <si>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</si>
  <si>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</si>
  <si>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</si>
  <si>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</si>
  <si>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</si>
  <si>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</si>
  <si>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</si>
  <si>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</si>
  <si>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</si>
  <si>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</si>
  <si>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</si>
  <si>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</si>
  <si>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</si>
  <si>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</si>
  <si>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</si>
  <si>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</si>
  <si>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</si>
  <si>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</si>
  <si>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</si>
  <si>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</si>
  <si>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</si>
  <si>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</si>
  <si>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</si>
  <si>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</si>
  <si>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</si>
  <si>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</si>
  <si>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</si>
  <si>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</si>
  <si>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</si>
  <si>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</si>
  <si>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</si>
  <si>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</si>
  <si>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</si>
  <si>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</si>
  <si>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</si>
  <si>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</si>
  <si>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</si>
  <si>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</si>
  <si>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</si>
  <si>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</si>
  <si>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</si>
  <si>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</si>
  <si>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</si>
  <si>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</si>
  <si>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</si>
  <si>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</si>
  <si>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</si>
  <si>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</si>
  <si>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</si>
  <si>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</si>
  <si>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</si>
  <si>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</si>
  <si>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</si>
  <si>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</si>
  <si>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</si>
  <si>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</si>
  <si>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</si>
  <si>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</si>
  <si>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</si>
  <si>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</si>
  <si>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</si>
  <si>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</si>
  <si>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</si>
  <si>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</si>
  <si>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</si>
  <si>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</si>
  <si>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</si>
  <si>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</si>
  <si>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</si>
  <si>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</si>
  <si>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</si>
  <si>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</si>
  <si>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</si>
  <si>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</si>
  <si>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</si>
  <si>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</si>
  <si>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</si>
  <si>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</si>
  <si>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</si>
  <si>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</si>
  <si>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</si>
  <si>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</si>
  <si>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</si>
  <si>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</si>
  <si>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</si>
  <si>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</si>
  <si>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</si>
  <si>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</si>
  <si>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</si>
  <si>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</si>
  <si>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</si>
  <si>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</si>
  <si>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</si>
  <si>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</si>
  <si>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</si>
  <si>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</si>
  <si>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</si>
  <si>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</si>
  <si>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</si>
  <si>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</si>
  <si>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</si>
  <si>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</si>
  <si>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</si>
  <si>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</si>
  <si>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</si>
  <si>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</si>
  <si>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</si>
  <si>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</si>
  <si>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</si>
  <si>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</si>
  <si>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</si>
  <si>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</si>
  <si>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</si>
  <si>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</si>
  <si>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</si>
  <si>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</si>
  <si>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</si>
  <si>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</si>
  <si>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</si>
  <si>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</si>
  <si>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</si>
  <si>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</si>
  <si>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</si>
  <si>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</si>
  <si>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</si>
  <si>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</si>
  <si>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</si>
  <si>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</si>
  <si>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</si>
  <si>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</si>
  <si>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</si>
  <si>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</si>
  <si>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</si>
  <si>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</si>
  <si>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</si>
  <si>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</si>
  <si>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</si>
  <si>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</si>
  <si>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</si>
  <si>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</si>
  <si>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</si>
  <si>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</si>
  <si>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</si>
  <si>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</si>
  <si>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</si>
  <si>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</si>
  <si>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</si>
  <si>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</si>
  <si>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</si>
  <si>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</si>
  <si>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</si>
  <si>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</si>
  <si>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</si>
  <si>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</si>
  <si>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</si>
  <si>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</si>
  <si>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</si>
  <si>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</si>
  <si>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</si>
  <si>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</si>
  <si>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</si>
  <si>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</si>
  <si>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</si>
  <si>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</si>
  <si>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</si>
  <si>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</si>
  <si>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</si>
  <si>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</si>
  <si>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</si>
  <si>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</si>
  <si>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</si>
  <si>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</si>
  <si>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</si>
  <si>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</si>
  <si>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</si>
  <si>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</si>
  <si>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</si>
  <si>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</si>
  <si>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</si>
  <si>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</si>
  <si>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</si>
  <si>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</si>
  <si>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</si>
  <si>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</si>
  <si>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</si>
  <si>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</si>
  <si>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</si>
  <si>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</si>
  <si>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</si>
  <si>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</si>
  <si>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</si>
  <si>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</si>
  <si>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</si>
  <si>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</si>
  <si>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</si>
  <si>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</si>
  <si>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</si>
  <si>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</si>
  <si>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</si>
  <si>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</si>
  <si>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</si>
  <si>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</si>
  <si>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</si>
  <si>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</si>
  <si>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</si>
  <si>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</si>
  <si>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</si>
  <si>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</si>
  <si>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</si>
  <si>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</si>
  <si>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</si>
  <si>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</si>
  <si>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</si>
  <si>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</si>
  <si>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</si>
  <si>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</si>
  <si>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</si>
  <si>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</si>
  <si>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</si>
  <si>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</si>
  <si>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</si>
  <si>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</si>
  <si>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</si>
  <si>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</si>
  <si>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</si>
  <si>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</si>
  <si>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</si>
  <si>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</si>
  <si>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</si>
  <si>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</si>
  <si>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</si>
  <si>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</si>
  <si>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</si>
  <si>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</si>
  <si>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</si>
  <si>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</si>
  <si>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</si>
  <si>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</si>
  <si>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</si>
  <si>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</si>
  <si>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</si>
  <si>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</si>
  <si>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</si>
  <si>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</si>
  <si>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</si>
  <si>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</si>
  <si>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</si>
  <si>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</si>
  <si>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</si>
  <si>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</si>
  <si>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</si>
  <si>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</si>
  <si>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</si>
  <si>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</si>
  <si>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</si>
  <si>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</si>
  <si>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</si>
  <si>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</si>
  <si>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</si>
  <si>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</si>
  <si>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</si>
  <si>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</si>
  <si>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</si>
  <si>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</si>
  <si>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</si>
  <si>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</si>
  <si>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</si>
  <si>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</si>
  <si>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</si>
  <si>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</si>
  <si>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</si>
  <si>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</si>
  <si>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</si>
  <si>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</si>
  <si>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</si>
  <si>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</si>
  <si>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</si>
  <si>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</si>
  <si>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</si>
  <si>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</si>
  <si>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</si>
  <si>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</si>
  <si>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</si>
  <si>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</si>
  <si>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</si>
  <si>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</si>
  <si>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</si>
  <si>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</si>
  <si>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</si>
  <si>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</si>
  <si>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</si>
  <si>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</si>
  <si>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</si>
  <si>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</si>
  <si>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</si>
  <si>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</si>
  <si>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</si>
  <si>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</si>
  <si>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</si>
  <si>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</si>
  <si>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</si>
  <si>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</si>
  <si>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</si>
  <si>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</si>
  <si>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</si>
  <si>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</si>
  <si>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</si>
  <si>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</si>
  <si>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</si>
  <si>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</si>
  <si>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</si>
  <si>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</si>
  <si>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</si>
  <si>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</si>
  <si>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</si>
  <si>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</si>
  <si>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</si>
  <si>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</si>
  <si>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</si>
  <si>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</si>
  <si>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</si>
  <si>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</si>
  <si>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</si>
  <si>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</si>
  <si>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</si>
  <si>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</si>
  <si>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</si>
  <si>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</si>
  <si>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</si>
  <si>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</si>
  <si>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</si>
  <si>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</si>
  <si>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</si>
  <si>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</si>
  <si>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</si>
  <si>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</si>
  <si>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</si>
  <si>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</si>
  <si>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</si>
  <si>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</si>
  <si>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</si>
  <si>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</si>
  <si>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</si>
  <si>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</si>
  <si>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</si>
  <si>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</si>
  <si>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</si>
  <si>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</si>
  <si>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</si>
  <si>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</si>
  <si>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</si>
  <si>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</si>
  <si>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</si>
  <si>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</si>
  <si>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</si>
  <si>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</si>
  <si>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</si>
  <si>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</si>
  <si>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</si>
  <si>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</si>
  <si>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</si>
  <si>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</si>
  <si>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</si>
  <si>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</si>
  <si>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</si>
  <si>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</si>
  <si>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</si>
  <si>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</si>
  <si>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</si>
  <si>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</si>
  <si>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</si>
  <si>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</si>
  <si>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</si>
  <si>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</si>
  <si>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</si>
  <si>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</si>
  <si>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</si>
  <si>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</si>
  <si>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</si>
  <si>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</si>
  <si>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</si>
  <si>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</si>
  <si>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</si>
  <si>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</si>
  <si>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</si>
  <si>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</si>
  <si>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</si>
  <si>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</si>
  <si>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</si>
  <si>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</si>
  <si>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</si>
  <si>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</si>
  <si>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</si>
  <si>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</si>
  <si>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</si>
  <si>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</si>
  <si>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</si>
  <si>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</si>
  <si>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</si>
  <si>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</si>
  <si>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</si>
  <si>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</si>
  <si>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</si>
  <si>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</si>
  <si>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</si>
  <si>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</si>
  <si>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</si>
  <si>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</si>
  <si>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</si>
  <si>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</si>
  <si>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</si>
  <si>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</si>
  <si>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</si>
  <si>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</si>
  <si>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</si>
  <si>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</si>
  <si>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</si>
  <si>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</si>
  <si>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</si>
  <si>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</si>
  <si>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</si>
  <si>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</si>
  <si>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</si>
  <si>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</si>
  <si>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</si>
  <si>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</si>
  <si>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</si>
  <si>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</si>
  <si>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</si>
  <si>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</si>
  <si>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</si>
  <si>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</si>
  <si>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</si>
  <si>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</si>
  <si>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</si>
  <si>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</si>
  <si>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</si>
  <si>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</si>
  <si>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</si>
  <si>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</si>
  <si>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</si>
  <si>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</si>
  <si>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</si>
  <si>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</si>
  <si>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</si>
  <si>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</si>
  <si>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</si>
  <si>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</si>
  <si>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</si>
  <si>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</si>
  <si>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</si>
  <si>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</si>
  <si>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</si>
  <si>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</si>
  <si>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</si>
  <si>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</si>
  <si>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</si>
  <si>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</si>
  <si>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</si>
  <si>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</si>
  <si>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</si>
  <si>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</si>
  <si>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</si>
  <si>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</si>
  <si>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</si>
  <si>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</si>
  <si>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</si>
  <si>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</si>
  <si>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</si>
  <si>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</si>
  <si>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</si>
  <si>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</si>
  <si>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</si>
  <si>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</si>
  <si>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</si>
  <si>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</si>
  <si>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</si>
  <si>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</si>
  <si>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</si>
  <si>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</si>
  <si>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</si>
  <si>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</si>
  <si>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</si>
  <si>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</si>
  <si>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</si>
  <si>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</si>
  <si>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</si>
  <si>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</si>
  <si>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</si>
  <si>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</si>
  <si>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</si>
  <si>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</si>
  <si>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</si>
  <si>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</si>
  <si>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</si>
  <si>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</si>
  <si>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</si>
  <si>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</si>
  <si>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</si>
  <si>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</si>
  <si>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</si>
  <si>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</si>
  <si>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</si>
  <si>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</si>
  <si>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</si>
  <si>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</si>
  <si>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</si>
  <si>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</si>
  <si>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</si>
  <si>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</si>
  <si>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</si>
  <si>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</si>
  <si>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</si>
  <si>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</si>
  <si>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</si>
  <si>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</si>
  <si>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</si>
  <si>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</si>
  <si>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</si>
  <si>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</si>
  <si>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</si>
  <si>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</si>
  <si>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</si>
  <si>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</si>
  <si>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</si>
  <si>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</si>
  <si>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</si>
  <si>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</si>
  <si>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</si>
  <si>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</si>
  <si>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</si>
  <si>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</si>
  <si>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</si>
  <si>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</si>
  <si>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</si>
  <si>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</si>
  <si>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</si>
  <si>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</si>
  <si>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</si>
  <si>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</si>
  <si>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</si>
  <si>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</si>
  <si>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</si>
  <si>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</si>
  <si>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</si>
  <si>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</si>
  <si>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</si>
  <si>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</si>
  <si>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</si>
  <si>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</si>
  <si>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</si>
  <si>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</si>
  <si>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</si>
  <si>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</si>
  <si>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</si>
  <si>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</si>
  <si>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</si>
  <si>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</si>
  <si>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</si>
  <si>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</si>
  <si>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</si>
  <si>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</si>
  <si>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</si>
  <si>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</si>
  <si>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</si>
  <si>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</si>
  <si>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</si>
  <si>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</si>
  <si>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</si>
  <si>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</si>
  <si>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</si>
  <si>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</si>
  <si>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</si>
  <si>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</si>
  <si>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</si>
  <si>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</si>
  <si>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</si>
  <si>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</si>
  <si>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</si>
  <si>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</si>
  <si>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</si>
  <si>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</si>
  <si>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</si>
  <si>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</si>
  <si>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</si>
  <si>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</si>
  <si>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</si>
  <si>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</si>
  <si>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</si>
  <si>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</si>
  <si>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</si>
  <si>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</si>
  <si>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</si>
  <si>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</si>
  <si>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</si>
  <si>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</si>
  <si>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</si>
  <si>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</si>
  <si>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</si>
  <si>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</si>
  <si>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</si>
  <si>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</si>
  <si>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</si>
  <si>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</si>
  <si>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</si>
  <si>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</si>
  <si>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</si>
  <si>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</si>
  <si>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</si>
  <si>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</si>
  <si>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</si>
  <si>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</si>
  <si>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</si>
  <si>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</si>
  <si>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</si>
  <si>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</si>
  <si>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</si>
  <si>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</si>
  <si>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</si>
  <si>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</si>
  <si>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</si>
  <si>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</si>
  <si>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</si>
  <si>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</si>
  <si>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</si>
  <si>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</si>
  <si>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</si>
  <si>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</si>
  <si>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</si>
  <si>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</si>
  <si>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</si>
  <si>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</si>
  <si>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</si>
  <si>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</si>
  <si>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</si>
  <si>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</si>
  <si>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</si>
  <si>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</si>
  <si>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</si>
  <si>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</si>
  <si>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</si>
  <si>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</si>
  <si>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</si>
  <si>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</si>
  <si>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</si>
  <si>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</si>
  <si>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</si>
  <si>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</si>
  <si>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</si>
  <si>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</si>
  <si>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</si>
  <si>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</si>
  <si>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</si>
  <si>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</si>
  <si>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</si>
  <si>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</si>
  <si>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</si>
  <si>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</si>
  <si>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</si>
  <si>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</si>
  <si>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</si>
  <si>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</si>
  <si>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</si>
  <si>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</si>
  <si>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</si>
  <si>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</si>
  <si>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</si>
  <si>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</si>
  <si>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</si>
  <si>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</si>
  <si>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</si>
  <si>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</si>
  <si>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</si>
  <si>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</si>
  <si>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</si>
  <si>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</si>
  <si>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</si>
  <si>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</si>
  <si>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</si>
  <si>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</si>
  <si>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</si>
  <si>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</si>
  <si>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</si>
  <si>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</si>
  <si>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</si>
  <si>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</si>
  <si>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</si>
  <si>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</si>
  <si>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</si>
  <si>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</si>
  <si>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</si>
  <si>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</si>
  <si>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</si>
  <si>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</si>
  <si>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</si>
  <si>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</si>
  <si>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</si>
  <si>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</si>
  <si>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</si>
  <si>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</si>
  <si>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</si>
  <si>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</si>
  <si>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</si>
  <si>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</si>
  <si>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</si>
  <si>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</si>
  <si>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</si>
  <si>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</si>
  <si>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</si>
  <si>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</si>
  <si>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</si>
  <si>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</si>
  <si>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</si>
  <si>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</si>
  <si>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</si>
  <si>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</si>
  <si>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</si>
  <si>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</si>
  <si>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</si>
  <si>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</si>
  <si>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</si>
  <si>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</si>
  <si>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</si>
  <si>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</si>
  <si>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</si>
  <si>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</si>
  <si>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</si>
  <si>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</si>
  <si>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</si>
  <si>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</si>
  <si>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</si>
  <si>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</si>
  <si>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</si>
  <si>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</si>
  <si>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</si>
  <si>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</si>
  <si>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</si>
  <si>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</si>
  <si>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</si>
  <si>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</si>
  <si>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</si>
  <si>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</si>
  <si>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</si>
  <si>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</si>
  <si>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</si>
  <si>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</si>
  <si>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</si>
  <si>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</si>
  <si>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</si>
  <si>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</si>
  <si>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</si>
  <si>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</si>
  <si>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</si>
  <si>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</si>
  <si>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</si>
  <si>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</si>
  <si>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</si>
  <si>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</si>
  <si>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</si>
  <si>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</si>
  <si>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</si>
  <si>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</si>
  <si>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</si>
  <si>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</si>
  <si>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</si>
  <si>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</si>
  <si>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</si>
  <si>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</si>
  <si>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</si>
  <si>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</si>
  <si>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</si>
  <si>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</si>
  <si>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</si>
  <si>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</si>
  <si>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</si>
  <si>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</si>
  <si>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</si>
  <si>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</si>
  <si>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</si>
  <si>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</si>
  <si>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</si>
  <si>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</si>
  <si>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</si>
  <si>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</si>
  <si>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</si>
  <si>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</si>
  <si>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</si>
  <si>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</si>
  <si>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</si>
  <si>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</si>
  <si>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</si>
  <si>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</si>
  <si>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</si>
  <si>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</si>
  <si>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</si>
  <si>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</si>
  <si>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</si>
  <si>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</si>
  <si>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</si>
  <si>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</si>
  <si>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</si>
  <si>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</si>
  <si>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</si>
  <si>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</si>
  <si>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</si>
  <si>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</si>
  <si>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</si>
  <si>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</si>
  <si>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</si>
  <si>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</si>
  <si>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</si>
  <si>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</si>
  <si>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</si>
  <si>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</si>
  <si>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</si>
  <si>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</si>
  <si>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</si>
  <si>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</si>
  <si>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</si>
  <si>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</si>
  <si>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</si>
  <si>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</si>
  <si>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</si>
  <si>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</si>
  <si>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</si>
  <si>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</si>
  <si>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</si>
  <si>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</si>
  <si>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</si>
  <si>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</si>
  <si>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</si>
  <si>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</si>
  <si>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</si>
  <si>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</si>
  <si>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</si>
  <si>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</si>
  <si>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</si>
  <si>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</si>
  <si>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</si>
  <si>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</si>
  <si>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</si>
  <si>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</si>
  <si>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</si>
  <si>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</si>
  <si>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</si>
  <si>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</si>
  <si>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</si>
  <si>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</si>
  <si>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</si>
  <si>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</si>
  <si>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</si>
  <si>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</si>
  <si>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</si>
  <si>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</si>
  <si>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</si>
  <si>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</si>
  <si>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</si>
  <si>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</si>
  <si>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</si>
  <si>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</si>
  <si>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</si>
  <si>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</si>
  <si>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</si>
  <si>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</si>
  <si>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</si>
  <si>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</si>
  <si>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</si>
  <si>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</si>
  <si>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</si>
  <si>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</si>
  <si>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</si>
  <si>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</si>
  <si>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</si>
  <si>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</si>
  <si>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</si>
  <si>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</si>
  <si>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</si>
  <si>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</si>
  <si>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</si>
  <si>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</si>
  <si>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</si>
  <si>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</si>
  <si>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</si>
  <si>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</si>
  <si>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</si>
  <si>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</si>
  <si>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</si>
  <si>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</si>
  <si>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</si>
  <si>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</si>
  <si>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</si>
  <si>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</si>
  <si>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</si>
  <si>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</si>
  <si>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</si>
  <si>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</si>
  <si>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</si>
  <si>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</si>
  <si>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</si>
  <si>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</si>
  <si>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</si>
  <si>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</si>
  <si>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</si>
  <si>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</si>
  <si>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</si>
  <si>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</si>
  <si>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</si>
  <si>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</si>
  <si>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</si>
  <si>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</si>
  <si>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</si>
  <si>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</si>
  <si>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</si>
  <si>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</si>
  <si>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</si>
  <si>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</si>
  <si>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</si>
  <si>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</si>
  <si>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</si>
  <si>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</si>
  <si>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</si>
  <si>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</si>
  <si>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</si>
  <si>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</si>
  <si>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</si>
  <si>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</si>
  <si>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</si>
  <si>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</si>
  <si>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</si>
  <si>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</si>
  <si>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</si>
  <si>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</si>
  <si>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</si>
  <si>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</si>
  <si>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</si>
  <si>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</si>
  <si>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</si>
  <si>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</si>
  <si>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</si>
  <si>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</si>
  <si>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</si>
  <si>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</si>
  <si>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</si>
  <si>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</si>
  <si>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</si>
  <si>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</si>
  <si>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</si>
  <si>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</si>
  <si>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</si>
  <si>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</si>
  <si>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</si>
  <si>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</si>
  <si>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</si>
  <si>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</si>
  <si>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</si>
  <si>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</si>
  <si>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</si>
  <si>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</si>
  <si>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</si>
  <si>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</si>
  <si>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</si>
  <si>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</si>
  <si>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</si>
  <si>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</si>
  <si>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</si>
  <si>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</si>
  <si>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</si>
  <si>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</si>
  <si>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</si>
  <si>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</si>
  <si>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</si>
  <si>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</si>
  <si>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</si>
  <si>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</si>
  <si>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</si>
  <si>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</si>
  <si>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</si>
  <si>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</si>
  <si>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</si>
  <si>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</si>
  <si>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</si>
  <si>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</si>
  <si>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</si>
  <si>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</si>
  <si>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</si>
  <si>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</si>
  <si>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</si>
  <si>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</si>
  <si>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</si>
  <si>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</si>
  <si>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</si>
  <si>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</si>
  <si>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</si>
  <si>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</si>
  <si>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</si>
  <si>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</si>
  <si>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</si>
  <si>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</si>
  <si>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</si>
  <si>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</si>
  <si>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</si>
  <si>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</si>
  <si>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</si>
  <si>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</si>
  <si>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</si>
  <si>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</si>
  <si>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</si>
  <si>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</si>
  <si>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</si>
  <si>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</si>
  <si>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</si>
  <si>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</si>
  <si>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</si>
  <si>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</si>
  <si>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</si>
  <si>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</si>
  <si>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</si>
  <si>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</si>
  <si>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</si>
  <si>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</si>
  <si>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</si>
  <si>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</si>
  <si>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</si>
  <si>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</si>
  <si>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</si>
  <si>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</si>
  <si>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</si>
  <si>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</si>
  <si>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</si>
  <si>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</si>
  <si>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</si>
  <si>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</si>
  <si>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</si>
  <si>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</si>
  <si>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</si>
  <si>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</si>
  <si>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</si>
  <si>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</si>
  <si>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</si>
  <si>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</si>
  <si>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</si>
  <si>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</si>
  <si>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</si>
  <si>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</si>
  <si>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</si>
  <si>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</si>
  <si>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</si>
  <si>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</si>
  <si>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</si>
  <si>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</si>
  <si>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</si>
  <si>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</si>
  <si>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</si>
  <si>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</si>
  <si>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</si>
  <si>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</si>
  <si>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</si>
  <si>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</si>
  <si>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</si>
  <si>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</si>
  <si>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</si>
  <si>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</si>
  <si>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</si>
  <si>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</si>
  <si>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</si>
  <si>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</si>
  <si>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</si>
  <si>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</si>
  <si>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</si>
  <si>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</si>
  <si>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</si>
  <si>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</si>
  <si>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</si>
  <si>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</si>
  <si>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</si>
  <si>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</si>
  <si>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</si>
  <si>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</si>
  <si>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</si>
  <si>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</si>
  <si>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</si>
  <si>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</si>
  <si>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</si>
  <si>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</si>
  <si>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</si>
  <si>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</si>
  <si>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</si>
  <si>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</si>
  <si>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</si>
  <si>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</si>
  <si>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</si>
  <si>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</si>
  <si>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</si>
  <si>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</si>
  <si>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</si>
  <si>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</si>
  <si>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</si>
  <si>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</si>
  <si>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</si>
  <si>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</si>
  <si>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</si>
  <si>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</si>
  <si>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</si>
  <si>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</si>
  <si>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</si>
  <si>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</si>
  <si>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</si>
  <si>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</si>
  <si>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</si>
  <si>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</si>
  <si>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</si>
  <si>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</si>
  <si>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</si>
  <si>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</si>
  <si>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</si>
  <si>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</si>
  <si>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</si>
  <si>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</si>
  <si>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</si>
  <si>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</si>
  <si>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</si>
  <si>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</si>
  <si>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</si>
  <si>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</si>
  <si>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</si>
  <si>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</si>
  <si>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</si>
  <si>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</si>
  <si>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</si>
  <si>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</si>
  <si>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</si>
  <si>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</si>
  <si>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</si>
  <si>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</si>
  <si>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</si>
  <si>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</si>
  <si>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</si>
  <si>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</si>
  <si>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</si>
  <si>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</si>
  <si>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</si>
  <si>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</si>
  <si>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</si>
  <si>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</si>
  <si>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</si>
  <si>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</si>
  <si>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</si>
  <si>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</si>
  <si>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</si>
  <si>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</si>
  <si>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</si>
  <si>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</si>
  <si>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</si>
  <si>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</si>
  <si>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</si>
  <si>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</si>
  <si>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</si>
  <si>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</si>
  <si>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</si>
  <si>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</si>
  <si>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</si>
  <si>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</si>
  <si>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</si>
  <si>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</si>
  <si>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</si>
  <si>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</si>
  <si>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</si>
  <si>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</si>
  <si>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</si>
  <si>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</si>
  <si>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</si>
  <si>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</si>
  <si>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</si>
  <si>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</si>
  <si>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</si>
  <si>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</si>
  <si>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</si>
  <si>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</si>
  <si>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</si>
  <si>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</si>
  <si>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</si>
  <si>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</si>
  <si>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</si>
  <si>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</si>
  <si>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</si>
  <si>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</si>
  <si>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</si>
  <si>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</si>
  <si>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</si>
  <si>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</si>
  <si>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</si>
  <si>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</si>
  <si>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</si>
  <si>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</si>
  <si>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</si>
  <si>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</si>
  <si>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</si>
  <si>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</si>
  <si>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</si>
  <si>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</si>
  <si>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</si>
  <si>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</si>
  <si>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</si>
  <si>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</si>
  <si>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</si>
  <si>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</si>
  <si>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</si>
  <si>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</si>
  <si>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</si>
  <si>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</si>
  <si>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</si>
  <si>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</si>
  <si>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</si>
  <si>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</si>
  <si>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</si>
  <si>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</si>
  <si>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</si>
  <si>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</si>
  <si>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</si>
  <si>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</si>
  <si>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</si>
  <si>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</si>
  <si>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</si>
  <si>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</si>
  <si>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</si>
  <si>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</si>
  <si>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</si>
  <si>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</si>
  <si>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</si>
  <si>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</si>
  <si>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</si>
  <si>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</si>
  <si>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</si>
  <si>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</si>
  <si>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</si>
  <si>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</si>
  <si>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</si>
  <si>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</si>
  <si>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</si>
  <si>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</si>
  <si>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</si>
  <si>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</si>
  <si>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</si>
  <si>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</si>
  <si>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</si>
  <si>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</si>
  <si>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</si>
  <si>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</si>
  <si>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</si>
  <si>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</si>
  <si>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</si>
  <si>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</si>
  <si>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</si>
  <si>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</si>
  <si>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</si>
  <si>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</si>
  <si>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</si>
  <si>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</si>
  <si>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</si>
  <si>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</si>
  <si>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</si>
  <si>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</si>
  <si>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</si>
  <si>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</si>
  <si>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</si>
  <si>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</si>
  <si>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</si>
  <si>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</si>
  <si>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</si>
  <si>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</si>
  <si>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</si>
  <si>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</si>
  <si>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</si>
  <si>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</si>
  <si>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</si>
  <si>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</si>
  <si>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</si>
  <si>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</si>
  <si>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</si>
  <si>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</si>
  <si>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</si>
  <si>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</si>
  <si>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</si>
  <si>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</si>
  <si>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</si>
  <si>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</si>
  <si>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</si>
  <si>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</si>
  <si>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</si>
  <si>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</si>
  <si>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</si>
  <si>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</si>
  <si>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</si>
  <si>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</si>
  <si>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</si>
  <si>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</si>
  <si>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</si>
  <si>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</si>
  <si>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</si>
  <si>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</si>
  <si>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</si>
  <si>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</si>
  <si>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</si>
  <si>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</si>
  <si>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</si>
  <si>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</si>
  <si>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</si>
  <si>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</si>
  <si>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</si>
  <si>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</si>
  <si>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</si>
  <si>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</si>
  <si>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</si>
  <si>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</si>
  <si>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</si>
  <si>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</si>
  <si>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</si>
  <si>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</si>
  <si>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</si>
  <si>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</si>
  <si>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</si>
  <si>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</si>
  <si>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</si>
  <si>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</si>
  <si>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</si>
  <si>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</si>
  <si>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</si>
  <si>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</si>
  <si>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</si>
  <si>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</si>
  <si>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</si>
  <si>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</si>
  <si>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</si>
  <si>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</si>
  <si>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</si>
  <si>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</si>
  <si>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</si>
  <si>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</si>
  <si>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</si>
  <si>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</si>
  <si>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</si>
  <si>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</si>
  <si>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</si>
  <si>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</si>
  <si>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</si>
  <si>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</si>
  <si>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</si>
  <si>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</si>
  <si>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</si>
  <si>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</si>
  <si>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</si>
  <si>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</si>
  <si>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</si>
  <si>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</si>
  <si>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</si>
  <si>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</si>
  <si>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</si>
  <si>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</si>
  <si>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</si>
  <si>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</si>
  <si>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</si>
  <si>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</si>
  <si>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</si>
  <si>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</si>
  <si>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</si>
  <si>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</si>
  <si>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</si>
  <si>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</si>
  <si>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</si>
  <si>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</si>
  <si>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</si>
  <si>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</si>
  <si>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</si>
  <si>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</si>
  <si>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</si>
  <si>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</si>
  <si>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</si>
  <si>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</si>
  <si>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</si>
  <si>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</si>
  <si>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</si>
  <si>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</si>
  <si>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</si>
  <si>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</si>
  <si>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</si>
  <si>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</si>
  <si>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</si>
  <si>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</si>
  <si>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</si>
  <si>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</si>
  <si>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</si>
  <si>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</si>
  <si>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</si>
  <si>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</si>
  <si>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</si>
  <si>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</si>
  <si>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</si>
  <si>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</si>
  <si>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</si>
  <si>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</si>
  <si>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</si>
  <si>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</si>
  <si>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</si>
  <si>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</si>
  <si>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</si>
  <si>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</si>
  <si>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</si>
  <si>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</si>
  <si>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</si>
  <si>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</si>
  <si>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</si>
  <si>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</si>
  <si>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</si>
  <si>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</si>
  <si>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</si>
  <si>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</si>
  <si>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</si>
  <si>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</si>
  <si>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</si>
  <si>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</si>
  <si>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</si>
  <si>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</si>
  <si>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</si>
  <si>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</si>
  <si>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</si>
  <si>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</si>
  <si>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</si>
  <si>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</si>
  <si>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</si>
  <si>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</si>
  <si>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</si>
  <si>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</si>
  <si>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</si>
  <si>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</si>
  <si>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</si>
  <si>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</si>
  <si>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</si>
  <si>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</si>
  <si>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</si>
  <si>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</si>
  <si>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</si>
  <si>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</si>
  <si>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</si>
  <si>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</si>
  <si>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</si>
  <si>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</si>
  <si>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</si>
  <si>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</si>
  <si>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</si>
  <si>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</si>
  <si>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</si>
  <si>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</si>
  <si>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</si>
  <si>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</si>
  <si>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</si>
  <si>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</si>
  <si>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</si>
  <si>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</si>
  <si>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</si>
  <si>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</si>
  <si>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</si>
  <si>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</si>
  <si>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</si>
  <si>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</si>
  <si>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</si>
  <si>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</si>
  <si>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</si>
  <si>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</si>
  <si>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</si>
  <si>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</si>
  <si>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</si>
  <si>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</si>
  <si>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</si>
  <si>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</si>
  <si>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</si>
  <si>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</si>
  <si>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</si>
  <si>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</si>
  <si>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</si>
  <si>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</si>
  <si>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</si>
  <si>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</si>
  <si>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</si>
  <si>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</si>
  <si>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</si>
  <si>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</si>
  <si>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</si>
  <si>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</si>
  <si>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</si>
  <si>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</si>
  <si>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</si>
  <si>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</si>
  <si>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</si>
  <si>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</si>
  <si>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</si>
  <si>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</si>
  <si>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</si>
  <si>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</si>
  <si>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</si>
  <si>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</si>
  <si>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</si>
  <si>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</si>
  <si>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</si>
  <si>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</si>
  <si>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</si>
  <si>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</si>
  <si>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</si>
  <si>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</si>
  <si>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</si>
  <si>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</si>
  <si>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</si>
  <si>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</si>
  <si>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</si>
  <si>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</si>
  <si>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</si>
  <si>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</si>
  <si>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</si>
  <si>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</si>
  <si>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</si>
  <si>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</si>
  <si>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</si>
  <si>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</si>
  <si>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</si>
  <si>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</si>
  <si>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</si>
  <si>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</si>
  <si>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</si>
  <si>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</si>
  <si>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</si>
  <si>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</si>
  <si>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</si>
  <si>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</si>
  <si>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</si>
  <si>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</si>
  <si>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</si>
  <si>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</si>
  <si>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</si>
  <si>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</si>
  <si>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</si>
  <si>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</si>
  <si>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</si>
  <si>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</si>
  <si>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</si>
  <si>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</si>
  <si>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</si>
  <si>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</si>
  <si>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</si>
  <si>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</si>
  <si>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</si>
  <si>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</si>
  <si>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</si>
  <si>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</si>
  <si>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</si>
  <si>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</si>
  <si>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</si>
  <si>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</si>
  <si>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</si>
  <si>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</si>
  <si>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</si>
  <si>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</si>
  <si>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</si>
  <si>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</si>
  <si>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</si>
  <si>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</si>
  <si>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</si>
  <si>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</si>
  <si>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</si>
  <si>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</si>
  <si>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</si>
  <si>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</si>
  <si>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</si>
  <si>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</si>
  <si>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</si>
  <si>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</si>
  <si>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</si>
  <si>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</si>
  <si>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</si>
  <si>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</si>
  <si>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</si>
  <si>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</si>
  <si>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</si>
  <si>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</si>
  <si>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</si>
  <si>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</si>
  <si>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</si>
  <si>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</si>
  <si>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</si>
  <si>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</si>
  <si>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</si>
  <si>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</si>
  <si>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</si>
  <si>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</si>
  <si>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</si>
  <si>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</si>
  <si>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</si>
  <si>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</si>
  <si>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</si>
  <si>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</si>
  <si>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</si>
  <si>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</si>
  <si>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</si>
  <si>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</si>
  <si>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</si>
  <si>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</si>
  <si>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</si>
  <si>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</si>
  <si>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</si>
  <si>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</si>
  <si>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</si>
  <si>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</si>
  <si>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</si>
  <si>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</si>
  <si>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</si>
  <si>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</si>
  <si>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</si>
  <si>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</si>
  <si>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</si>
  <si>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</si>
  <si>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</si>
  <si>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</si>
  <si>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</si>
  <si>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</si>
  <si>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</si>
  <si>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</si>
  <si>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</si>
  <si>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</si>
  <si>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</si>
  <si>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</si>
  <si>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</si>
  <si>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</si>
  <si>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</si>
  <si>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</si>
  <si>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</si>
  <si>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</si>
  <si>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</si>
  <si>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</si>
  <si>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</si>
  <si>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</si>
  <si>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</si>
  <si>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</si>
  <si>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</si>
  <si>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</si>
  <si>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</si>
  <si>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</si>
  <si>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</si>
  <si>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</si>
  <si>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</si>
  <si>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</si>
  <si>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</si>
  <si>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</si>
  <si>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</si>
  <si>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</si>
  <si>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</si>
  <si>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</si>
  <si>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</si>
  <si>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</si>
  <si>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</si>
  <si>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</si>
  <si>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</si>
  <si>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</si>
  <si>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</si>
  <si>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</si>
  <si>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</si>
  <si>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</si>
  <si>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</si>
  <si>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</si>
  <si>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</si>
  <si>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</si>
  <si>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</si>
  <si>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</si>
  <si>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</si>
  <si>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</si>
  <si>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</si>
  <si>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</si>
  <si>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</si>
  <si>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</si>
  <si>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</si>
  <si>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</si>
  <si>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</si>
  <si>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</si>
  <si>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</si>
  <si>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</si>
  <si>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</si>
  <si>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</si>
  <si>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</si>
  <si>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</si>
  <si>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</si>
  <si>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</si>
  <si>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</si>
  <si>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</si>
  <si>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</si>
  <si>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</si>
  <si>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</si>
  <si>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</si>
  <si>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</si>
  <si>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</si>
  <si>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</si>
  <si>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</si>
  <si>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</si>
  <si>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</si>
  <si>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</si>
  <si>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</si>
  <si>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</si>
  <si>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</si>
  <si>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</si>
  <si>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</si>
  <si>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</si>
  <si>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</si>
  <si>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</si>
  <si>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</si>
  <si>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</si>
  <si>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</si>
  <si>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</si>
  <si>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</si>
  <si>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</si>
  <si>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</si>
  <si>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</si>
  <si>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</si>
  <si>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</si>
  <si>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</si>
  <si>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</si>
  <si>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</si>
  <si>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</si>
  <si>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</si>
  <si>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</si>
  <si>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</si>
  <si>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</si>
  <si>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</si>
  <si>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</si>
  <si>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</si>
  <si>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</si>
  <si>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</si>
  <si>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</si>
  <si>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</si>
  <si>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</si>
  <si>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</si>
  <si>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</si>
  <si>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</si>
  <si>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</si>
  <si>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</si>
  <si>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</si>
  <si>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</si>
  <si>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</si>
  <si>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</si>
  <si>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</si>
  <si>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</si>
  <si>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</si>
  <si>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</si>
  <si>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</si>
  <si>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</si>
  <si>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</si>
  <si>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</si>
  <si>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</si>
  <si>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</si>
  <si>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</si>
  <si>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</si>
  <si>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</si>
  <si>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</si>
  <si>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</si>
  <si>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</si>
  <si>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</si>
  <si>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</si>
  <si>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</si>
  <si>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</si>
  <si>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</si>
  <si>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</si>
  <si>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</si>
  <si>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</si>
  <si>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</si>
  <si>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</si>
  <si>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</si>
  <si>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</si>
  <si>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</si>
  <si>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</si>
  <si>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</si>
  <si>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</si>
  <si>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</si>
  <si>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</si>
  <si>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</si>
  <si>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</si>
  <si>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</si>
  <si>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</si>
  <si>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</si>
  <si>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</si>
  <si>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</si>
  <si>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</si>
  <si>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</si>
  <si>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</si>
  <si>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</si>
  <si>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</si>
  <si>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</si>
  <si>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</si>
  <si>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</si>
  <si>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</si>
  <si>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</si>
  <si>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</si>
  <si>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</si>
  <si>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</si>
  <si>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</si>
  <si>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</si>
  <si>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</si>
  <si>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</si>
  <si>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</si>
  <si>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</si>
  <si>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</si>
  <si>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</si>
  <si>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</si>
  <si>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</si>
  <si>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</si>
  <si>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</si>
  <si>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</si>
  <si>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</si>
  <si>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</si>
  <si>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</si>
  <si>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</si>
  <si>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</si>
  <si>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</si>
  <si>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</si>
  <si>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</si>
  <si>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</si>
  <si>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</si>
  <si>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</si>
  <si>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</si>
  <si>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</si>
  <si>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</si>
  <si>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</si>
  <si>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</si>
  <si>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</si>
  <si>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</si>
  <si>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</si>
  <si>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</si>
  <si>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</si>
  <si>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</si>
  <si>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</si>
  <si>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</si>
  <si>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</si>
  <si>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</si>
  <si>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</si>
  <si>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</si>
  <si>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</si>
  <si>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</si>
  <si>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</si>
  <si>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</si>
  <si>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</si>
  <si>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</si>
  <si>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</si>
  <si>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</si>
  <si>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</si>
  <si>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</si>
  <si>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</si>
  <si>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</si>
  <si>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</si>
  <si>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</si>
  <si>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</si>
  <si>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</si>
  <si>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</si>
  <si>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</si>
  <si>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</si>
  <si>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</si>
  <si>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</si>
  <si>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</si>
  <si>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</si>
  <si>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</si>
  <si>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</si>
  <si>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</si>
  <si>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</si>
  <si>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</si>
  <si>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</si>
  <si>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</si>
  <si>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</si>
  <si>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</si>
  <si>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</si>
  <si>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</si>
  <si>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</si>
  <si>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</si>
  <si>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</si>
  <si>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</si>
  <si>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</si>
  <si>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</si>
  <si>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</si>
  <si>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</si>
  <si>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</si>
  <si>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</si>
  <si>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</si>
  <si>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</si>
  <si>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</si>
  <si>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</si>
  <si>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</si>
  <si>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</si>
  <si>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</si>
  <si>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</si>
  <si>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</si>
  <si>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</si>
  <si>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</si>
  <si>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</si>
  <si>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</si>
  <si>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</si>
  <si>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</si>
  <si>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</si>
  <si>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</si>
  <si>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</si>
  <si>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</si>
  <si>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</si>
  <si>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</si>
  <si>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</si>
  <si>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</si>
  <si>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</si>
  <si>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</si>
  <si>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</si>
  <si>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</si>
  <si>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</si>
  <si>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</si>
  <si>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</si>
  <si>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</si>
  <si>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</si>
  <si>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</si>
  <si>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</si>
  <si>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</si>
  <si>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</si>
  <si>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</si>
  <si>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</si>
  <si>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</si>
  <si>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</si>
  <si>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</si>
  <si>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</si>
  <si>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</si>
  <si>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</si>
  <si>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</si>
  <si>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</si>
  <si>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</si>
  <si>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</si>
  <si>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</si>
  <si>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</si>
  <si>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</si>
  <si>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</si>
  <si>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</si>
  <si>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</si>
  <si>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</si>
  <si>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</si>
  <si>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</si>
  <si>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</si>
  <si>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</si>
  <si>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</si>
  <si>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</si>
  <si>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</si>
  <si>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</si>
  <si>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</si>
  <si>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</si>
  <si>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</si>
  <si>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</si>
  <si>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</si>
  <si>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</si>
  <si>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</si>
  <si>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</si>
  <si>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</si>
  <si>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</si>
  <si>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</si>
  <si>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</si>
  <si>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</si>
  <si>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</si>
  <si>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</si>
  <si>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</si>
  <si>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</si>
  <si>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</si>
  <si>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</si>
  <si>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</si>
  <si>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</si>
  <si>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</si>
  <si>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</si>
  <si>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</si>
  <si>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</si>
  <si>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</si>
  <si>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</si>
  <si>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</si>
  <si>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</si>
  <si>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</si>
  <si>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</si>
  <si>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</si>
  <si>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</si>
  <si>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</si>
  <si>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</si>
  <si>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</si>
  <si>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</si>
  <si>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</si>
  <si>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</si>
  <si>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</si>
  <si>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</si>
  <si>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</si>
  <si>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</si>
  <si>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</si>
  <si>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</si>
  <si>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</si>
  <si>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</si>
  <si>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</si>
  <si>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</si>
  <si>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</si>
  <si>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</si>
  <si>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</si>
  <si>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</si>
  <si>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</si>
  <si>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</si>
  <si>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</si>
  <si>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</si>
  <si>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</si>
  <si>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</si>
  <si>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</si>
  <si>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</si>
  <si>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</si>
  <si>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</si>
  <si>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</si>
  <si>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</si>
  <si>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</si>
  <si>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</si>
  <si>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</si>
  <si>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</si>
  <si>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</si>
  <si>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</si>
  <si>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</si>
  <si>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</si>
  <si>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</si>
  <si>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</si>
  <si>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</si>
  <si>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</si>
  <si>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</si>
  <si>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</si>
  <si>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</si>
  <si>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</si>
  <si>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</si>
  <si>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</si>
  <si>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</si>
  <si>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</si>
  <si>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</si>
  <si>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</si>
  <si>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</si>
  <si>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</si>
  <si>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</si>
  <si>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</si>
  <si>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</si>
  <si>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</si>
  <si>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</si>
  <si>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</si>
  <si>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</si>
  <si>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</si>
  <si>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</si>
  <si>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</si>
  <si>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</si>
  <si>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</si>
  <si>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</si>
  <si>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</si>
  <si>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</si>
  <si>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</si>
  <si>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</si>
  <si>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</si>
  <si>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</si>
  <si>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</si>
  <si>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</si>
  <si>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</si>
  <si>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</si>
  <si>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</si>
  <si>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</si>
  <si>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</si>
  <si>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</si>
  <si>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</si>
  <si>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</si>
  <si>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</si>
  <si>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</si>
  <si>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</si>
  <si>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</si>
  <si>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</si>
  <si>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</si>
  <si>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</si>
  <si>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</si>
  <si>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</si>
  <si>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</si>
  <si>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</si>
  <si>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</si>
  <si>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</si>
  <si>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</si>
  <si>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</si>
  <si>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</si>
  <si>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</si>
  <si>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</si>
  <si>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</si>
  <si>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</si>
  <si>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</si>
  <si>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</si>
  <si>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</si>
  <si>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</si>
  <si>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</si>
  <si>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</si>
  <si>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</si>
  <si>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</si>
  <si>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</si>
  <si>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</si>
  <si>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</si>
  <si>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</si>
  <si>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</si>
  <si>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</si>
  <si>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</si>
  <si>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</si>
  <si>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</si>
  <si>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</si>
  <si>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</si>
  <si>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</si>
  <si>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</si>
  <si>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</si>
  <si>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</si>
  <si>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</si>
  <si>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</si>
  <si>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</si>
  <si>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</si>
  <si>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</si>
  <si>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</si>
  <si>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</si>
  <si>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</si>
  <si>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</si>
  <si>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</si>
  <si>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</si>
  <si>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</si>
  <si>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</si>
  <si>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</si>
  <si>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</si>
  <si>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</si>
  <si>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</si>
  <si>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</si>
  <si>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</si>
  <si>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</si>
  <si>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</si>
  <si>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</si>
  <si>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</si>
  <si>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</si>
  <si>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</si>
  <si>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</si>
  <si>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</si>
  <si>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</si>
  <si>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</si>
  <si>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</si>
  <si>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</si>
  <si>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</si>
  <si>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</si>
  <si>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</si>
  <si>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</si>
  <si>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</si>
  <si>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</si>
  <si>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</si>
  <si>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</si>
  <si>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</si>
  <si>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</si>
  <si>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</si>
  <si>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</si>
  <si>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</si>
  <si>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</si>
  <si>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</si>
  <si>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</si>
  <si>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</si>
  <si>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</si>
  <si>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</si>
  <si>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</si>
  <si>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</si>
  <si>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</si>
  <si>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</si>
  <si>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</si>
  <si>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</si>
  <si>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</si>
  <si>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</si>
  <si>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</si>
  <si>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</si>
  <si>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</si>
  <si>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</si>
  <si>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</si>
  <si>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</si>
  <si>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</si>
  <si>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</si>
  <si>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</si>
  <si>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</si>
  <si>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</si>
  <si>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</si>
  <si>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</si>
  <si>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</si>
  <si>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</si>
  <si>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</si>
  <si>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</si>
  <si>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</si>
  <si>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</si>
  <si>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</si>
  <si>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</si>
  <si>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</si>
  <si>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</si>
  <si>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</si>
  <si>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</si>
  <si>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</si>
  <si>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</si>
  <si>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</si>
  <si>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</si>
  <si>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</si>
  <si>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</si>
  <si>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</si>
  <si>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</si>
  <si>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</si>
  <si>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</si>
  <si>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</si>
  <si>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</si>
  <si>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</si>
  <si>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</si>
  <si>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</si>
  <si>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</si>
  <si>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</si>
  <si>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</si>
  <si>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</si>
  <si>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</si>
  <si>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</si>
  <si>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</si>
  <si>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</si>
  <si>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</si>
  <si>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</si>
  <si>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</si>
  <si>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</si>
  <si>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</si>
  <si>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</si>
  <si>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</si>
  <si>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</si>
  <si>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</si>
  <si>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</si>
  <si>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</si>
  <si>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</si>
  <si>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</si>
  <si>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</si>
  <si>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</si>
  <si>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</si>
  <si>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</si>
  <si>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</si>
  <si>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</si>
  <si>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</si>
  <si>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</si>
  <si>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</si>
  <si>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</si>
  <si>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</si>
  <si>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</si>
  <si>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</si>
  <si>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</si>
  <si>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</si>
  <si>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</si>
  <si>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</si>
  <si>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</si>
  <si>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</si>
  <si>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</si>
  <si>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</si>
  <si>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</si>
  <si>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</si>
  <si>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</si>
  <si>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</si>
  <si>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</si>
  <si>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</si>
  <si>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</si>
  <si>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</si>
  <si>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</si>
  <si>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</si>
  <si>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</si>
  <si>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</si>
  <si>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</si>
  <si>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</si>
  <si>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</si>
  <si>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</si>
  <si>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</si>
  <si>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</si>
  <si>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</si>
  <si>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</si>
  <si>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</si>
  <si>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</si>
  <si>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</si>
  <si>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</si>
  <si>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</si>
  <si>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</si>
  <si>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</si>
  <si>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</si>
  <si>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</si>
  <si>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</si>
  <si>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</si>
  <si>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</si>
  <si>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</si>
  <si>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</si>
  <si>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</si>
  <si>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</si>
  <si>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</si>
  <si>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</si>
  <si>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</si>
  <si>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</si>
  <si>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</si>
  <si>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</si>
  <si>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</si>
  <si>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</si>
  <si>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</si>
  <si>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</si>
  <si>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</si>
  <si>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</si>
  <si>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</si>
  <si>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</si>
  <si>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</si>
  <si>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</si>
  <si>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</si>
  <si>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</si>
  <si>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</si>
  <si>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</si>
  <si>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</si>
  <si>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</si>
  <si>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</si>
  <si>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</si>
  <si>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</si>
  <si>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</si>
  <si>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</si>
  <si>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</si>
  <si>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</si>
  <si>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</si>
  <si>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</si>
  <si>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</si>
  <si>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</si>
  <si>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</si>
  <si>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</si>
  <si>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</si>
  <si>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</si>
  <si>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</si>
  <si>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</si>
  <si>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</si>
  <si>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</si>
  <si>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</si>
  <si>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</si>
  <si>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</si>
  <si>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</si>
  <si>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</si>
  <si>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</si>
  <si>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</si>
  <si>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</si>
  <si>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</si>
  <si>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</si>
  <si>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</si>
  <si>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</si>
  <si>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</si>
  <si>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</si>
  <si>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</si>
  <si>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</si>
  <si>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</si>
  <si>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</si>
  <si>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</si>
  <si>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</si>
  <si>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</si>
  <si>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</si>
  <si>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</si>
  <si>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</si>
  <si>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</si>
  <si>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</si>
  <si>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</si>
  <si>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</si>
  <si>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</si>
  <si>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</si>
  <si>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</si>
  <si>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</si>
  <si>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</si>
  <si>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</si>
  <si>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</si>
  <si>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</si>
  <si>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</si>
  <si>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</si>
  <si>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</si>
  <si>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</si>
  <si>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</si>
  <si>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</si>
  <si>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</si>
  <si>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</si>
  <si>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</si>
  <si>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</si>
  <si>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</si>
  <si>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</si>
  <si>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</si>
  <si>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</si>
  <si>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</si>
  <si>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</si>
  <si>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</si>
  <si>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</si>
  <si>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</si>
  <si>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</si>
  <si>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</si>
  <si>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</si>
  <si>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</si>
  <si>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</si>
  <si>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</si>
  <si>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</si>
  <si>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</si>
  <si>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</si>
  <si>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</si>
  <si>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</si>
  <si>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</si>
  <si>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</si>
  <si>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</si>
  <si>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</si>
  <si>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</si>
  <si>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</si>
  <si>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</si>
  <si>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</si>
  <si>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</si>
  <si>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</si>
  <si>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</si>
  <si>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</si>
  <si>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</si>
  <si>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</si>
  <si>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</si>
  <si>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</si>
  <si>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</si>
  <si>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</si>
  <si>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</si>
  <si>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</si>
  <si>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</si>
  <si>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</si>
  <si>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</si>
  <si>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</si>
  <si>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</si>
  <si>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</si>
  <si>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</si>
  <si>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</si>
  <si>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</si>
  <si>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</si>
  <si>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</si>
  <si>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</si>
  <si>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</si>
  <si>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</si>
  <si>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</si>
  <si>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</si>
  <si>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</si>
  <si>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</si>
  <si>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</si>
  <si>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</si>
  <si>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</si>
  <si>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</si>
  <si>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</si>
  <si>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</si>
  <si>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</si>
  <si>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</si>
  <si>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</si>
  <si>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</si>
  <si>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</si>
  <si>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</si>
  <si>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</si>
  <si>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</si>
  <si>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</si>
  <si>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</si>
  <si>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</si>
  <si>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</si>
  <si>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</si>
  <si>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</si>
  <si>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</si>
  <si>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</si>
  <si>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</si>
  <si>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</si>
  <si>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</si>
  <si>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</si>
  <si>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</si>
  <si>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</si>
  <si>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</si>
  <si>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</si>
  <si>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</si>
  <si>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</si>
  <si>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</si>
  <si>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</si>
  <si>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</si>
  <si>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</si>
  <si>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</si>
  <si>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</si>
  <si>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</si>
  <si>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</si>
  <si>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</si>
  <si>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</si>
  <si>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</si>
  <si>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</si>
  <si>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</si>
  <si>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</si>
  <si>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</si>
  <si>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</si>
  <si>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</si>
  <si>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</si>
  <si>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</si>
  <si>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</si>
  <si>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</si>
  <si>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</si>
  <si>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</si>
  <si>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</si>
  <si>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</si>
  <si>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</si>
  <si>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</si>
  <si>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</si>
  <si>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</si>
  <si>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</si>
  <si>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</si>
  <si>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</si>
  <si>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</si>
  <si>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</si>
  <si>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</si>
  <si>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</si>
  <si>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</si>
  <si>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</si>
  <si>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</si>
  <si>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</si>
  <si>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</si>
  <si>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</si>
  <si>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</si>
  <si>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</si>
  <si>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</si>
  <si>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</si>
  <si>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</si>
  <si>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</si>
  <si>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</si>
  <si>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</si>
  <si>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</si>
  <si>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</si>
  <si>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</si>
  <si>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</si>
  <si>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</si>
  <si>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</si>
  <si>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</si>
  <si>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</si>
  <si>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</si>
  <si>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</si>
  <si>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</si>
  <si>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</si>
  <si>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</si>
  <si>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</si>
  <si>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</si>
  <si>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</si>
  <si>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</si>
  <si>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</si>
  <si>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</si>
  <si>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</si>
  <si>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</si>
  <si>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</si>
  <si>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</si>
  <si>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</si>
  <si>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</si>
  <si>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</si>
  <si>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</si>
  <si>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</si>
  <si>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</si>
  <si>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</si>
  <si>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</si>
  <si>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</si>
  <si>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</si>
  <si>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</si>
  <si>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</si>
  <si>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</si>
  <si>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</si>
  <si>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</si>
  <si>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</si>
  <si>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</si>
  <si>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</si>
  <si>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</si>
  <si>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</si>
  <si>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</si>
  <si>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</si>
  <si>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</si>
  <si>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</si>
  <si>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</si>
  <si>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</si>
  <si>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</si>
  <si>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</si>
  <si>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</si>
  <si>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</si>
  <si>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</si>
  <si>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</si>
  <si>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</si>
  <si>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</si>
  <si>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</si>
  <si>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</si>
  <si>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</si>
  <si>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</si>
  <si>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</si>
  <si>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</si>
  <si>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</si>
  <si>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</si>
  <si>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</si>
  <si>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</si>
  <si>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</si>
  <si>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</si>
  <si>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</si>
  <si>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</si>
  <si>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</si>
  <si>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</si>
  <si>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</si>
  <si>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</si>
  <si>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</si>
  <si>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</si>
  <si>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</si>
  <si>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</si>
  <si>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</si>
  <si>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</si>
  <si>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</si>
  <si>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</si>
  <si>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</si>
  <si>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</si>
  <si>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</si>
  <si>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</si>
  <si>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</si>
  <si>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</si>
  <si>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</si>
  <si>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</si>
  <si>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</si>
  <si>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</si>
  <si>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</si>
  <si>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</si>
  <si>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</si>
  <si>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</si>
  <si>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</si>
  <si>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</si>
  <si>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</si>
  <si>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</si>
  <si>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</si>
  <si>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</si>
  <si>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</si>
  <si>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</si>
  <si>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</si>
  <si>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</si>
  <si>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</si>
  <si>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</si>
  <si>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</si>
  <si>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</si>
  <si>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</si>
  <si>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</si>
  <si>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</si>
  <si>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</si>
  <si>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</si>
  <si>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</si>
  <si>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</si>
  <si>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</si>
  <si>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</si>
  <si>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</si>
  <si>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</si>
  <si>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</si>
  <si>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</si>
  <si>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</si>
  <si>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</si>
  <si>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</si>
  <si>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</si>
  <si>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</si>
  <si>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</si>
  <si>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</si>
  <si>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</si>
  <si>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</si>
  <si>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</si>
  <si>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</si>
  <si>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</si>
  <si>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</si>
  <si>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</si>
  <si>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</si>
  <si>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</si>
  <si>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</si>
  <si>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</si>
  <si>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</si>
  <si>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</si>
  <si>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</si>
  <si>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</si>
  <si>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</si>
  <si>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</si>
  <si>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</si>
  <si>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</si>
  <si>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</si>
  <si>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</si>
  <si>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</si>
  <si>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</si>
  <si>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</si>
  <si>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</si>
  <si>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</si>
  <si>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</si>
  <si>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</si>
  <si>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</si>
  <si>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</si>
  <si>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</si>
  <si>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</si>
  <si>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</si>
  <si>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</si>
  <si>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</si>
  <si>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</si>
  <si>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</si>
  <si>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</si>
  <si>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</si>
  <si>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</si>
  <si>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</si>
  <si>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</si>
  <si>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</si>
  <si>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</si>
  <si>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</si>
  <si>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</si>
  <si>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</si>
  <si>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</si>
  <si>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</si>
  <si>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</si>
  <si>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</si>
  <si>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</si>
  <si>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</si>
  <si>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</si>
  <si>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</si>
  <si>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</si>
  <si>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</si>
  <si>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</si>
  <si>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</si>
  <si>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</si>
  <si>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</si>
  <si>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</si>
  <si>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</si>
  <si>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</si>
  <si>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</si>
  <si>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</si>
  <si>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</si>
  <si>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</si>
  <si>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</si>
  <si>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</si>
  <si>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</si>
  <si>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</si>
  <si>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</si>
  <si>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</si>
  <si>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</si>
  <si>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</si>
  <si>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</si>
  <si>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</si>
  <si>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</si>
  <si>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</si>
  <si>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</si>
  <si>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</si>
  <si>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</si>
  <si>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</si>
  <si>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</si>
  <si>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</si>
  <si>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</si>
  <si>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</si>
  <si>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</si>
  <si>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</si>
  <si>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</si>
  <si>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</si>
  <si>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</si>
  <si>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</si>
  <si>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</si>
  <si>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</si>
  <si>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</si>
  <si>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</si>
  <si>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</si>
  <si>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</si>
  <si>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</si>
  <si>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</si>
  <si>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</si>
  <si>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</si>
  <si>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</si>
  <si>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</si>
  <si>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</si>
  <si>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</si>
  <si>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</si>
  <si>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</si>
  <si>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</si>
  <si>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</si>
  <si>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</si>
  <si>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</si>
  <si>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</si>
  <si>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</si>
  <si>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</si>
  <si>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</si>
  <si>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</si>
  <si>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</si>
  <si>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</si>
  <si>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</si>
  <si>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</si>
  <si>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</si>
  <si>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</si>
  <si>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</si>
  <si>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</si>
  <si>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</si>
  <si>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</si>
  <si>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</si>
  <si>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</si>
  <si>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</si>
  <si>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</si>
  <si>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</si>
  <si>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</si>
  <si>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</si>
  <si>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</si>
  <si>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</si>
  <si>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</si>
  <si>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</si>
  <si>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</si>
  <si>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</si>
  <si>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</si>
  <si>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</si>
  <si>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</si>
  <si>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</si>
  <si>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</si>
  <si>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</si>
  <si>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</si>
  <si>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</si>
  <si>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</si>
  <si>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</si>
  <si>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</si>
  <si>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</si>
  <si>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</si>
  <si>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</si>
  <si>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</si>
  <si>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</si>
  <si>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</si>
  <si>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</si>
  <si>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</si>
  <si>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</si>
  <si>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</si>
  <si>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</si>
  <si>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</si>
  <si>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</si>
  <si>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</si>
  <si>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</si>
  <si>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</si>
  <si>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</si>
  <si>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</si>
  <si>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</si>
  <si>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</si>
  <si>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</si>
  <si>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</si>
  <si>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</si>
  <si>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</si>
  <si>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</si>
  <si>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</si>
  <si>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</si>
  <si>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</si>
  <si>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</si>
  <si>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</si>
  <si>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</si>
  <si>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</si>
  <si>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</si>
  <si>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</si>
  <si>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</si>
  <si>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</si>
  <si>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</si>
  <si>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</si>
  <si>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</si>
  <si>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</si>
  <si>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</si>
  <si>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</si>
  <si>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</si>
  <si>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</si>
  <si>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</si>
  <si>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</si>
  <si>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</si>
  <si>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</si>
  <si>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</si>
  <si>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</si>
  <si>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</si>
  <si>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</si>
  <si>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</si>
  <si>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</si>
  <si>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</si>
  <si>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</si>
  <si>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</si>
  <si>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</si>
  <si>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</si>
  <si>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</si>
  <si>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</si>
  <si>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</si>
  <si>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</si>
  <si>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</si>
  <si>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</si>
  <si>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</si>
  <si>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</si>
  <si>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</si>
  <si>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</si>
  <si>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</si>
  <si>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</si>
  <si>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</si>
  <si>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</si>
  <si>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</si>
  <si>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</si>
  <si>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</si>
  <si>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</si>
  <si>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</si>
  <si>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</si>
  <si>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</si>
  <si>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</si>
  <si>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</si>
  <si>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</si>
  <si>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</si>
  <si>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</si>
  <si>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</si>
  <si>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</si>
  <si>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</si>
  <si>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</si>
  <si>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</si>
  <si>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</si>
  <si>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</si>
  <si>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</si>
  <si>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</si>
  <si>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</si>
  <si>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</si>
  <si>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</si>
  <si>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</si>
  <si>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</si>
  <si>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</si>
  <si>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</si>
  <si>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</si>
  <si>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</si>
  <si>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</si>
  <si>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</si>
  <si>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</si>
  <si>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</si>
  <si>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</si>
  <si>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</si>
  <si>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</si>
  <si>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</si>
  <si>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</si>
  <si>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</si>
  <si>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</si>
  <si>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</si>
  <si>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</si>
  <si>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</si>
  <si>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</si>
  <si>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</si>
  <si>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</si>
  <si>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</si>
  <si>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</si>
  <si>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</si>
  <si>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</si>
  <si>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</si>
  <si>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</si>
  <si>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</si>
  <si>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</si>
  <si>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</si>
  <si>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</si>
  <si>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</si>
  <si>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</si>
  <si>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</si>
  <si>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</si>
  <si>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</si>
  <si>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</si>
  <si>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</si>
  <si>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</si>
  <si>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</si>
  <si>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</si>
  <si>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</si>
  <si>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</si>
  <si>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</si>
  <si>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</si>
  <si>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</si>
  <si>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</si>
  <si>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</si>
  <si>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</si>
  <si>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</si>
  <si>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</si>
  <si>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</si>
  <si>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</si>
  <si>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</si>
  <si>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</si>
  <si>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</si>
  <si>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</si>
  <si>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</si>
  <si>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</si>
  <si>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</si>
  <si>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</si>
  <si>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</si>
  <si>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</si>
  <si>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</si>
  <si>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</si>
  <si>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</si>
  <si>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</si>
  <si>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</si>
  <si>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</si>
  <si>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</si>
  <si>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</si>
  <si>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</si>
  <si>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</si>
  <si>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</si>
  <si>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</si>
  <si>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</si>
  <si>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</si>
  <si>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</si>
  <si>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</si>
  <si>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</si>
  <si>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</si>
  <si>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</si>
  <si>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</si>
  <si>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</si>
  <si>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</si>
  <si>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</si>
  <si>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</si>
  <si>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</si>
  <si>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</si>
  <si>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</si>
  <si>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</si>
  <si>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</si>
  <si>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</si>
  <si>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</si>
  <si>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</si>
  <si>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</si>
  <si>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</si>
  <si>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</si>
  <si>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</si>
  <si>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</si>
  <si>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</si>
  <si>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</si>
  <si>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</si>
  <si>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</si>
  <si>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</si>
  <si>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</si>
  <si>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北京市</t>
  </si>
  <si>
    <t>企业</t>
  </si>
  <si>
    <t>出让</t>
  </si>
  <si>
    <t>房地产抵押价值</t>
  </si>
  <si>
    <t>居住项目</t>
  </si>
  <si>
    <t>无</t>
  </si>
  <si>
    <t>否</t>
  </si>
  <si>
    <t>在建</t>
  </si>
  <si>
    <t>商业</t>
    <phoneticPr fontId="4" type="noConversion"/>
  </si>
  <si>
    <t>住宅</t>
  </si>
  <si>
    <t>住宅</t>
    <phoneticPr fontId="4" type="noConversion"/>
  </si>
  <si>
    <t>是</t>
  </si>
  <si>
    <t>地上</t>
  </si>
  <si>
    <t>在建工程抵押明细表</t>
    <phoneticPr fontId="257" type="noConversion"/>
  </si>
  <si>
    <t>项目名称： 东城区望坛棚户区改造项目（住宅） 楼号：13-7#住宅</t>
    <phoneticPr fontId="257" type="noConversion"/>
  </si>
  <si>
    <t>部位及房号</t>
  </si>
  <si>
    <t>建筑面积（平方米）</t>
    <phoneticPr fontId="257" type="noConversion"/>
  </si>
  <si>
    <t>1单元</t>
  </si>
  <si>
    <t>3单元</t>
  </si>
  <si>
    <t>101</t>
  </si>
  <si>
    <t>102</t>
  </si>
  <si>
    <t>201</t>
  </si>
  <si>
    <t>202</t>
  </si>
  <si>
    <t>301</t>
  </si>
  <si>
    <t>302</t>
  </si>
  <si>
    <t>401</t>
  </si>
  <si>
    <t>402</t>
  </si>
  <si>
    <t>501</t>
  </si>
  <si>
    <t>502</t>
  </si>
  <si>
    <t>601</t>
  </si>
  <si>
    <t>602</t>
  </si>
  <si>
    <t>701</t>
  </si>
  <si>
    <t>702</t>
  </si>
  <si>
    <t>2单元</t>
  </si>
  <si>
    <t>4单元</t>
  </si>
  <si>
    <t>建筑面积合计</t>
    <phoneticPr fontId="257" type="noConversion"/>
  </si>
  <si>
    <t>在建工程抵押明细表</t>
  </si>
  <si>
    <t>项目名称： 东城区望坛棚户区改造项目（住宅） 楼号：13-13#住宅</t>
  </si>
  <si>
    <t>建筑面积（平方米）</t>
  </si>
  <si>
    <t>5单元</t>
  </si>
  <si>
    <t>7单元</t>
  </si>
  <si>
    <t>6单元</t>
  </si>
  <si>
    <t>8单元</t>
  </si>
  <si>
    <t>建筑面积合计</t>
  </si>
  <si>
    <t>项目名称： 东城区望坛棚户区改造项目（住宅、公建和地下车库） 楼号：13-17#公建</t>
  </si>
  <si>
    <t>商业</t>
    <phoneticPr fontId="8" type="noConversion"/>
  </si>
  <si>
    <t>住宅</t>
    <phoneticPr fontId="8" type="noConversion"/>
  </si>
  <si>
    <t>收益法</t>
  </si>
  <si>
    <t>利息：取LPR加浮动点数</t>
  </si>
  <si>
    <t>在建（套用方法）</t>
  </si>
  <si>
    <t>押一</t>
  </si>
  <si>
    <t>按租金收入计税</t>
  </si>
  <si>
    <t>钢混</t>
  </si>
  <si>
    <t>非生产用房</t>
  </si>
  <si>
    <t>北京市丰台区卢沟桥大瓦窑DWY-L39等地块(大瓦窑馨城项目)二类居住、基础教育及绿隔产业用地</t>
  </si>
  <si>
    <t>北京市丰台区南苑乡分钟寺村L-39地块R2二类居住用地</t>
  </si>
  <si>
    <t>北京市丰台区吴家村梅市口路1615-761、1615-762地块R2二类居住用地</t>
  </si>
  <si>
    <t>正常</t>
  </si>
  <si>
    <t>好</t>
  </si>
  <si>
    <t>较好</t>
  </si>
  <si>
    <t>七通</t>
  </si>
  <si>
    <t>四</t>
  </si>
  <si>
    <t>较规则</t>
  </si>
  <si>
    <t>五通</t>
  </si>
  <si>
    <t>2020-05-19</t>
  </si>
  <si>
    <t>＜10%</t>
  </si>
  <si>
    <t>2020-05-09</t>
  </si>
  <si>
    <t>31%-50%</t>
  </si>
  <si>
    <t>五</t>
  </si>
  <si>
    <t>三通</t>
  </si>
  <si>
    <t>2019-09-25</t>
  </si>
  <si>
    <t>否</t>
    <phoneticPr fontId="32" type="noConversion"/>
  </si>
  <si>
    <t>四</t>
    <phoneticPr fontId="32" type="noConversion"/>
  </si>
  <si>
    <t>住宅</t>
    <phoneticPr fontId="32" type="noConversion"/>
  </si>
  <si>
    <t>规则</t>
  </si>
  <si>
    <t>六通</t>
  </si>
  <si>
    <t>四通</t>
  </si>
  <si>
    <t>未包含在土地购买价格中</t>
  </si>
  <si>
    <t>已包含在土地取得成本中</t>
  </si>
  <si>
    <t>成本法</t>
  </si>
  <si>
    <t>项目局部</t>
  </si>
  <si>
    <t>假设开发法</t>
  </si>
  <si>
    <t>60-70（含）</t>
  </si>
  <si>
    <t>中区</t>
  </si>
  <si>
    <t>高层</t>
  </si>
  <si>
    <t>改善用房</t>
  </si>
  <si>
    <t>带装修</t>
  </si>
  <si>
    <t>期房</t>
  </si>
  <si>
    <t>小高层</t>
  </si>
  <si>
    <t>现房</t>
  </si>
  <si>
    <t>住宅</t>
    <phoneticPr fontId="26" type="noConversion"/>
  </si>
  <si>
    <t>现状</t>
    <phoneticPr fontId="26" type="noConversion"/>
  </si>
  <si>
    <t>楼层</t>
    <phoneticPr fontId="26" type="noConversion"/>
  </si>
  <si>
    <t>低区</t>
    <phoneticPr fontId="26" type="noConversion"/>
  </si>
  <si>
    <t>高区</t>
    <phoneticPr fontId="26" type="noConversion"/>
  </si>
  <si>
    <t>中区</t>
    <phoneticPr fontId="26" type="noConversion"/>
  </si>
  <si>
    <t>洋房</t>
  </si>
  <si>
    <t>刚需用房</t>
  </si>
  <si>
    <r>
      <rPr>
        <sz val="11"/>
        <rFont val="宋体"/>
        <family val="3"/>
        <charset val="134"/>
      </rPr>
      <t>上一版</t>
    </r>
    <r>
      <rPr>
        <sz val="11"/>
        <rFont val="Arial"/>
        <family val="2"/>
      </rPr>
      <t>11.2</t>
    </r>
    <phoneticPr fontId="26" type="noConversion"/>
  </si>
  <si>
    <t>住宅底商租金</t>
    <phoneticPr fontId="4" type="noConversion"/>
  </si>
  <si>
    <t>独栋商业楼1层租金</t>
    <phoneticPr fontId="4"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</si>
  <si>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4" type="noConversion"/>
  </si>
  <si>
    <t>葛洲坝北京中国府</t>
    <phoneticPr fontId="26" type="noConversion"/>
  </si>
  <si>
    <t>首开璞瑅</t>
    <phoneticPr fontId="26" type="noConversion"/>
  </si>
  <si>
    <t>东叁金茂府</t>
    <phoneticPr fontId="26" type="noConversion"/>
  </si>
  <si>
    <t>B</t>
    <phoneticPr fontId="141" type="noConversion"/>
  </si>
  <si>
    <t>A</t>
    <phoneticPr fontId="141" type="noConversion"/>
  </si>
  <si>
    <t>C</t>
    <phoneticPr fontId="141" type="noConversion"/>
  </si>
  <si>
    <t>在建工程抵押明细表</t>
    <phoneticPr fontId="257" type="noConversion"/>
  </si>
  <si>
    <t>项目名称： 东城区望坛棚户区改造项目（住宅） 楼号：13-13#住宅</t>
    <phoneticPr fontId="257" type="noConversion"/>
  </si>
  <si>
    <t>建筑面积（平方米）</t>
    <phoneticPr fontId="257" type="noConversion"/>
  </si>
  <si>
    <t>建筑面积合计</t>
    <phoneticPr fontId="257" type="noConversion"/>
  </si>
  <si>
    <t>在建工程抵押明细表</t>
    <phoneticPr fontId="257" type="noConversion"/>
  </si>
  <si>
    <t>项目名称： 东城区望坛棚户区改造项目（住宅） 楼号：13-7#住宅</t>
    <phoneticPr fontId="257" type="noConversion"/>
  </si>
  <si>
    <t>建筑面积（平方米）</t>
    <phoneticPr fontId="257" type="noConversion"/>
  </si>
  <si>
    <t>801</t>
  </si>
  <si>
    <t>802</t>
  </si>
  <si>
    <t>901</t>
  </si>
  <si>
    <t>902</t>
  </si>
  <si>
    <t>1001</t>
  </si>
  <si>
    <t>1002</t>
  </si>
  <si>
    <t>建筑面积合计</t>
    <phoneticPr fontId="257" type="noConversion"/>
  </si>
  <si>
    <t>施工情况</t>
    <phoneticPr fontId="141" type="noConversion"/>
  </si>
  <si>
    <t>楼号</t>
    <phoneticPr fontId="141" type="noConversion"/>
  </si>
  <si>
    <r>
      <t>1</t>
    </r>
    <r>
      <rPr>
        <sz val="11"/>
        <color theme="1"/>
        <rFont val="宋体"/>
        <family val="3"/>
        <charset val="134"/>
        <scheme val="minor"/>
      </rPr>
      <t>3-13#</t>
    </r>
    <phoneticPr fontId="141" type="noConversion"/>
  </si>
  <si>
    <t>13-17#</t>
    <phoneticPr fontId="141" type="noConversion"/>
  </si>
  <si>
    <r>
      <t>1</t>
    </r>
    <r>
      <rPr>
        <sz val="11"/>
        <color theme="1"/>
        <rFont val="宋体"/>
        <family val="3"/>
        <charset val="134"/>
        <scheme val="minor"/>
      </rPr>
      <t>3-7#</t>
    </r>
    <phoneticPr fontId="141" type="noConversion"/>
  </si>
  <si>
    <r>
      <t>1</t>
    </r>
    <r>
      <rPr>
        <sz val="11"/>
        <color theme="1"/>
        <rFont val="宋体"/>
        <family val="3"/>
        <charset val="134"/>
        <scheme val="minor"/>
      </rPr>
      <t>-2单元施工至4层完成，3-6单元施工至5层完成，7-8单元施工至六层完成</t>
    </r>
    <phoneticPr fontId="141" type="noConversion"/>
  </si>
  <si>
    <t>工程进度</t>
    <phoneticPr fontId="141" type="noConversion"/>
  </si>
  <si>
    <t>主体完成，未做二次结构</t>
    <phoneticPr fontId="141" type="noConversion"/>
  </si>
  <si>
    <t>规划面积</t>
    <phoneticPr fontId="141" type="noConversion"/>
  </si>
  <si>
    <t>综合进度</t>
    <phoneticPr fontId="141" type="noConversion"/>
  </si>
  <si>
    <t>工程进度取值见面积明细</t>
    <phoneticPr fontId="4" type="noConversion"/>
  </si>
  <si>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</si>
  <si>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</si>
  <si>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</si>
  <si>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</si>
  <si>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</si>
  <si>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</si>
  <si>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</si>
  <si>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</si>
  <si>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</si>
  <si>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</si>
  <si>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</si>
  <si>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</si>
  <si>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</si>
  <si>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</si>
  <si>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</si>
  <si>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</si>
  <si>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</si>
  <si>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</si>
  <si>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</si>
  <si>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限地价(万元)</t>
  </si>
  <si>
    <t>限售价(均价)(元/㎡)</t>
  </si>
  <si>
    <t xml:space="preserve">北京市朝阳区东坝车辆基地综合利用项目1101-A002-1,1101-A003-1地块R2二类居住用地(配建“保障性租赁住房”)    </t>
  </si>
  <si>
    <t>京土整储挂(朝)[2021]090号</t>
  </si>
  <si>
    <t xml:space="preserve">       住宅用地</t>
  </si>
  <si>
    <t xml:space="preserve">       挂牌</t>
  </si>
  <si>
    <t xml:space="preserve">       R2二类居住用地</t>
  </si>
  <si>
    <t xml:space="preserve">2021年第3批次       </t>
  </si>
  <si>
    <t xml:space="preserve">       限房价,限地价</t>
  </si>
  <si>
    <t xml:space="preserve">       --</t>
  </si>
  <si>
    <t xml:space="preserve">       已成交</t>
  </si>
  <si>
    <t xml:space="preserve">  北京市基础设施投资有限公司 、北京京投置地房地产有限公司联合体      </t>
  </si>
  <si>
    <t xml:space="preserve">北京市朝阳区东坝车辆基地综合利用项目1101-A002-3地块R2二类居住用地    </t>
  </si>
  <si>
    <t>京土整储挂(朝)[2021]092号</t>
  </si>
  <si>
    <t xml:space="preserve">北京市朝阳区管庄乡棚户区改造和环境整治项目(一期)GZGJC-03地块R2二类居住用地    </t>
  </si>
  <si>
    <t>京土整储挂(朝)[2021]095号</t>
  </si>
  <si>
    <t xml:space="preserve">  京能置业股份有限公司和北京龙湖中佰置业有限公司联合体      </t>
  </si>
  <si>
    <t xml:space="preserve">北京市朝阳区东坝车辆基地综合利用项目1101-A002-2、1101-A003-2地块R2二类居住用地    </t>
  </si>
  <si>
    <t>京土整储挂(朝)[2021]091号</t>
  </si>
  <si>
    <t xml:space="preserve">北京市海淀区西北旺镇HD00-0403街区永丰产业基地(新)F1地块HD00-0403-0003地块R2二类居住用地    </t>
  </si>
  <si>
    <t>京土整储挂(海)[2021]047号</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</si>
  <si>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</si>
  <si>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</si>
  <si>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</si>
  <si>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北京市海淀区东升镇京昌路楔形绿地棚户区改造项目(二期)0803-631-1块R2二类居住用地(配建“保障性租赁住房”)    </t>
  </si>
  <si>
    <t>京土整储挂(海)[2021]044号</t>
  </si>
  <si>
    <t xml:space="preserve">       限房价,限地价,报高标准商品住宅建设方案,含保障房用地</t>
  </si>
  <si>
    <t xml:space="preserve">  中建壹品投资发展有限公司 、中建信和地产有限公司      </t>
  </si>
  <si>
    <t xml:space="preserve">北京市石景山区首钢园区东南区土地一级开发项目1612-829地块F1住宅混合公建用地(配建“保障性租赁住房”)    </t>
  </si>
  <si>
    <t>京土整储挂(石)[2021]051号</t>
  </si>
  <si>
    <t xml:space="preserve">       F1住宅混合公建用地</t>
  </si>
  <si>
    <t xml:space="preserve">       限房价,限地价,90/70</t>
  </si>
  <si>
    <t xml:space="preserve">  中海企业发展集团有限公司      </t>
  </si>
  <si>
    <t xml:space="preserve">北京市朝阳区十八里店朝阳港一期土地一级开发项目1303-693地块R2二类居住用地    </t>
  </si>
  <si>
    <t>京土整储挂(朝)[2021]034号</t>
  </si>
  <si>
    <t xml:space="preserve">  北京金隅地产开发集团有限公司 、北京昆泰控股集团有限公司      </t>
  </si>
  <si>
    <t xml:space="preserve">北京市海淀区海淀镇树村棚户区改造B-1北地块R2二类居住用地    </t>
  </si>
  <si>
    <t>京土整储挂(海)[2021]013号</t>
  </si>
  <si>
    <t xml:space="preserve">       ≤1.6</t>
  </si>
  <si>
    <t xml:space="preserve">2021年第1批次       </t>
  </si>
  <si>
    <t xml:space="preserve">       限地价,报高标准商品住宅建设方案</t>
  </si>
  <si>
    <t xml:space="preserve">  北京陕创企诚置业有限公司      </t>
  </si>
  <si>
    <t xml:space="preserve">      -- </t>
  </si>
  <si>
    <t xml:space="preserve">北京市朝阳区王四营乡土地一级开发项目一期1304-L01地块R2二类居住用地    </t>
  </si>
  <si>
    <t>京土整储挂(朝)[2021]004号</t>
  </si>
  <si>
    <t xml:space="preserve">       r2≤2.5</t>
  </si>
  <si>
    <t xml:space="preserve">       限地价,竞配建,报高标准商品住宅建设方案,90/70,含保障房用地</t>
  </si>
  <si>
    <t xml:space="preserve">  保利(北京)房地产开发有限公司 、北京润置商业运营管理有限公司 、北京金泰慧业科技有限公司联合体      </t>
  </si>
  <si>
    <t xml:space="preserve">北京市朝阳区崔各庄乡黑桥村、南皋村棚户区改造项目30-L01-01地块R2二类居住用地(配建“公共租赁住房”)    </t>
  </si>
  <si>
    <t>京土整储挂(朝)[2021]007号</t>
  </si>
  <si>
    <t xml:space="preserve">       ≤2.5</t>
  </si>
  <si>
    <t xml:space="preserve">       限地价,竞配建,90/70,含保障房用地</t>
  </si>
  <si>
    <t xml:space="preserve">  北京润置商业运营管理有限公司 、保利(北京)房地产开发有限公司 、北京金泰辉华科技有限公司      </t>
  </si>
  <si>
    <t xml:space="preserve">北京市丰台区长辛店镇张郭庄村A区FT00-0203-6145、FT00-0203-6159地块R2二类居住用地    </t>
  </si>
  <si>
    <t>京土整储挂(丰)[2021]014号</t>
  </si>
  <si>
    <t xml:space="preserve">       ≤2.3</t>
  </si>
  <si>
    <t xml:space="preserve">  北京首都开发股份有限公司 、北京承华房地产开发有限公司      </t>
  </si>
  <si>
    <t xml:space="preserve">北京市朝阳区王四营乡土地一级开发项目一期1304-L03地块R2二类居住用地    </t>
  </si>
  <si>
    <t>京土整储挂(朝)[2021]006号</t>
  </si>
  <si>
    <t xml:space="preserve">  北京城建投资发展股份有限公司 、招商局地产(北京)有限公司 、五矿盛世广业(北京)有限公司联合体      </t>
  </si>
  <si>
    <t xml:space="preserve">北京市朝阳区金盏乡小店村3005-08地块R2二类居住用地    </t>
  </si>
  <si>
    <t>京土整储挂(朝)[2021]003号</t>
  </si>
  <si>
    <t xml:space="preserve">       ≤1.3</t>
  </si>
  <si>
    <t xml:space="preserve">       限地价</t>
  </si>
  <si>
    <t xml:space="preserve">  北京璞北管理咨询有限公司      </t>
  </si>
  <si>
    <t xml:space="preserve">北京市朝阳区东坝北东南一期土地储备项目1104-612西侧地块R2二类居住用地    </t>
  </si>
  <si>
    <t>京土整储挂(朝)[2021]010号</t>
  </si>
  <si>
    <t xml:space="preserve">       ≤2.8</t>
  </si>
  <si>
    <t xml:space="preserve">  中冶置业集团有限公司 、宁波雨航企业管理合伙企业(有限合伙)      </t>
  </si>
  <si>
    <t xml:space="preserve">北京市丰台区长辛店镇张家坟村15-1、21-5地块R2二类居住用地    </t>
  </si>
  <si>
    <t>京土整储挂(丰)[2021]015号</t>
  </si>
  <si>
    <t xml:space="preserve">       ≤1.4</t>
  </si>
  <si>
    <t xml:space="preserve">       限地价,限房价</t>
  </si>
  <si>
    <t xml:space="preserve">  天津城茂置业有限公司      </t>
  </si>
  <si>
    <t xml:space="preserve">北京市朝阳区崔各庄乡黑桥村、南皋村棚户区改造项目30-L04地块R2二类居住用地(配建“公共租赁住房”)    </t>
  </si>
  <si>
    <t>京土整储挂(朝)[2021]008号</t>
  </si>
  <si>
    <t xml:space="preserve">  招商局地产(北京)有限公司 、北京城建投资发展股份有限公司      </t>
  </si>
  <si>
    <t xml:space="preserve">北京市海淀区海淀镇树村棚户区改造B-1南地块R2二类居住用地    </t>
  </si>
  <si>
    <t>京土整储挂(海)[2021]012号</t>
  </si>
  <si>
    <t xml:space="preserve">       限地价,限房价,报高标准商品住宅建设方案</t>
  </si>
  <si>
    <t xml:space="preserve">  北京融贸亿盛置业有限公司      </t>
  </si>
  <si>
    <t xml:space="preserve">北京市朝阳区金盏乡小店村3005-02地块R2二类居住用地    </t>
  </si>
  <si>
    <t>京土整储挂(朝)[2021]002号</t>
  </si>
  <si>
    <t xml:space="preserve">  北京卓华房地产开发有限公司      </t>
  </si>
  <si>
    <t xml:space="preserve">北京市石景山区北辛安棚户区改造B区土地开发项目1608-673-A地块二类居住用地    </t>
  </si>
  <si>
    <t>京土整储挂(石)[2020]044号</t>
  </si>
  <si>
    <t xml:space="preserve">       二类居住用地</t>
  </si>
  <si>
    <t xml:space="preserve">--       </t>
  </si>
  <si>
    <t xml:space="preserve">  北京鑫安兴业房地产开发有限公司      </t>
  </si>
  <si>
    <t xml:space="preserve">北京市朝阳区东坝北东南一期土地储备项目1104-611地块R2二类居住用地    </t>
  </si>
  <si>
    <t>京土整储挂(朝)[2020]043号</t>
  </si>
  <si>
    <t xml:space="preserve">       限地价,限房价,竞自持</t>
  </si>
  <si>
    <t xml:space="preserve">  北京宏远慧业科技有限公司 、北京兴诺咨询服务有限公司 、北京首都开发股份有限公司      </t>
  </si>
  <si>
    <t xml:space="preserve">北京市丰台区南苑乡分钟寺村L-39地块R2二类居住用地    </t>
  </si>
  <si>
    <t>京土整储挂(丰)[2020]019号</t>
  </si>
  <si>
    <t xml:space="preserve">  北京合昕辰锐企业管理有限公司      </t>
  </si>
  <si>
    <t xml:space="preserve">北京市丰台区南苑乡分钟寺村L-41地块R2二类居住用地    </t>
  </si>
  <si>
    <t>京土整储挂(丰)[2020]020号</t>
  </si>
  <si>
    <t xml:space="preserve">  北京合盈锐恒房地产开发有限公司      </t>
  </si>
  <si>
    <t xml:space="preserve">北京市丰台区南苑乡分钟寺村L-24、L-26地块R2二类居住用地    </t>
  </si>
  <si>
    <t>京土整储挂(丰)[2020]012号</t>
  </si>
  <si>
    <t xml:space="preserve">  北京合宏达盛企业管理有限公司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</si>
  <si>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</si>
  <si>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</si>
  <si>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</si>
  <si>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</si>
  <si>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北京市海淀区四季青镇中坞重点村资金平衡用地北地块R2二类居住用地    </t>
  </si>
  <si>
    <t>京土整储挂(海)[2019]045号</t>
  </si>
  <si>
    <t xml:space="preserve">  天津北方中茂置地有限公司      </t>
  </si>
  <si>
    <t xml:space="preserve">北京市石景山区古城南街东侧(首钢园区东南区)1612-759地块R2二类居住用地    </t>
  </si>
  <si>
    <t>京土整储挂(石)[2019]043号</t>
  </si>
  <si>
    <t xml:space="preserve">  深圳市海嘉投资有限公司      </t>
  </si>
  <si>
    <t xml:space="preserve">北京市石景山区古城南街东侧(首钢园区东南区)1612-757地块R2二类居住用地    </t>
  </si>
  <si>
    <t>京土整储挂(石)[2019]042号</t>
  </si>
  <si>
    <t xml:space="preserve">  厦门建益融房地产有限公司      </t>
  </si>
  <si>
    <t xml:space="preserve">北京市丰台区吴家村梅市口路1615-761、1615-762地块R2二类居住用地    </t>
  </si>
  <si>
    <t>京土整储招(丰)[2019]039号</t>
  </si>
  <si>
    <t xml:space="preserve">       ≤3</t>
  </si>
  <si>
    <t xml:space="preserve">       招标</t>
  </si>
  <si>
    <t xml:space="preserve">       含自住房/共有产权住房,限房价</t>
  </si>
  <si>
    <t xml:space="preserve">  北京首钢二通建设投资有限公司      </t>
  </si>
  <si>
    <t xml:space="preserve">北京市丰台区长辛店镇辛庄村A-46地块(丰台区长辛店镇辛庄村(一期)B地块土地一级开发项目)R2二类居住用地    </t>
  </si>
  <si>
    <t>京土整储挂(丰)[2019]035号</t>
  </si>
  <si>
    <t xml:space="preserve">       ≤1.1</t>
  </si>
  <si>
    <t xml:space="preserve">  保利(北京)房地产开发有限公司 、北京首都开发股份有限公司联合体      </t>
  </si>
  <si>
    <t xml:space="preserve">北京市朝阳区孙河乡北甸西村、北甸东村、西甸村、孙河村2902-31地块R2二类居住用地    </t>
  </si>
  <si>
    <t>京土整储挂(朝)[2019]007号</t>
  </si>
  <si>
    <t xml:space="preserve">  苏州恒相房地产开发有限公司      </t>
  </si>
  <si>
    <t xml:space="preserve">北京市石景山区阜石路1603-616地块R2二类居住用地    </t>
  </si>
  <si>
    <t>京土整储招(石)[2018]056号</t>
  </si>
  <si>
    <t xml:space="preserve">       限房价,含自住房/共有产权住房</t>
  </si>
  <si>
    <t xml:space="preserve">  北京首钢房地产开发有限公司      </t>
  </si>
  <si>
    <t xml:space="preserve">北京市朝阳区东坝乡单店村1108-006地块R2二类居住用地    </t>
  </si>
  <si>
    <t>京土整储挂(朝)[2018]050号</t>
  </si>
  <si>
    <t xml:space="preserve">  北京润置商业运营管理有限公司 、北京天恒正同资产管理有限公司 、北京建工地产有限责任公司联合体      </t>
  </si>
  <si>
    <t xml:space="preserve">北京市丰台区花乡白盆窑村BPY-L011地块R2二类居住用地    </t>
  </si>
  <si>
    <t>京土整储挂(丰)[2018]034号</t>
  </si>
  <si>
    <t xml:space="preserve">       限地价,限房价,90/70</t>
  </si>
  <si>
    <t xml:space="preserve">  中铁置业集团北京有限公司      </t>
  </si>
  <si>
    <t xml:space="preserve">北京市石景山区古城南街东侧1612-806、813、819、820等地块R2二类居住用地    </t>
  </si>
  <si>
    <t>京土整储挂(石)[2018]025号</t>
  </si>
  <si>
    <t xml:space="preserve">       限地价,限房价,含自住房/共有产权住房</t>
  </si>
  <si>
    <t xml:space="preserve">  中海地产集团有限公司 、北京首钢房地产开发有限公司联合体      </t>
  </si>
  <si>
    <t xml:space="preserve">北京市丰台区卢沟桥乡小瓦窑村XWY-01地块R2二类居住用地    </t>
  </si>
  <si>
    <t>京土整储挂(丰)[2017]112号</t>
  </si>
  <si>
    <t xml:space="preserve">  上海穆捷投资管理有限公司 、北京国瑞恒祥置业有限公司联合体      </t>
  </si>
  <si>
    <t xml:space="preserve">北京市朝阳孙河乡北甸西村2902-14地块R2二类居住用地    </t>
  </si>
  <si>
    <t>京土整储挂(朝)[2017]102号</t>
  </si>
  <si>
    <t xml:space="preserve">  北京乐优富拓投资有限公司 、北京燕都水郡房地产开发有限公司联合体      </t>
  </si>
  <si>
    <t xml:space="preserve">北京市海淀区“海淀北部地区整体开发”翠湖科技园HD00-0303-6022地块R2二类居住用地    </t>
  </si>
  <si>
    <t>京土整储挂(海)[2017]100号</t>
  </si>
  <si>
    <t xml:space="preserve">  中国葛洲坝集团房地产开发有限公司      </t>
  </si>
  <si>
    <t xml:space="preserve">北京市朝阳区孙河乡北甸西村、北甸东村、西甸村2902-46地块R2二类居住用地    </t>
  </si>
  <si>
    <t>京土整储挂(朝)[2017]096号</t>
  </si>
  <si>
    <t xml:space="preserve">  北京中瑞凯华投资管理有限公司 、北京德俊置业有限公司联合体      </t>
  </si>
  <si>
    <t xml:space="preserve">北京市海淀区苏州街站一体化棚户区改造项目前期工作及拟改造土地使用权    </t>
  </si>
  <si>
    <t>京土棚改招(海)[2017]001号</t>
  </si>
  <si>
    <t xml:space="preserve">       含保障房用地</t>
  </si>
  <si>
    <t xml:space="preserve">  北京城投地下空间开发建设有限公司      </t>
  </si>
  <si>
    <t xml:space="preserve">北京市朝阳区豆各庄乡马家湾村1306-606地块R2二类居住用地    </t>
  </si>
  <si>
    <t>京土整储挂(朝)[2017]090号</t>
  </si>
  <si>
    <t xml:space="preserve">  中铁房地产集团北方有限公司      </t>
  </si>
  <si>
    <t xml:space="preserve">北京市朝阳区东坝乡驹子房村1109-663地块R2二类居住用地    </t>
  </si>
  <si>
    <t>京土整储挂(朝)[2017]077号</t>
  </si>
  <si>
    <t xml:space="preserve">  天恒 、旭辉 、首开 、房地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</si>
  <si>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</si>
  <si>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</si>
  <si>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</si>
  <si>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 xml:space="preserve">北京市海淀区四道口地区I地块F1住宅混合公建用地    </t>
  </si>
  <si>
    <t>京土整储挂(海)[2017]067号</t>
  </si>
  <si>
    <t xml:space="preserve">       限地价,限房价,竞自持,90/70</t>
  </si>
  <si>
    <t xml:space="preserve">  北京天恒正同资产管理有限公司      </t>
  </si>
  <si>
    <t xml:space="preserve">北京市丰台区城乡一体化西局村旧村改造项目三期0611-638地块R2二类居住用地    </t>
  </si>
  <si>
    <t>京土整储挂(丰)[2017]065号</t>
  </si>
  <si>
    <t xml:space="preserve">  致昌(北京)企业管理有限公司      </t>
  </si>
  <si>
    <t xml:space="preserve">北京市石景山区东下庄1605-630地块R2二类居住用地    </t>
  </si>
  <si>
    <t>京土整储挂(石)[2017]063号</t>
  </si>
  <si>
    <t xml:space="preserve">  北京建工地产有限责任公司 、北京天恒正同资产管理有限公司联合体      </t>
  </si>
  <si>
    <t xml:space="preserve">海淀区“海淀北部地区整体开发”翠湖科技园HD00-0303-6009、6010地块R2二类居住用地    </t>
  </si>
  <si>
    <t>京土整储挂(海)[2017]055号</t>
  </si>
  <si>
    <t xml:space="preserve">       6009:1.5;6010:1.8</t>
  </si>
  <si>
    <t xml:space="preserve">  中铁房地产集团北方有限公司 、北京碧桂园阳光置业发展有限公司 、北京国瑞兴业房地产控股有限公司联合体      </t>
  </si>
  <si>
    <t xml:space="preserve">海淀区“海淀北部地区整体开发”翠湖科技园HD00-0303-6019、6020地块R2二类居住用地    </t>
  </si>
  <si>
    <t>京土整储挂(海)[2017]056号</t>
  </si>
  <si>
    <t xml:space="preserve">       6019:2;6020:1.8</t>
  </si>
  <si>
    <t xml:space="preserve">       限地价,限房价,竞自持,90/70,含保障房用地</t>
  </si>
  <si>
    <t xml:space="preserve">  北京万翰企业管理有限公司 、深圳安创投资管理有限公司联合体      </t>
  </si>
  <si>
    <t xml:space="preserve">朝阳区孙河乡西甸村2902-86地块    </t>
  </si>
  <si>
    <t>京土整储挂(朝)[2017]029号</t>
  </si>
  <si>
    <t xml:space="preserve">  中粮地产(北京)有限公司 、北京天恒正同资产管理有限公司 、北京辉广企业管理有限公司联合体      </t>
  </si>
  <si>
    <t xml:space="preserve">丰台区城乡一体化槐房村新宫村旧村改造二期NY-005、006地块    </t>
  </si>
  <si>
    <t>京土整储挂(丰)[2017] 026号</t>
  </si>
  <si>
    <t xml:space="preserve">       R2二类居住用地、A33基础教育用地</t>
  </si>
  <si>
    <t xml:space="preserve">  河南新筑置业有限公司      </t>
  </si>
  <si>
    <t>首开璞瑅公馆</t>
    <phoneticPr fontId="141" type="noConversion"/>
  </si>
  <si>
    <t>项目名称</t>
    <phoneticPr fontId="141" type="noConversion"/>
  </si>
  <si>
    <t>售价</t>
    <phoneticPr fontId="141" type="noConversion"/>
  </si>
  <si>
    <t>类型</t>
    <phoneticPr fontId="141" type="noConversion"/>
  </si>
  <si>
    <t>主力户型</t>
    <phoneticPr fontId="141" type="noConversion"/>
  </si>
  <si>
    <t>区域</t>
    <phoneticPr fontId="141" type="noConversion"/>
  </si>
  <si>
    <t>丰台</t>
    <phoneticPr fontId="141" type="noConversion"/>
  </si>
  <si>
    <r>
      <t>2</t>
    </r>
    <r>
      <rPr>
        <sz val="11"/>
        <color theme="1"/>
        <rFont val="宋体"/>
        <family val="3"/>
        <charset val="134"/>
        <scheme val="minor"/>
      </rPr>
      <t>03-236三居及四居</t>
    </r>
    <phoneticPr fontId="141" type="noConversion"/>
  </si>
  <si>
    <t>紫宸苑</t>
    <phoneticPr fontId="141" type="noConversion"/>
  </si>
  <si>
    <r>
      <t>2</t>
    </r>
    <r>
      <rPr>
        <sz val="11"/>
        <color theme="1"/>
        <rFont val="宋体"/>
        <family val="3"/>
        <charset val="134"/>
        <scheme val="minor"/>
      </rPr>
      <t>66-345五居</t>
    </r>
    <phoneticPr fontId="141" type="noConversion"/>
  </si>
  <si>
    <t>葛洲坝中国府</t>
    <phoneticPr fontId="141" type="noConversion"/>
  </si>
  <si>
    <t>168-24三居及四居</t>
    <phoneticPr fontId="141" type="noConversion"/>
  </si>
  <si>
    <t xml:space="preserve">懋源·璟岳 </t>
    <phoneticPr fontId="141" type="noConversion"/>
  </si>
  <si>
    <t>别墅</t>
    <phoneticPr fontId="141" type="noConversion"/>
  </si>
  <si>
    <t>465-590</t>
    <phoneticPr fontId="141" type="noConversion"/>
  </si>
  <si>
    <t>高层改善用房</t>
    <phoneticPr fontId="141" type="noConversion"/>
  </si>
  <si>
    <t>高层改善用房</t>
    <phoneticPr fontId="141" type="noConversion"/>
  </si>
  <si>
    <t>另有别墅115000</t>
    <phoneticPr fontId="141" type="noConversion"/>
  </si>
  <si>
    <t xml:space="preserve">       住宅用地</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</si>
</sst>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8"/>
      <color theme="1"/>
      <name val="宋体"/>
      <family val="3"/>
      <charset val="134"/>
      <scheme val="minor"/>
    </font>
    <font>
      <sz val="9"/>
      <name val="宋体"/>
      <family val="2"/>
      <charset val="134"/>
      <scheme val="minor"/>
    </font>
    <font>
      <sz val="9"/>
      <color theme="1"/>
      <name val="宋体"/>
      <family val="2"/>
      <charset val="134"/>
      <scheme val="minor"/>
    </font>
    <font>
      <sz val="10"/>
      <color theme="1"/>
      <name val="宋体"/>
      <family val="2"/>
      <charset val="134"/>
      <scheme val="minor"/>
    </font>
    <font>
      <sz val="11"/>
      <color theme="1"/>
      <name val="宋体"/>
      <family val="3"/>
      <charset val="134"/>
      <scheme val="minor"/>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9" fontId="260" fillId="0" borderId="0" applyFont="0" applyFill="0" applyBorder="0" applyAlignment="0" applyProtection="0">
      <alignment vertical="center"/>
    </xf>
    <xf numFmtId="0" fontId="261" fillId="0" borderId="0"/>
  </cellStyleXfs>
  <cellXfs count="36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80" fillId="0" borderId="1" xfId="0" applyFont="1" applyBorder="1" applyAlignment="1" applyProtection="1">
      <alignment horizontal="center" vertical="center" wrapText="1"/>
      <protection locked="0"/>
    </xf>
    <xf numFmtId="0" fontId="258" fillId="0" borderId="0" xfId="0" applyFont="1">
      <alignment vertical="center"/>
    </xf>
    <xf numFmtId="0" fontId="259" fillId="0" borderId="0" xfId="0" applyFont="1">
      <alignment vertical="center"/>
    </xf>
    <xf numFmtId="0" fontId="0" fillId="0" borderId="1" xfId="0" applyBorder="1" applyAlignment="1">
      <alignment horizontal="center" vertical="center"/>
    </xf>
    <xf numFmtId="179" fontId="20" fillId="0" borderId="1" xfId="0" applyNumberFormat="1" applyFont="1" applyBorder="1" applyAlignment="1">
      <alignment horizontal="center" vertical="center" shrinkToFit="1"/>
    </xf>
    <xf numFmtId="0" fontId="0" fillId="0" borderId="1" xfId="0" applyNumberFormat="1" applyBorder="1" applyAlignment="1">
      <alignment horizontal="center" vertical="center"/>
    </xf>
    <xf numFmtId="0" fontId="1" fillId="0" borderId="0" xfId="17">
      <alignment vertical="center"/>
    </xf>
    <xf numFmtId="179" fontId="20" fillId="0" borderId="1" xfId="17" applyNumberFormat="1" applyFont="1" applyBorder="1" applyAlignment="1">
      <alignment horizontal="center" vertical="center" shrinkToFit="1"/>
    </xf>
    <xf numFmtId="0" fontId="1" fillId="0" borderId="1" xfId="17" applyBorder="1" applyAlignment="1">
      <alignment horizontal="center" vertical="center"/>
    </xf>
    <xf numFmtId="0" fontId="259" fillId="0" borderId="0" xfId="17" applyFont="1">
      <alignment vertical="center"/>
    </xf>
    <xf numFmtId="0" fontId="258" fillId="0" borderId="0" xfId="17" applyFont="1">
      <alignment vertical="center"/>
    </xf>
    <xf numFmtId="0" fontId="1" fillId="0" borderId="1" xfId="17" applyNumberFormat="1" applyBorder="1" applyAlignment="1">
      <alignment horizontal="center" vertical="center"/>
    </xf>
    <xf numFmtId="0" fontId="1" fillId="0" borderId="0" xfId="17">
      <alignment vertical="center"/>
    </xf>
    <xf numFmtId="0" fontId="1" fillId="0" borderId="1" xfId="17" applyBorder="1" applyAlignment="1">
      <alignment horizontal="center" vertical="center"/>
    </xf>
    <xf numFmtId="0" fontId="142" fillId="0" borderId="3" xfId="17" applyFont="1" applyBorder="1" applyAlignment="1" applyProtection="1">
      <alignment horizontal="center"/>
      <protection locked="0"/>
    </xf>
    <xf numFmtId="0" fontId="258" fillId="0" borderId="0" xfId="17" applyFont="1">
      <alignment vertical="center"/>
    </xf>
    <xf numFmtId="0" fontId="142" fillId="0" borderId="1" xfId="17" applyFont="1" applyBorder="1" applyAlignment="1" applyProtection="1">
      <alignment horizontal="center"/>
      <protection locked="0"/>
    </xf>
    <xf numFmtId="0" fontId="1" fillId="0" borderId="1" xfId="17"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35" fillId="0"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49" fontId="98" fillId="5" borderId="23"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80" fillId="12" borderId="0" xfId="0" applyFont="1" applyFill="1" applyAlignment="1" applyProtection="1">
      <alignment horizontal="center" vertical="center"/>
      <protection locked="0"/>
    </xf>
    <xf numFmtId="0" fontId="50" fillId="5" borderId="0" xfId="0" applyFont="1" applyFill="1" applyAlignment="1" applyProtection="1">
      <alignment vertical="center"/>
      <protection locked="0"/>
    </xf>
    <xf numFmtId="10" fontId="50" fillId="12" borderId="0" xfId="0" applyNumberFormat="1" applyFont="1" applyFill="1" applyAlignment="1" applyProtection="1">
      <alignment vertical="center"/>
      <protection locked="0"/>
    </xf>
    <xf numFmtId="9" fontId="50" fillId="12" borderId="0" xfId="0" applyNumberFormat="1" applyFont="1" applyFill="1" applyAlignment="1" applyProtection="1">
      <alignment vertical="center"/>
      <protection locked="0"/>
    </xf>
    <xf numFmtId="0" fontId="142" fillId="0" borderId="3" xfId="0" applyFont="1" applyBorder="1" applyAlignment="1" applyProtection="1">
      <alignment horizontal="center"/>
      <protection locked="0"/>
    </xf>
    <xf numFmtId="0" fontId="80" fillId="12" borderId="0" xfId="0" applyFont="1" applyFill="1" applyAlignment="1" applyProtection="1">
      <alignment vertical="center"/>
      <protection locked="0"/>
    </xf>
    <xf numFmtId="0" fontId="99" fillId="0" borderId="0" xfId="0" applyFont="1">
      <alignment vertical="center"/>
    </xf>
    <xf numFmtId="0" fontId="99" fillId="0" borderId="0" xfId="0" applyFont="1" applyAlignment="1">
      <alignment horizontal="right" vertical="center"/>
    </xf>
    <xf numFmtId="0" fontId="135" fillId="20" borderId="5" xfId="0" applyFont="1" applyFill="1" applyBorder="1" applyAlignment="1" applyProtection="1">
      <alignment horizontal="center" vertical="center" wrapText="1"/>
      <protection locked="0"/>
    </xf>
    <xf numFmtId="0" fontId="142" fillId="0" borderId="54" xfId="0" applyFont="1" applyBorder="1" applyAlignment="1" applyProtection="1">
      <alignment horizontal="center"/>
      <protection locked="0"/>
    </xf>
    <xf numFmtId="0" fontId="142" fillId="0" borderId="1" xfId="0" applyFont="1" applyBorder="1" applyAlignment="1" applyProtection="1">
      <alignment horizontal="center"/>
      <protection locked="0"/>
    </xf>
    <xf numFmtId="9" fontId="0" fillId="0" borderId="0" xfId="0" applyNumberFormat="1">
      <alignment vertical="center"/>
    </xf>
    <xf numFmtId="9" fontId="0" fillId="0" borderId="0" xfId="18" applyFont="1">
      <alignment vertical="center"/>
    </xf>
    <xf numFmtId="179" fontId="0" fillId="0" borderId="0" xfId="0" applyNumberFormat="1">
      <alignment vertical="center"/>
    </xf>
    <xf numFmtId="9" fontId="0" fillId="5" borderId="0" xfId="18" applyFont="1" applyFill="1">
      <alignment vertical="center"/>
    </xf>
    <xf numFmtId="0" fontId="261" fillId="0" borderId="0" xfId="19" applyNumberFormat="1"/>
    <xf numFmtId="14" fontId="261" fillId="0" borderId="0" xfId="19" applyNumberFormat="1"/>
    <xf numFmtId="0" fontId="261" fillId="5" borderId="0" xfId="19" applyNumberFormat="1" applyFill="1"/>
    <xf numFmtId="14" fontId="261" fillId="5" borderId="0" xfId="19" applyNumberFormat="1" applyFill="1"/>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19"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173" fillId="0" borderId="37"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6" fillId="0" borderId="0" xfId="17" applyFont="1" applyAlignment="1">
      <alignment horizontal="center" vertical="center"/>
    </xf>
    <xf numFmtId="49" fontId="20" fillId="0" borderId="1" xfId="17" applyNumberFormat="1" applyFont="1" applyBorder="1" applyAlignment="1">
      <alignment horizontal="center" vertical="center" shrinkToFit="1"/>
    </xf>
    <xf numFmtId="176" fontId="20" fillId="0" borderId="1" xfId="17" applyNumberFormat="1" applyFont="1" applyBorder="1" applyAlignment="1">
      <alignment horizontal="center" vertical="center" shrinkToFit="1"/>
    </xf>
    <xf numFmtId="49" fontId="20" fillId="0" borderId="1" xfId="17" applyNumberFormat="1" applyFont="1" applyBorder="1" applyAlignment="1">
      <alignment horizontal="center" vertical="center" wrapText="1" shrinkToFit="1"/>
    </xf>
    <xf numFmtId="176" fontId="20" fillId="0" borderId="1" xfId="17" applyNumberFormat="1" applyFont="1" applyBorder="1" applyAlignment="1">
      <alignment horizontal="center" vertical="center" wrapText="1" shrinkToFit="1"/>
    </xf>
    <xf numFmtId="0" fontId="142" fillId="0" borderId="5" xfId="17" applyFont="1" applyBorder="1" applyAlignment="1" applyProtection="1">
      <alignment horizontal="center"/>
      <protection locked="0"/>
    </xf>
    <xf numFmtId="0" fontId="142" fillId="0" borderId="54" xfId="17" applyFont="1" applyBorder="1" applyAlignment="1" applyProtection="1">
      <alignment horizontal="center"/>
      <protection locked="0"/>
    </xf>
    <xf numFmtId="0" fontId="142" fillId="0" borderId="3" xfId="17" applyFont="1" applyBorder="1" applyAlignment="1" applyProtection="1">
      <alignment horizontal="center"/>
      <protection locked="0"/>
    </xf>
    <xf numFmtId="179" fontId="142" fillId="0" borderId="5" xfId="17" applyNumberFormat="1" applyFont="1" applyBorder="1" applyAlignment="1" applyProtection="1">
      <alignment horizontal="center"/>
      <protection locked="0"/>
    </xf>
    <xf numFmtId="179" fontId="142" fillId="0" borderId="54" xfId="17" applyNumberFormat="1" applyFont="1" applyBorder="1" applyAlignment="1" applyProtection="1">
      <alignment horizontal="center"/>
      <protection locked="0"/>
    </xf>
    <xf numFmtId="179" fontId="142" fillId="0" borderId="3" xfId="17" applyNumberFormat="1" applyFont="1" applyBorder="1" applyAlignment="1" applyProtection="1">
      <alignment horizontal="center"/>
      <protection locked="0"/>
    </xf>
    <xf numFmtId="0" fontId="142" fillId="0" borderId="5" xfId="0" applyFont="1" applyBorder="1" applyAlignment="1" applyProtection="1">
      <alignment horizontal="center"/>
      <protection locked="0"/>
    </xf>
    <xf numFmtId="0" fontId="142" fillId="0" borderId="3" xfId="0" applyFont="1" applyBorder="1" applyAlignment="1" applyProtection="1">
      <alignment horizontal="center"/>
      <protection locked="0"/>
    </xf>
    <xf numFmtId="179" fontId="142" fillId="0" borderId="5" xfId="0" applyNumberFormat="1" applyFont="1" applyBorder="1" applyAlignment="1" applyProtection="1">
      <alignment horizontal="center"/>
      <protection locked="0"/>
    </xf>
    <xf numFmtId="0" fontId="256" fillId="0" borderId="0" xfId="0" applyFont="1" applyAlignment="1">
      <alignment horizontal="center" vertical="center"/>
    </xf>
    <xf numFmtId="49" fontId="20" fillId="0" borderId="1" xfId="0" applyNumberFormat="1" applyFont="1" applyBorder="1" applyAlignment="1">
      <alignment horizontal="center" vertical="center" shrinkToFit="1"/>
    </xf>
    <xf numFmtId="176" fontId="20" fillId="0" borderId="1" xfId="0" applyNumberFormat="1" applyFont="1" applyBorder="1" applyAlignment="1">
      <alignment horizontal="center" vertical="center" shrinkToFit="1"/>
    </xf>
    <xf numFmtId="176" fontId="20" fillId="0" borderId="1" xfId="0" applyNumberFormat="1" applyFont="1" applyBorder="1" applyAlignment="1">
      <alignment horizontal="center" vertical="center" wrapText="1" shrinkToFit="1"/>
    </xf>
    <xf numFmtId="179" fontId="142" fillId="0" borderId="1" xfId="0" applyNumberFormat="1" applyFont="1" applyBorder="1" applyAlignment="1" applyProtection="1">
      <alignment horizontal="center"/>
      <protection locked="0"/>
    </xf>
    <xf numFmtId="0" fontId="142" fillId="0" borderId="54" xfId="0" applyFont="1" applyBorder="1" applyAlignment="1" applyProtection="1">
      <alignment horizontal="center"/>
      <protection locked="0"/>
    </xf>
    <xf numFmtId="179" fontId="142" fillId="0" borderId="54" xfId="0" applyNumberFormat="1" applyFont="1" applyBorder="1" applyAlignment="1" applyProtection="1">
      <alignment horizontal="center"/>
      <protection locked="0"/>
    </xf>
    <xf numFmtId="179" fontId="142" fillId="0" borderId="3" xfId="0" applyNumberFormat="1" applyFont="1" applyBorder="1" applyAlignment="1" applyProtection="1">
      <alignment horizontal="center"/>
      <protection locked="0"/>
    </xf>
    <xf numFmtId="49" fontId="20" fillId="0" borderId="1" xfId="0" applyNumberFormat="1" applyFont="1" applyBorder="1" applyAlignment="1">
      <alignment horizontal="center" vertical="center" wrapText="1" shrinkToFit="1"/>
    </xf>
    <xf numFmtId="177" fontId="50" fillId="9" borderId="1" xfId="1" applyNumberFormat="1" applyFont="1" applyFill="1" applyBorder="1" applyAlignment="1" applyProtection="1">
      <alignment horizontal="center" vertical="center"/>
      <protection locked="0"/>
    </xf>
    <xf numFmtId="181" fontId="104" fillId="9" borderId="1" xfId="0"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56" fillId="9" borderId="49" xfId="1" applyNumberFormat="1"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xf>
    <xf numFmtId="0" fontId="173" fillId="9" borderId="37" xfId="0" applyFont="1" applyFill="1" applyBorder="1" applyAlignment="1" applyProtection="1">
      <alignment horizontal="center" vertical="center" wrapText="1"/>
      <protection locked="0"/>
    </xf>
    <xf numFmtId="0" fontId="173" fillId="9" borderId="48"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protection locked="0"/>
    </xf>
    <xf numFmtId="0" fontId="47" fillId="9" borderId="57" xfId="0" applyNumberFormat="1" applyFont="1" applyFill="1" applyBorder="1" applyAlignment="1" applyProtection="1">
      <alignment horizontal="center" vertical="center" wrapText="1"/>
    </xf>
    <xf numFmtId="0" fontId="64" fillId="20" borderId="3" xfId="0" applyNumberFormat="1" applyFont="1" applyFill="1" applyBorder="1" applyAlignment="1" applyProtection="1">
      <alignment horizontal="center" vertical="center" wrapText="1"/>
      <protection locked="0"/>
    </xf>
    <xf numFmtId="0" fontId="61" fillId="20" borderId="3" xfId="0" applyNumberFormat="1" applyFont="1" applyFill="1" applyBorder="1" applyAlignment="1" applyProtection="1">
      <alignment horizontal="center" vertical="center" wrapText="1"/>
      <protection locked="0"/>
    </xf>
    <xf numFmtId="186" fontId="54" fillId="12" borderId="0" xfId="0" applyNumberFormat="1" applyFont="1" applyFill="1" applyAlignment="1" applyProtection="1">
      <alignment horizontal="center" vertical="center"/>
      <protection locked="0"/>
    </xf>
    <xf numFmtId="0" fontId="47" fillId="20" borderId="28" xfId="0" applyFont="1" applyFill="1" applyBorder="1" applyAlignment="1" applyProtection="1">
      <alignment horizontal="center" vertical="center" wrapText="1"/>
    </xf>
    <xf numFmtId="0" fontId="135" fillId="9" borderId="41" xfId="0" applyNumberFormat="1" applyFont="1" applyFill="1" applyBorder="1" applyAlignment="1" applyProtection="1">
      <alignment horizontal="center" vertical="center" wrapText="1"/>
      <protection locked="0"/>
    </xf>
  </cellXfs>
  <cellStyles count="20">
    <cellStyle name="百分比" xfId="18" builtinId="5"/>
    <cellStyle name="百分比 2" xfId="14" xr:uid="{00000000-0005-0000-0000-000001000000}"/>
    <cellStyle name="常规" xfId="0" builtinId="0"/>
    <cellStyle name="常规 10" xfId="17" xr:uid="{00000000-0005-0000-0000-000003000000}"/>
    <cellStyle name="常规 11" xfId="19"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32</xdr:row>
      <xdr:rowOff>37410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00000" cy="5523810"/>
        </a:xfrm>
        <a:prstGeom prst="rect">
          <a:avLst/>
        </a:prstGeom>
      </xdr:spPr>
    </xdr:pic>
    <xdr:clientData/>
  </xdr:twoCellAnchor>
  <xdr:twoCellAnchor editAs="oneCell">
    <xdr:from>
      <xdr:col>0</xdr:col>
      <xdr:colOff>0</xdr:colOff>
      <xdr:row>33</xdr:row>
      <xdr:rowOff>0</xdr:rowOff>
    </xdr:from>
    <xdr:to>
      <xdr:col>9</xdr:col>
      <xdr:colOff>589705</xdr:colOff>
      <xdr:row>37</xdr:row>
      <xdr:rowOff>85629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657850"/>
          <a:ext cx="6761905" cy="771429"/>
        </a:xfrm>
        <a:prstGeom prst="rect">
          <a:avLst/>
        </a:prstGeom>
      </xdr:spPr>
    </xdr:pic>
    <xdr:clientData/>
  </xdr:twoCellAnchor>
  <xdr:twoCellAnchor editAs="oneCell">
    <xdr:from>
      <xdr:col>0</xdr:col>
      <xdr:colOff>0</xdr:colOff>
      <xdr:row>38</xdr:row>
      <xdr:rowOff>0</xdr:rowOff>
    </xdr:from>
    <xdr:to>
      <xdr:col>11</xdr:col>
      <xdr:colOff>65724</xdr:colOff>
      <xdr:row>50</xdr:row>
      <xdr:rowOff>142600</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6515100"/>
          <a:ext cx="7609524" cy="2200000"/>
        </a:xfrm>
        <a:prstGeom prst="rect">
          <a:avLst/>
        </a:prstGeom>
      </xdr:spPr>
    </xdr:pic>
    <xdr:clientData/>
  </xdr:twoCellAnchor>
  <xdr:twoCellAnchor editAs="oneCell">
    <xdr:from>
      <xdr:col>0</xdr:col>
      <xdr:colOff>0</xdr:colOff>
      <xdr:row>51</xdr:row>
      <xdr:rowOff>0</xdr:rowOff>
    </xdr:from>
    <xdr:to>
      <xdr:col>10</xdr:col>
      <xdr:colOff>656286</xdr:colOff>
      <xdr:row>83</xdr:row>
      <xdr:rowOff>123124</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8743950"/>
          <a:ext cx="7514286" cy="5609524"/>
        </a:xfrm>
        <a:prstGeom prst="rect">
          <a:avLst/>
        </a:prstGeom>
      </xdr:spPr>
    </xdr:pic>
    <xdr:clientData/>
  </xdr:twoCellAnchor>
  <xdr:twoCellAnchor editAs="oneCell">
    <xdr:from>
      <xdr:col>0</xdr:col>
      <xdr:colOff>0</xdr:colOff>
      <xdr:row>84</xdr:row>
      <xdr:rowOff>0</xdr:rowOff>
    </xdr:from>
    <xdr:to>
      <xdr:col>10</xdr:col>
      <xdr:colOff>65810</xdr:colOff>
      <xdr:row>95</xdr:row>
      <xdr:rowOff>66431</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4401800"/>
          <a:ext cx="6923810" cy="1952381"/>
        </a:xfrm>
        <a:prstGeom prst="rect">
          <a:avLst/>
        </a:prstGeom>
      </xdr:spPr>
    </xdr:pic>
    <xdr:clientData/>
  </xdr:twoCellAnchor>
  <xdr:twoCellAnchor editAs="oneCell">
    <xdr:from>
      <xdr:col>0</xdr:col>
      <xdr:colOff>0</xdr:colOff>
      <xdr:row>96</xdr:row>
      <xdr:rowOff>0</xdr:rowOff>
    </xdr:from>
    <xdr:to>
      <xdr:col>10</xdr:col>
      <xdr:colOff>75334</xdr:colOff>
      <xdr:row>107</xdr:row>
      <xdr:rowOff>37860</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6459200"/>
          <a:ext cx="6933334" cy="1923810"/>
        </a:xfrm>
        <a:prstGeom prst="rect">
          <a:avLst/>
        </a:prstGeom>
      </xdr:spPr>
    </xdr:pic>
    <xdr:clientData/>
  </xdr:twoCellAnchor>
  <xdr:twoCellAnchor editAs="oneCell">
    <xdr:from>
      <xdr:col>0</xdr:col>
      <xdr:colOff>0</xdr:colOff>
      <xdr:row>108</xdr:row>
      <xdr:rowOff>0</xdr:rowOff>
    </xdr:from>
    <xdr:to>
      <xdr:col>10</xdr:col>
      <xdr:colOff>103905</xdr:colOff>
      <xdr:row>119</xdr:row>
      <xdr:rowOff>66431</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18516600"/>
          <a:ext cx="6961905" cy="1952381"/>
        </a:xfrm>
        <a:prstGeom prst="rect">
          <a:avLst/>
        </a:prstGeom>
      </xdr:spPr>
    </xdr:pic>
    <xdr:clientData/>
  </xdr:twoCellAnchor>
  <xdr:twoCellAnchor editAs="oneCell">
    <xdr:from>
      <xdr:col>0</xdr:col>
      <xdr:colOff>0</xdr:colOff>
      <xdr:row>120</xdr:row>
      <xdr:rowOff>0</xdr:rowOff>
    </xdr:from>
    <xdr:to>
      <xdr:col>10</xdr:col>
      <xdr:colOff>151524</xdr:colOff>
      <xdr:row>131</xdr:row>
      <xdr:rowOff>123574</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20574000"/>
          <a:ext cx="7009524" cy="2009524"/>
        </a:xfrm>
        <a:prstGeom prst="rect">
          <a:avLst/>
        </a:prstGeom>
      </xdr:spPr>
    </xdr:pic>
    <xdr:clientData/>
  </xdr:twoCellAnchor>
  <xdr:twoCellAnchor editAs="oneCell">
    <xdr:from>
      <xdr:col>0</xdr:col>
      <xdr:colOff>0</xdr:colOff>
      <xdr:row>133</xdr:row>
      <xdr:rowOff>0</xdr:rowOff>
    </xdr:from>
    <xdr:to>
      <xdr:col>10</xdr:col>
      <xdr:colOff>94381</xdr:colOff>
      <xdr:row>144</xdr:row>
      <xdr:rowOff>37860</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22802850"/>
          <a:ext cx="6952381" cy="1923810"/>
        </a:xfrm>
        <a:prstGeom prst="rect">
          <a:avLst/>
        </a:prstGeom>
      </xdr:spPr>
    </xdr:pic>
    <xdr:clientData/>
  </xdr:twoCellAnchor>
  <xdr:twoCellAnchor editAs="oneCell">
    <xdr:from>
      <xdr:col>0</xdr:col>
      <xdr:colOff>0</xdr:colOff>
      <xdr:row>168</xdr:row>
      <xdr:rowOff>104775</xdr:rowOff>
    </xdr:from>
    <xdr:to>
      <xdr:col>10</xdr:col>
      <xdr:colOff>75334</xdr:colOff>
      <xdr:row>180</xdr:row>
      <xdr:rowOff>18804</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28908375"/>
          <a:ext cx="6933334" cy="1971429"/>
        </a:xfrm>
        <a:prstGeom prst="rect">
          <a:avLst/>
        </a:prstGeom>
      </xdr:spPr>
    </xdr:pic>
    <xdr:clientData/>
  </xdr:twoCellAnchor>
  <xdr:twoCellAnchor editAs="oneCell">
    <xdr:from>
      <xdr:col>0</xdr:col>
      <xdr:colOff>0</xdr:colOff>
      <xdr:row>145</xdr:row>
      <xdr:rowOff>0</xdr:rowOff>
    </xdr:from>
    <xdr:to>
      <xdr:col>10</xdr:col>
      <xdr:colOff>170572</xdr:colOff>
      <xdr:row>156</xdr:row>
      <xdr:rowOff>104526</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0" y="24860250"/>
          <a:ext cx="7028572" cy="1990476"/>
        </a:xfrm>
        <a:prstGeom prst="rect">
          <a:avLst/>
        </a:prstGeom>
      </xdr:spPr>
    </xdr:pic>
    <xdr:clientData/>
  </xdr:twoCellAnchor>
  <xdr:twoCellAnchor editAs="oneCell">
    <xdr:from>
      <xdr:col>0</xdr:col>
      <xdr:colOff>0</xdr:colOff>
      <xdr:row>156</xdr:row>
      <xdr:rowOff>133350</xdr:rowOff>
    </xdr:from>
    <xdr:to>
      <xdr:col>10</xdr:col>
      <xdr:colOff>84858</xdr:colOff>
      <xdr:row>168</xdr:row>
      <xdr:rowOff>37855</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0" y="26879550"/>
          <a:ext cx="6942858" cy="1961905"/>
        </a:xfrm>
        <a:prstGeom prst="rect">
          <a:avLst/>
        </a:prstGeom>
      </xdr:spPr>
    </xdr:pic>
    <xdr:clientData/>
  </xdr:twoCellAnchor>
  <xdr:twoCellAnchor editAs="oneCell">
    <xdr:from>
      <xdr:col>11</xdr:col>
      <xdr:colOff>66675</xdr:colOff>
      <xdr:row>6</xdr:row>
      <xdr:rowOff>0</xdr:rowOff>
    </xdr:from>
    <xdr:to>
      <xdr:col>26</xdr:col>
      <xdr:colOff>627295</xdr:colOff>
      <xdr:row>24</xdr:row>
      <xdr:rowOff>18662</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7610475" y="1028700"/>
          <a:ext cx="10847620" cy="3104762"/>
        </a:xfrm>
        <a:prstGeom prst="rect">
          <a:avLst/>
        </a:prstGeom>
      </xdr:spPr>
    </xdr:pic>
    <xdr:clientData/>
  </xdr:twoCellAnchor>
  <xdr:twoCellAnchor editAs="oneCell">
    <xdr:from>
      <xdr:col>11</xdr:col>
      <xdr:colOff>0</xdr:colOff>
      <xdr:row>0</xdr:row>
      <xdr:rowOff>0</xdr:rowOff>
    </xdr:from>
    <xdr:to>
      <xdr:col>20</xdr:col>
      <xdr:colOff>513515</xdr:colOff>
      <xdr:row>5</xdr:row>
      <xdr:rowOff>161798</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4"/>
        <a:stretch>
          <a:fillRect/>
        </a:stretch>
      </xdr:blipFill>
      <xdr:spPr>
        <a:xfrm>
          <a:off x="7543800" y="0"/>
          <a:ext cx="6685715" cy="1019048"/>
        </a:xfrm>
        <a:prstGeom prst="rect">
          <a:avLst/>
        </a:prstGeom>
      </xdr:spPr>
    </xdr:pic>
    <xdr:clientData/>
  </xdr:twoCellAnchor>
  <xdr:twoCellAnchor editAs="oneCell">
    <xdr:from>
      <xdr:col>11</xdr:col>
      <xdr:colOff>0</xdr:colOff>
      <xdr:row>25</xdr:row>
      <xdr:rowOff>0</xdr:rowOff>
    </xdr:from>
    <xdr:to>
      <xdr:col>20</xdr:col>
      <xdr:colOff>446848</xdr:colOff>
      <xdr:row>30</xdr:row>
      <xdr:rowOff>133226</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5"/>
        <a:stretch>
          <a:fillRect/>
        </a:stretch>
      </xdr:blipFill>
      <xdr:spPr>
        <a:xfrm>
          <a:off x="7543800" y="4286250"/>
          <a:ext cx="6619048" cy="990476"/>
        </a:xfrm>
        <a:prstGeom prst="rect">
          <a:avLst/>
        </a:prstGeom>
      </xdr:spPr>
    </xdr:pic>
    <xdr:clientData/>
  </xdr:twoCellAnchor>
  <xdr:twoCellAnchor editAs="oneCell">
    <xdr:from>
      <xdr:col>11</xdr:col>
      <xdr:colOff>0</xdr:colOff>
      <xdr:row>31</xdr:row>
      <xdr:rowOff>0</xdr:rowOff>
    </xdr:from>
    <xdr:to>
      <xdr:col>22</xdr:col>
      <xdr:colOff>322867</xdr:colOff>
      <xdr:row>48</xdr:row>
      <xdr:rowOff>152017</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6"/>
        <a:stretch>
          <a:fillRect/>
        </a:stretch>
      </xdr:blipFill>
      <xdr:spPr>
        <a:xfrm>
          <a:off x="7543800" y="5314950"/>
          <a:ext cx="7866667" cy="3066667"/>
        </a:xfrm>
        <a:prstGeom prst="rect">
          <a:avLst/>
        </a:prstGeom>
      </xdr:spPr>
    </xdr:pic>
    <xdr:clientData/>
  </xdr:twoCellAnchor>
  <xdr:twoCellAnchor editAs="oneCell">
    <xdr:from>
      <xdr:col>11</xdr:col>
      <xdr:colOff>0</xdr:colOff>
      <xdr:row>50</xdr:row>
      <xdr:rowOff>0</xdr:rowOff>
    </xdr:from>
    <xdr:to>
      <xdr:col>18</xdr:col>
      <xdr:colOff>151781</xdr:colOff>
      <xdr:row>55</xdr:row>
      <xdr:rowOff>57036</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7"/>
        <a:stretch>
          <a:fillRect/>
        </a:stretch>
      </xdr:blipFill>
      <xdr:spPr>
        <a:xfrm>
          <a:off x="7543800" y="8572500"/>
          <a:ext cx="4952381" cy="914286"/>
        </a:xfrm>
        <a:prstGeom prst="rect">
          <a:avLst/>
        </a:prstGeom>
      </xdr:spPr>
    </xdr:pic>
    <xdr:clientData/>
  </xdr:twoCellAnchor>
  <xdr:twoCellAnchor editAs="oneCell">
    <xdr:from>
      <xdr:col>11</xdr:col>
      <xdr:colOff>0</xdr:colOff>
      <xdr:row>56</xdr:row>
      <xdr:rowOff>0</xdr:rowOff>
    </xdr:from>
    <xdr:to>
      <xdr:col>26</xdr:col>
      <xdr:colOff>551096</xdr:colOff>
      <xdr:row>74</xdr:row>
      <xdr:rowOff>37710</xdr:rowOff>
    </xdr:to>
    <xdr:pic>
      <xdr:nvPicPr>
        <xdr:cNvPr id="19" name="图片 18">
          <a:extLst>
            <a:ext uri="{FF2B5EF4-FFF2-40B4-BE49-F238E27FC236}">
              <a16:creationId xmlns:a16="http://schemas.microsoft.com/office/drawing/2014/main" id="{00000000-0008-0000-2D00-000013000000}"/>
            </a:ext>
          </a:extLst>
        </xdr:cNvPr>
        <xdr:cNvPicPr>
          <a:picLocks noChangeAspect="1"/>
        </xdr:cNvPicPr>
      </xdr:nvPicPr>
      <xdr:blipFill>
        <a:blip xmlns:r="http://schemas.openxmlformats.org/officeDocument/2006/relationships" r:embed="rId18"/>
        <a:stretch>
          <a:fillRect/>
        </a:stretch>
      </xdr:blipFill>
      <xdr:spPr>
        <a:xfrm>
          <a:off x="7543800" y="9601200"/>
          <a:ext cx="10838096" cy="3123810"/>
        </a:xfrm>
        <a:prstGeom prst="rect">
          <a:avLst/>
        </a:prstGeom>
      </xdr:spPr>
    </xdr:pic>
    <xdr:clientData/>
  </xdr:twoCellAnchor>
  <xdr:twoCellAnchor editAs="oneCell">
    <xdr:from>
      <xdr:col>23</xdr:col>
      <xdr:colOff>0</xdr:colOff>
      <xdr:row>32</xdr:row>
      <xdr:rowOff>0</xdr:rowOff>
    </xdr:from>
    <xdr:to>
      <xdr:col>39</xdr:col>
      <xdr:colOff>8153</xdr:colOff>
      <xdr:row>44</xdr:row>
      <xdr:rowOff>66410</xdr:rowOff>
    </xdr:to>
    <xdr:pic>
      <xdr:nvPicPr>
        <xdr:cNvPr id="20" name="图片 19">
          <a:extLst>
            <a:ext uri="{FF2B5EF4-FFF2-40B4-BE49-F238E27FC236}">
              <a16:creationId xmlns:a16="http://schemas.microsoft.com/office/drawing/2014/main" id="{00000000-0008-0000-2D00-000014000000}"/>
            </a:ext>
          </a:extLst>
        </xdr:cNvPr>
        <xdr:cNvPicPr>
          <a:picLocks noChangeAspect="1"/>
        </xdr:cNvPicPr>
      </xdr:nvPicPr>
      <xdr:blipFill>
        <a:blip xmlns:r="http://schemas.openxmlformats.org/officeDocument/2006/relationships" r:embed="rId19"/>
        <a:stretch>
          <a:fillRect/>
        </a:stretch>
      </xdr:blipFill>
      <xdr:spPr>
        <a:xfrm>
          <a:off x="15773400" y="5486400"/>
          <a:ext cx="10980953" cy="2123810"/>
        </a:xfrm>
        <a:prstGeom prst="rect">
          <a:avLst/>
        </a:prstGeom>
      </xdr:spPr>
    </xdr:pic>
    <xdr:clientData/>
  </xdr:twoCellAnchor>
  <xdr:twoCellAnchor editAs="oneCell">
    <xdr:from>
      <xdr:col>23</xdr:col>
      <xdr:colOff>0</xdr:colOff>
      <xdr:row>45</xdr:row>
      <xdr:rowOff>0</xdr:rowOff>
    </xdr:from>
    <xdr:to>
      <xdr:col>39</xdr:col>
      <xdr:colOff>84344</xdr:colOff>
      <xdr:row>59</xdr:row>
      <xdr:rowOff>66367</xdr:rowOff>
    </xdr:to>
    <xdr:pic>
      <xdr:nvPicPr>
        <xdr:cNvPr id="21" name="图片 20">
          <a:extLst>
            <a:ext uri="{FF2B5EF4-FFF2-40B4-BE49-F238E27FC236}">
              <a16:creationId xmlns:a16="http://schemas.microsoft.com/office/drawing/2014/main" id="{00000000-0008-0000-2D00-000015000000}"/>
            </a:ext>
          </a:extLst>
        </xdr:cNvPr>
        <xdr:cNvPicPr>
          <a:picLocks noChangeAspect="1"/>
        </xdr:cNvPicPr>
      </xdr:nvPicPr>
      <xdr:blipFill>
        <a:blip xmlns:r="http://schemas.openxmlformats.org/officeDocument/2006/relationships" r:embed="rId20"/>
        <a:stretch>
          <a:fillRect/>
        </a:stretch>
      </xdr:blipFill>
      <xdr:spPr>
        <a:xfrm>
          <a:off x="15773400" y="7715250"/>
          <a:ext cx="11057144" cy="2466667"/>
        </a:xfrm>
        <a:prstGeom prst="rect">
          <a:avLst/>
        </a:prstGeom>
      </xdr:spPr>
    </xdr:pic>
    <xdr:clientData/>
  </xdr:twoCellAnchor>
  <xdr:twoCellAnchor editAs="oneCell">
    <xdr:from>
      <xdr:col>11</xdr:col>
      <xdr:colOff>0</xdr:colOff>
      <xdr:row>76</xdr:row>
      <xdr:rowOff>0</xdr:rowOff>
    </xdr:from>
    <xdr:to>
      <xdr:col>21</xdr:col>
      <xdr:colOff>551524</xdr:colOff>
      <xdr:row>105</xdr:row>
      <xdr:rowOff>113665</xdr:rowOff>
    </xdr:to>
    <xdr:pic>
      <xdr:nvPicPr>
        <xdr:cNvPr id="22" name="图片 21">
          <a:extLst>
            <a:ext uri="{FF2B5EF4-FFF2-40B4-BE49-F238E27FC236}">
              <a16:creationId xmlns:a16="http://schemas.microsoft.com/office/drawing/2014/main" id="{00000000-0008-0000-2D00-000016000000}"/>
            </a:ext>
          </a:extLst>
        </xdr:cNvPr>
        <xdr:cNvPicPr>
          <a:picLocks noChangeAspect="1"/>
        </xdr:cNvPicPr>
      </xdr:nvPicPr>
      <xdr:blipFill>
        <a:blip xmlns:r="http://schemas.openxmlformats.org/officeDocument/2006/relationships" r:embed="rId21"/>
        <a:stretch>
          <a:fillRect/>
        </a:stretch>
      </xdr:blipFill>
      <xdr:spPr>
        <a:xfrm>
          <a:off x="7543800" y="13030200"/>
          <a:ext cx="7409524"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1-1-0528-F01&#26395;&#22363;&#20303;&#23429;&#25253;&#21578;/&#26368;&#32456;/&#27979;&#31639;2021-1-0528-P01&#21271;&#20140;&#24066;&#19996;&#22478;&#21306;&#23433;&#20048;&#26519;&#36335;13&#22320;&#22359;&#65288;&#19996;&#22478;&#21306;&#26395;&#22363;&#26842;&#25143;&#21306;&#25913;&#36896;&#39033;&#30446;&#65289;14&#21495;&#27004;1-5&#23618;&#20849;&#35745;60&#22871;&#20303;&#23429;&#29992;&#25151;&#20998;&#25674;&#20986;&#35753;&#22269;&#26377;&#24314;&#35774;&#29992;&#22320;&#20351;&#29992;&#26435;&#21450;&#22312;&#24314;&#24314;&#31569;&#29289;&#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最新土地案例"/>
      <sheetName val="1期建委销售价格"/>
      <sheetName val="住宅销售案例"/>
      <sheetName val="13地块面积指标"/>
      <sheetName val="区片价（范围）"/>
      <sheetName val="本次抵押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0">
          <cell r="C30">
            <v>273800</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北京市出让国有建设用地使用权及在建建筑物房地产抵押价值预评估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受贵公司委托，我公司对北京市出让国有建设用地使用权及在建建筑物房地产抵押价值进行了预评估。</v>
      </c>
    </row>
    <row r="7" spans="1:2" s="1336" customFormat="1">
      <c r="A7" s="1334" t="s">
        <v>1172</v>
      </c>
      <c r="B7" s="1335" t="str">
        <f>'预评函-1'!A7</f>
        <v>估价对象为北京市出让国有建设用地使用权及在建建筑物房地产，为所有。根据《国有土地使用证》[]，估价对象（分摊）出让国有建设用地使用权面积为8422.83平方米，建筑面积为33617.25平方米。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2022年1月14日</v>
      </c>
    </row>
    <row r="13" spans="1:2" s="1336" customFormat="1">
      <c r="A13" s="1334" t="s">
        <v>1135</v>
      </c>
      <c r="B13" s="1335" t="str">
        <f>'预评函-1'!A18</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本次评估采用的主估价方法为成本法和假设开发法。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北京市出让国有建设用地使用权及在建建筑物房地产</v>
      </c>
    </row>
    <row r="42" spans="1:2" s="1336" customFormat="1">
      <c r="A42" s="1334" t="s">
        <v>1196</v>
      </c>
      <c r="B42" s="1335" t="str">
        <f>'预评函-3'!B2</f>
        <v>建筑面积</v>
      </c>
    </row>
    <row r="43" spans="1:2" s="1336" customFormat="1">
      <c r="A43" s="1334" t="s">
        <v>1197</v>
      </c>
      <c r="B43" s="1335">
        <f>'预评函-3'!B4</f>
        <v>33617.25</v>
      </c>
    </row>
    <row r="44" spans="1:2" s="1336" customFormat="1">
      <c r="A44" s="1334" t="s">
        <v>1181</v>
      </c>
      <c r="B44" s="1335" t="str">
        <f>'预评函-3'!C2</f>
        <v>(分摊)土地面积</v>
      </c>
    </row>
    <row r="45" spans="1:2" s="1336" customFormat="1">
      <c r="A45" s="1334" t="s">
        <v>1153</v>
      </c>
      <c r="B45" s="1335">
        <f>'预评函-3'!C4</f>
        <v>8422.83</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5"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08" t="s">
        <v>832</v>
      </c>
      <c r="C54" s="1705" t="s">
        <v>1189</v>
      </c>
    </row>
    <row r="55" spans="1:4">
      <c r="A55" s="3295"/>
      <c r="B55" s="1708" t="s">
        <v>833</v>
      </c>
      <c r="C55" s="1705" t="s">
        <v>1190</v>
      </c>
    </row>
    <row r="56" spans="1:4">
      <c r="A56" s="3295"/>
      <c r="B56" s="1708" t="s">
        <v>834</v>
      </c>
      <c r="C56" s="1705" t="s">
        <v>1194</v>
      </c>
    </row>
    <row r="57" spans="1:4">
      <c r="A57" s="3295"/>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 sqref="F2"/>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9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97"/>
      <c r="D1" s="3297"/>
      <c r="E1" s="3297"/>
      <c r="F1" s="3297"/>
      <c r="G1" s="3297"/>
      <c r="H1" s="3297"/>
      <c r="I1" s="3298"/>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北京市出让国有建设用地使用权及在建建筑物房地产</v>
      </c>
      <c r="T2" s="1900"/>
      <c r="U2" s="1900"/>
      <c r="V2" s="1900"/>
      <c r="W2" s="1900"/>
      <c r="X2" s="1900"/>
      <c r="Y2" s="1900"/>
      <c r="Z2" s="1900"/>
      <c r="AA2" s="1900"/>
      <c r="AB2" s="1900"/>
    </row>
    <row r="3" spans="1:28">
      <c r="A3" s="307" t="s">
        <v>2855</v>
      </c>
      <c r="B3" s="2566"/>
      <c r="C3" s="2567" t="s">
        <v>2856</v>
      </c>
      <c r="D3" s="2566">
        <v>44575</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99" t="s">
        <v>2862</v>
      </c>
      <c r="E8" s="2584" t="s">
        <v>3131</v>
      </c>
      <c r="F8" s="2585"/>
      <c r="G8" s="2859"/>
      <c r="H8" s="2859"/>
      <c r="I8" s="2859"/>
      <c r="J8" s="2634"/>
      <c r="K8" s="2809"/>
      <c r="L8" s="2808"/>
      <c r="M8" s="2808"/>
      <c r="N8" s="2634"/>
      <c r="O8" s="2645"/>
      <c r="P8" s="2634"/>
      <c r="Q8" s="2634"/>
      <c r="R8" s="2634"/>
    </row>
    <row r="9" spans="1:28" ht="13.5" thickBot="1">
      <c r="A9" s="2586" t="s">
        <v>2863</v>
      </c>
      <c r="B9" s="2587" t="s">
        <v>3131</v>
      </c>
      <c r="C9" s="2588"/>
      <c r="D9" s="3300"/>
      <c r="E9" s="2587"/>
      <c r="F9" s="2589"/>
      <c r="G9" s="2861"/>
      <c r="H9" s="2861"/>
      <c r="I9" s="2861"/>
      <c r="J9" s="2634"/>
      <c r="K9" s="2811"/>
      <c r="L9" s="2808"/>
      <c r="M9" s="2808"/>
      <c r="N9" s="2634"/>
      <c r="O9" s="2645"/>
      <c r="P9" s="2634"/>
      <c r="Q9" s="2634"/>
      <c r="R9" s="2634"/>
    </row>
    <row r="10" spans="1:28" ht="13.5" thickTop="1">
      <c r="A10" s="2590" t="s">
        <v>2864</v>
      </c>
      <c r="B10" s="2591" t="s">
        <v>3128</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3129</v>
      </c>
      <c r="C11" s="2596"/>
      <c r="D11" s="2597"/>
      <c r="E11" s="2563"/>
      <c r="F11" s="2563"/>
      <c r="G11" s="2563"/>
      <c r="H11" s="2563"/>
      <c r="I11" s="2563"/>
      <c r="J11" s="2634"/>
      <c r="K11" s="2811"/>
      <c r="L11" s="2808"/>
      <c r="M11" s="2808"/>
      <c r="N11" s="2634"/>
      <c r="O11" s="2645"/>
      <c r="P11" s="2634"/>
      <c r="Q11" s="2634"/>
      <c r="R11" s="2634"/>
    </row>
    <row r="12" spans="1:28">
      <c r="A12" s="2598" t="s">
        <v>2867</v>
      </c>
      <c r="B12" s="2595" t="s">
        <v>3130</v>
      </c>
      <c r="C12" s="328"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2"/>
      <c r="B13" s="2600"/>
      <c r="C13" s="2601" t="s">
        <v>2875</v>
      </c>
      <c r="D13" s="964">
        <v>69749</v>
      </c>
      <c r="E13" s="964">
        <v>58792</v>
      </c>
      <c r="F13" s="964"/>
      <c r="G13" s="964"/>
      <c r="H13" s="964"/>
      <c r="I13" s="964"/>
      <c r="J13" s="2634"/>
      <c r="K13" s="2811"/>
      <c r="L13" s="2808"/>
      <c r="M13" s="2808"/>
      <c r="N13" s="2634"/>
      <c r="O13" s="2645"/>
      <c r="P13" s="2634"/>
      <c r="Q13" s="2634"/>
      <c r="R13" s="2634"/>
    </row>
    <row r="14" spans="1:28">
      <c r="A14" s="1212"/>
      <c r="B14" s="2600"/>
      <c r="C14" s="2601" t="s">
        <v>2876</v>
      </c>
      <c r="D14" s="2602">
        <v>70</v>
      </c>
      <c r="E14" s="2602">
        <v>40</v>
      </c>
      <c r="F14" s="2602"/>
      <c r="G14" s="2602"/>
      <c r="H14" s="2602"/>
      <c r="I14" s="2602"/>
      <c r="J14" s="2634"/>
      <c r="K14" s="2812"/>
      <c r="L14" s="2808"/>
      <c r="M14" s="2808"/>
      <c r="N14" s="2634"/>
      <c r="O14" s="2645"/>
      <c r="P14" s="2634"/>
      <c r="Q14" s="2634"/>
      <c r="R14" s="2634"/>
    </row>
    <row r="15" spans="1:28">
      <c r="A15" s="325"/>
      <c r="B15" s="2603"/>
      <c r="C15" s="2604" t="s">
        <v>2877</v>
      </c>
      <c r="D15" s="2605">
        <f>IF(B12="出让",IF(D13="","",ROUNDDOWN(MIN((D13-$D$3)/365,D14),2)),D14)</f>
        <v>68.959999999999994</v>
      </c>
      <c r="E15" s="2605">
        <f>IF(B12="出让",IF(E13="","",ROUNDDOWN(MIN((E13-$D$3)/365,E14),2)),E14)</f>
        <v>38.950000000000003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306"/>
      <c r="C16" s="3307"/>
      <c r="D16" s="3308"/>
      <c r="E16" s="2608" t="s">
        <v>2879</v>
      </c>
      <c r="F16" s="3309"/>
      <c r="G16" s="3310"/>
      <c r="H16" s="3310"/>
      <c r="I16" s="3311"/>
      <c r="J16" s="2634"/>
      <c r="K16" s="2813"/>
      <c r="L16" s="2646"/>
      <c r="M16" s="2646"/>
      <c r="N16" s="2704"/>
      <c r="O16" s="2646"/>
      <c r="P16" s="2704"/>
      <c r="Q16" s="2634"/>
      <c r="R16" s="2634"/>
    </row>
    <row r="17" spans="1:28">
      <c r="A17" s="318" t="s">
        <v>2880</v>
      </c>
      <c r="B17" s="307" t="s">
        <v>2881</v>
      </c>
      <c r="C17" s="11">
        <f>'数据-汇总表'!E3</f>
        <v>33617.25</v>
      </c>
      <c r="D17" s="2514" t="s">
        <v>2882</v>
      </c>
      <c r="E17" s="3312" t="s">
        <v>2883</v>
      </c>
      <c r="F17" s="3313"/>
      <c r="G17" s="3313"/>
      <c r="H17" s="3313"/>
      <c r="I17" s="3314"/>
      <c r="J17" s="2634"/>
      <c r="K17" s="2814"/>
      <c r="L17" s="2646"/>
      <c r="M17" s="2646"/>
      <c r="N17" s="2704"/>
      <c r="O17" s="2646"/>
      <c r="P17" s="2704"/>
      <c r="Q17" s="2634"/>
      <c r="R17" s="2634"/>
      <c r="S17" s="2634"/>
      <c r="T17" s="2634"/>
      <c r="U17" s="2634"/>
      <c r="V17" s="2634"/>
    </row>
    <row r="18" spans="1:28" ht="24.75" thickBot="1">
      <c r="A18" s="2609" t="s">
        <v>2884</v>
      </c>
      <c r="B18" s="1221" t="s">
        <v>2885</v>
      </c>
      <c r="C18" s="2610">
        <f>'数据-汇总表'!D3</f>
        <v>8422.83</v>
      </c>
      <c r="D18" s="1223" t="s">
        <v>2886</v>
      </c>
      <c r="E18" s="3315" t="s">
        <v>2887</v>
      </c>
      <c r="F18" s="3316"/>
      <c r="G18" s="3316"/>
      <c r="H18" s="3316"/>
      <c r="I18" s="3317"/>
      <c r="J18" s="2634"/>
      <c r="K18" s="2814"/>
      <c r="L18" s="2646"/>
      <c r="M18" s="2646"/>
      <c r="N18" s="2704"/>
      <c r="O18" s="2646"/>
      <c r="P18" s="2704"/>
      <c r="Q18" s="2634"/>
      <c r="R18" s="2634"/>
      <c r="S18" s="2634"/>
      <c r="T18" s="2634"/>
      <c r="U18" s="2634"/>
      <c r="V18" s="2634"/>
    </row>
    <row r="19" spans="1:28" ht="37.5" thickTop="1" thickBot="1">
      <c r="A19" s="332" t="s">
        <v>1681</v>
      </c>
      <c r="B19" s="312"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302" t="s">
        <v>2891</v>
      </c>
      <c r="C20" s="3303"/>
      <c r="D20" s="3304" t="s">
        <v>2892</v>
      </c>
      <c r="E20" s="3305"/>
      <c r="F20" s="2843" t="s">
        <v>1682</v>
      </c>
      <c r="G20" s="2860"/>
      <c r="H20" s="2860"/>
      <c r="I20" s="2860"/>
      <c r="J20" s="2634"/>
      <c r="K20" s="3301"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0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0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9" t="s">
        <v>2899</v>
      </c>
      <c r="B27" s="325" t="s">
        <v>2900</v>
      </c>
      <c r="C27" s="2611" t="s">
        <v>3132</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9"/>
      <c r="B28" s="307" t="s">
        <v>2901</v>
      </c>
      <c r="C28" s="2613" t="s">
        <v>3133</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9"/>
      <c r="B29" s="307" t="s">
        <v>2902</v>
      </c>
      <c r="C29" s="2615" t="s">
        <v>3134</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0"/>
      <c r="B30" s="307" t="s">
        <v>2903</v>
      </c>
      <c r="C30" s="3321"/>
      <c r="D30" s="3322"/>
      <c r="E30" s="2860"/>
      <c r="F30" s="2860"/>
      <c r="G30" s="2860"/>
      <c r="H30" s="2860"/>
      <c r="I30" s="2860"/>
      <c r="J30" s="2634"/>
      <c r="K30" s="2811"/>
      <c r="L30" s="2808"/>
      <c r="M30" s="2808"/>
      <c r="N30" s="2634"/>
      <c r="O30" s="2645"/>
      <c r="P30" s="2634"/>
      <c r="Q30" s="2634"/>
      <c r="R30" s="2634"/>
      <c r="S30" s="2634"/>
      <c r="T30" s="2634"/>
      <c r="U30" s="2634"/>
      <c r="V30" s="2634"/>
    </row>
    <row r="31" spans="1:28">
      <c r="A31" s="3323" t="s">
        <v>2904</v>
      </c>
      <c r="B31" s="2617" t="s">
        <v>3135</v>
      </c>
      <c r="C31" s="2515" t="str">
        <f>IF(B31="现房","成新及维护状况正常否",IF(B31="在建","工程状态是否正常",IF(B31="土地","是否闲置","-")))</f>
        <v>工程状态是否正常</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24"/>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24"/>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2905</v>
      </c>
      <c r="B34" s="2183"/>
      <c r="C34" s="2183"/>
      <c r="D34" s="2183"/>
      <c r="E34" s="2183"/>
      <c r="F34" s="2183"/>
      <c r="G34" s="2183"/>
      <c r="H34" s="2183"/>
      <c r="I34" s="2860"/>
      <c r="J34" s="2634"/>
      <c r="K34" s="2622">
        <f>COUNTIF(B34:H34,"——")</f>
        <v>0</v>
      </c>
      <c r="L34" s="328" t="s">
        <v>2906</v>
      </c>
      <c r="M34" s="328" t="s">
        <v>2907</v>
      </c>
      <c r="N34" s="328" t="s">
        <v>2908</v>
      </c>
      <c r="O34" s="328" t="s">
        <v>2909</v>
      </c>
      <c r="P34" s="328" t="s">
        <v>2910</v>
      </c>
      <c r="Q34" s="328" t="s">
        <v>2911</v>
      </c>
      <c r="R34" s="328" t="s">
        <v>2912</v>
      </c>
      <c r="S34" s="3318" t="s">
        <v>2913</v>
      </c>
      <c r="T34" s="2623" t="str">
        <f>NUMBERSTRING(7-K34,1)&amp;"通"</f>
        <v>七通</v>
      </c>
      <c r="U34" s="2634"/>
      <c r="V34" s="2634"/>
    </row>
    <row r="35" spans="1:30">
      <c r="A35" s="2624"/>
      <c r="B35" s="3325" t="s">
        <v>2914</v>
      </c>
      <c r="C35" s="3325"/>
      <c r="D35" s="3325"/>
      <c r="E35" s="3325"/>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8"/>
      <c r="T35" s="334" t="str">
        <f>IF(T34="一通",L35,IF(T34="二通",M35,IF(T34="三通",N35,IF(T34="四通",O35,IF(T34="五通",P35,IF(T34="六通",Q35,R35))))))</f>
        <v>、、、、、、</v>
      </c>
      <c r="U35" s="2634"/>
      <c r="V35" s="2634"/>
    </row>
    <row r="36" spans="1:30">
      <c r="A36" s="2625"/>
      <c r="B36" s="672" t="s">
        <v>2870</v>
      </c>
      <c r="C36" s="672" t="s">
        <v>2871</v>
      </c>
      <c r="D36" s="672" t="s">
        <v>2869</v>
      </c>
      <c r="E36" s="672"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t="s">
        <v>137</v>
      </c>
      <c r="C37" s="2626" t="s">
        <v>137</v>
      </c>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t="s">
        <v>303</v>
      </c>
      <c r="C38" s="2627" t="s">
        <v>293</v>
      </c>
      <c r="D38" s="2627" t="s">
        <v>303</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8422.83</v>
      </c>
      <c r="B3" s="14">
        <f>IF(C3="否",G5-AT5,G5)</f>
        <v>33617.25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33617.25</v>
      </c>
      <c r="H5" s="16">
        <f t="shared" ref="H5:AT5" si="0">SUM(H13:H656)</f>
        <v>33617.25</v>
      </c>
      <c r="I5" s="16">
        <f t="shared" si="0"/>
        <v>2131.7799999999997</v>
      </c>
      <c r="J5" s="16">
        <f t="shared" si="0"/>
        <v>0</v>
      </c>
      <c r="K5" s="16">
        <f t="shared" si="0"/>
        <v>31485.47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33617.25</v>
      </c>
      <c r="BA5" s="18">
        <f t="shared" si="1"/>
        <v>33617.25</v>
      </c>
      <c r="BB5" s="18">
        <f t="shared" si="1"/>
        <v>2131.7799999999997</v>
      </c>
      <c r="BC5" s="18">
        <f t="shared" si="1"/>
        <v>31485.47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8422.83</v>
      </c>
      <c r="F6" s="16" t="s">
        <v>1</v>
      </c>
      <c r="G6" s="16" t="s">
        <v>2</v>
      </c>
      <c r="H6" s="20">
        <f>SUMIF(I$12:AB$12,"总值",I6:AB6)</f>
        <v>8422.83</v>
      </c>
      <c r="I6" s="16">
        <f t="shared" ref="I6:AB6" si="2">ROUND($A$3*I5/$B$3,2)</f>
        <v>534.12</v>
      </c>
      <c r="J6" s="16">
        <f t="shared" si="2"/>
        <v>0</v>
      </c>
      <c r="K6" s="16">
        <f t="shared" si="2"/>
        <v>7888.71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8422.83</v>
      </c>
      <c r="AZ6" s="16" t="s">
        <v>3</v>
      </c>
      <c r="BA6" s="16">
        <f>ROUND($AY$6*BA5/$AZ$5,2)</f>
        <v>8422.83</v>
      </c>
      <c r="BB6" s="16">
        <f>ROUND($AY$6*BB5/$AZ$5,2)</f>
        <v>534.12</v>
      </c>
      <c r="BC6" s="16">
        <f t="shared" ref="BC6:BH6" si="4">ROUND($AY$6*BC5/$AZ$5,2)</f>
        <v>7888.71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3140</v>
      </c>
      <c r="J9" s="917"/>
      <c r="K9" s="1757" t="s">
        <v>3140</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1283</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t="str">
        <f>K9</f>
        <v>地上</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商业</v>
      </c>
      <c r="BC11" s="1753" t="str">
        <f>K10</f>
        <v>住宅</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3206" t="s">
        <v>3136</v>
      </c>
      <c r="D13" s="1779" t="s">
        <v>3139</v>
      </c>
      <c r="E13" s="16">
        <f>IF($C$3="是",ROUND($A$3*G13/$B$3,2),ROUND($A$3*(G13-AT13)/$B$3,2))</f>
        <v>534.12</v>
      </c>
      <c r="F13" s="32"/>
      <c r="G13" s="33">
        <f>H13+AC13+AT13</f>
        <v>2131.7799999999997</v>
      </c>
      <c r="H13" s="20">
        <f>SUMIF(I$12:AB$12,"总值",I13:AB13)</f>
        <v>2131.7799999999997</v>
      </c>
      <c r="I13" s="1780">
        <f>面积明细废弃!P36</f>
        <v>2131.7799999999997</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商业</v>
      </c>
      <c r="AY13" s="1502">
        <f>ROUND($AY$6*AZ13/$AZ$5,2)</f>
        <v>534.12</v>
      </c>
      <c r="AZ13" s="16">
        <f>BA13+BL13</f>
        <v>2131.7799999999997</v>
      </c>
      <c r="BA13" s="16">
        <f>SUM(BB13:BK13)</f>
        <v>2131.7799999999997</v>
      </c>
      <c r="BB13" s="16">
        <f>IF($D13="是",I13-J13,0)</f>
        <v>2131.7799999999997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3206" t="s">
        <v>3138</v>
      </c>
      <c r="D14" s="1779" t="s">
        <v>3139</v>
      </c>
      <c r="E14" s="16">
        <f>IF($C$3="是",ROUND($A$3*G14/$B$3,2),ROUND($A$3*(G14-AT14)/$B$3,2))</f>
        <v>7888.71</v>
      </c>
      <c r="F14" s="32"/>
      <c r="G14" s="33">
        <f>H14+AC14+AT14</f>
        <v>31485.47</v>
      </c>
      <c r="H14" s="20">
        <f>SUMIF(I$12:AB$12,"总值",I14:AB14)</f>
        <v>31485.47</v>
      </c>
      <c r="I14" s="1780"/>
      <c r="J14" s="1780"/>
      <c r="K14" s="1780">
        <f>33617.25-I13</f>
        <v>31485.47</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住宅</v>
      </c>
      <c r="AY14" s="1502">
        <f>ROUND($AY$6*AZ14/$AZ$5,2)</f>
        <v>7888.71</v>
      </c>
      <c r="AZ14" s="16">
        <f>BA14+BL14</f>
        <v>31485.47</v>
      </c>
      <c r="BA14" s="16">
        <f>SUM(BB14:BK14)</f>
        <v>31485.47</v>
      </c>
      <c r="BB14" s="16">
        <f>IF($D14="是",I14-J14,0)</f>
        <v>0</v>
      </c>
      <c r="BC14" s="16">
        <f>IF($D14="是",K14-L14,0)</f>
        <v>31485.47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80" zoomScaleNormal="100" zoomScaleSheetLayoutView="80" workbookViewId="0">
      <selection activeCell="G35" sqref="G3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37" t="s">
        <v>1757</v>
      </c>
      <c r="B2" s="3337"/>
      <c r="C2" s="3337"/>
      <c r="D2" s="903" t="s">
        <v>1733</v>
      </c>
      <c r="E2" s="1793" t="s">
        <v>1734</v>
      </c>
      <c r="F2" s="2855"/>
      <c r="G2" s="2846"/>
      <c r="H2" s="2847"/>
      <c r="I2" s="2517" t="s">
        <v>1758</v>
      </c>
      <c r="J2" s="2855"/>
      <c r="K2" s="2855"/>
      <c r="L2" s="2855"/>
      <c r="M2" s="2855"/>
      <c r="N2" s="2857"/>
      <c r="O2" s="2855"/>
      <c r="P2" s="2855"/>
    </row>
    <row r="3" spans="1:16" ht="15.75" thickBot="1">
      <c r="A3" s="3338" t="s">
        <v>1731</v>
      </c>
      <c r="B3" s="3338"/>
      <c r="C3" s="3338"/>
      <c r="D3" s="46">
        <f>'数据-基础表'!AY6</f>
        <v>8422.83</v>
      </c>
      <c r="E3" s="46">
        <f>'数据-基础表'!AZ5</f>
        <v>33617.25</v>
      </c>
      <c r="F3" s="2855"/>
      <c r="G3" s="1278"/>
      <c r="H3" s="1156" t="s">
        <v>1732</v>
      </c>
      <c r="I3" s="963">
        <f>ROUND('数据-基础表'!B3/'数据-基础表'!A3,2)</f>
        <v>3.99</v>
      </c>
      <c r="J3" s="2855"/>
      <c r="K3" s="2855"/>
      <c r="L3" s="2855"/>
      <c r="M3" s="2855"/>
      <c r="N3" s="2857"/>
      <c r="O3" s="2855"/>
      <c r="P3" s="2855"/>
    </row>
    <row r="4" spans="1:16" ht="15">
      <c r="A4" s="3339"/>
      <c r="B4" s="3340"/>
      <c r="C4" s="3341"/>
      <c r="D4" s="1795" t="s">
        <v>1733</v>
      </c>
      <c r="E4" s="1796" t="s">
        <v>1734</v>
      </c>
      <c r="F4" s="2855"/>
      <c r="G4" s="2848" t="s">
        <v>1759</v>
      </c>
      <c r="H4" s="1156" t="s">
        <v>1739</v>
      </c>
      <c r="I4" s="963">
        <f>ROUND(SUMIF('数据-基础表'!I9:AS9,"地上",'数据-基础表'!I5:AS5)/'数据-基础表'!A3,2)</f>
        <v>3.99</v>
      </c>
      <c r="J4" s="2855"/>
      <c r="K4" s="2855"/>
      <c r="L4" s="2855"/>
      <c r="M4" s="2855"/>
      <c r="N4" s="2857"/>
      <c r="O4" s="2855"/>
      <c r="P4" s="2855"/>
    </row>
    <row r="5" spans="1:16">
      <c r="A5" s="47" t="s">
        <v>1735</v>
      </c>
      <c r="B5" s="3342" t="s">
        <v>1736</v>
      </c>
      <c r="C5" s="3342"/>
      <c r="D5" s="48">
        <f>ROUND($D$3*E5/$E$3,2)</f>
        <v>7888.71</v>
      </c>
      <c r="E5" s="49">
        <f>SUMIF('数据-基础表'!$11:$11,"住宅",'数据-基础表'!$5:$5)</f>
        <v>31485.47</v>
      </c>
      <c r="F5" s="2855"/>
      <c r="G5" s="1278"/>
      <c r="H5" s="1156" t="s">
        <v>1732</v>
      </c>
      <c r="I5" s="963">
        <f>ROUND(E31/D31,2)</f>
        <v>3.99</v>
      </c>
      <c r="J5" s="2855"/>
      <c r="K5" s="2855"/>
      <c r="L5" s="2855"/>
      <c r="M5" s="2855"/>
      <c r="N5" s="2855"/>
      <c r="O5" s="2855"/>
      <c r="P5" s="2855"/>
    </row>
    <row r="6" spans="1:16" ht="15" thickBot="1">
      <c r="A6" s="1798"/>
      <c r="B6" s="3342" t="s">
        <v>1737</v>
      </c>
      <c r="C6" s="3342"/>
      <c r="D6" s="48">
        <f>ROUND($D$3*E6/$E$3,2)</f>
        <v>534.12</v>
      </c>
      <c r="E6" s="49">
        <f>E3-E5</f>
        <v>2131.7799999999988</v>
      </c>
      <c r="F6" s="2855"/>
      <c r="G6" s="2849" t="s">
        <v>1738</v>
      </c>
      <c r="H6" s="1279" t="s">
        <v>1739</v>
      </c>
      <c r="I6" s="2850">
        <f>ROUND(F31/D31,2)</f>
        <v>3.99</v>
      </c>
      <c r="J6" s="2855"/>
      <c r="K6" s="2855"/>
      <c r="L6" s="2855"/>
      <c r="M6" s="2855"/>
      <c r="N6" s="2855"/>
      <c r="O6" s="2855"/>
      <c r="P6" s="2855"/>
    </row>
    <row r="7" spans="1:16" ht="15.75" thickBot="1">
      <c r="A7" s="3334"/>
      <c r="B7" s="3335"/>
      <c r="C7" s="3336"/>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8422.83</v>
      </c>
      <c r="E8" s="51">
        <f>SUMIF('数据-基础表'!BB10:BK10,"地上",'数据-基础表'!BB5:BK5)</f>
        <v>33617.25</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8422.83</v>
      </c>
      <c r="E16" s="53">
        <f>SUM(E8:E15)</f>
        <v>33617.25</v>
      </c>
      <c r="F16" s="2855"/>
      <c r="G16" s="2856"/>
      <c r="H16" s="1802" t="s">
        <v>1761</v>
      </c>
      <c r="I16" s="1803"/>
      <c r="J16" s="1272"/>
      <c r="K16" s="3331" t="s">
        <v>1761</v>
      </c>
      <c r="L16" s="3332"/>
      <c r="M16" s="3332"/>
      <c r="N16" s="3332"/>
      <c r="O16" s="3332"/>
      <c r="P16" s="3333"/>
    </row>
    <row r="17" spans="1:19" ht="15">
      <c r="A17" s="1804" t="s">
        <v>1762</v>
      </c>
      <c r="B17" s="1805" t="s">
        <v>1763</v>
      </c>
      <c r="C17" s="1806" t="s">
        <v>1764</v>
      </c>
      <c r="D17" s="1807" t="s">
        <v>1752</v>
      </c>
      <c r="E17" s="1808" t="s">
        <v>1753</v>
      </c>
      <c r="F17" s="1809"/>
      <c r="G17" s="1810"/>
      <c r="H17" s="1811" t="s">
        <v>1765</v>
      </c>
      <c r="I17" s="1812" t="s">
        <v>1750</v>
      </c>
      <c r="J17" s="1272"/>
      <c r="K17" s="3328" t="s">
        <v>1766</v>
      </c>
      <c r="L17" s="3329"/>
      <c r="M17" s="3330"/>
      <c r="N17" s="3328" t="s">
        <v>1767</v>
      </c>
      <c r="O17" s="3329"/>
      <c r="P17" s="3330"/>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24" t="s">
        <v>3173</v>
      </c>
      <c r="D19" s="48">
        <f>ROUND($D$3*E19/$E$3,2)</f>
        <v>534.12</v>
      </c>
      <c r="E19" s="56">
        <f t="shared" ref="E19:E26" si="1">SUM(F19:G19)</f>
        <v>2131.7799999999997</v>
      </c>
      <c r="F19" s="2995">
        <f>'数据-基础表'!I5</f>
        <v>2131.7799999999997</v>
      </c>
      <c r="G19" s="2996"/>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534.12</v>
      </c>
      <c r="S19" s="1157">
        <f t="shared" si="5"/>
        <v>2131.7799999999997</v>
      </c>
    </row>
    <row r="20" spans="1:19">
      <c r="A20" s="1825"/>
      <c r="B20" s="50" t="s">
        <v>1779</v>
      </c>
      <c r="C20" s="3224" t="s">
        <v>3174</v>
      </c>
      <c r="D20" s="48">
        <f t="shared" ref="D20:D26" si="6">ROUND($D$3*E20/$E$3,2)</f>
        <v>7888.71</v>
      </c>
      <c r="E20" s="56">
        <f t="shared" si="1"/>
        <v>31485.47</v>
      </c>
      <c r="F20" s="2995">
        <f>'数据-基础表'!K5</f>
        <v>31485.47</v>
      </c>
      <c r="G20" s="2996"/>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7888.71</v>
      </c>
      <c r="S20" s="1157">
        <f t="shared" si="5"/>
        <v>31485.47</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8422.83</v>
      </c>
      <c r="E27" s="1274">
        <f>IF(SUM(E19:E26)='数据-基础表'!BA5,SUM(E19:E26),IF(F27="地上面积有误","面积有误","地下面积有误"))</f>
        <v>33617.25</v>
      </c>
      <c r="F27" s="1273">
        <f>IF(SUM(F19:F26)=E8,SUM(F19:F26),"地上面积有误")</f>
        <v>33617.25</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8422.83</v>
      </c>
      <c r="S27" s="1156">
        <f>IF(SUM(S19:S26)=$E$3,SUM(S19:S26),SUM(S19:S26)&amp;"误差"&amp;ROUND(SUM(S19:S26)-E3,2))</f>
        <v>33617.25</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8422.83</v>
      </c>
      <c r="E31" s="684">
        <f>E27+E30</f>
        <v>33617.25</v>
      </c>
      <c r="F31" s="685">
        <f>F27+F30</f>
        <v>33617.25</v>
      </c>
      <c r="G31" s="686">
        <f>G27+G30</f>
        <v>0</v>
      </c>
      <c r="H31" s="2855"/>
      <c r="I31" s="2855"/>
      <c r="J31" s="2855"/>
      <c r="K31" s="2855"/>
      <c r="L31" s="2855"/>
      <c r="M31" s="2855"/>
      <c r="N31" s="2855"/>
      <c r="O31" s="2855"/>
      <c r="P31" s="2855"/>
    </row>
    <row r="32" spans="1:19">
      <c r="A32" s="1797"/>
      <c r="B32" s="1797" t="s">
        <v>1785</v>
      </c>
      <c r="C32" s="1797"/>
      <c r="D32" s="1797"/>
      <c r="E32" s="1183">
        <f>SUMIF(C19:C26,"*住宅*",E19:E26)</f>
        <v>31485.47</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C57" sqref="C5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1" width="14.375" style="1755" customWidth="1"/>
    <col min="12" max="12" width="14"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5">
        <f>项目基本情况!D3</f>
        <v>44575</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6" t="s">
        <v>1814</v>
      </c>
      <c r="V5" s="1177" t="s">
        <v>1815</v>
      </c>
      <c r="W5" s="1177" t="s">
        <v>1816</v>
      </c>
      <c r="X5" s="67"/>
      <c r="Y5" s="66" t="s">
        <v>1817</v>
      </c>
      <c r="Z5" s="1864" t="s">
        <v>1814</v>
      </c>
      <c r="AA5" s="1177" t="s">
        <v>1815</v>
      </c>
      <c r="AB5" s="1177" t="s">
        <v>1816</v>
      </c>
      <c r="AC5" s="67"/>
      <c r="AD5" s="67" t="s">
        <v>1817</v>
      </c>
      <c r="AE5" s="1176" t="s">
        <v>1818</v>
      </c>
      <c r="AF5" s="1177" t="s">
        <v>1819</v>
      </c>
      <c r="AG5" s="66" t="s">
        <v>1820</v>
      </c>
      <c r="AH5" s="1176" t="s">
        <v>1821</v>
      </c>
      <c r="AI5" s="1864" t="s">
        <v>1822</v>
      </c>
      <c r="AJ5" s="1864" t="s">
        <v>1823</v>
      </c>
      <c r="AK5" s="1177" t="s">
        <v>1824</v>
      </c>
      <c r="AL5" s="1177" t="s">
        <v>1825</v>
      </c>
      <c r="AM5" s="66" t="s">
        <v>1826</v>
      </c>
      <c r="AN5" s="1865" t="s">
        <v>1827</v>
      </c>
      <c r="AO5" s="1716" t="s">
        <v>1828</v>
      </c>
      <c r="AP5" s="1158" t="s">
        <v>1829</v>
      </c>
      <c r="AQ5" s="1866" t="s">
        <v>1830</v>
      </c>
      <c r="AR5" s="1866" t="s">
        <v>1831</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v>
      </c>
      <c r="B6" s="1868" t="str">
        <f>IF(A6=0,"","经营性")</f>
        <v>经营性</v>
      </c>
      <c r="C6" s="1869" t="s">
        <v>1283</v>
      </c>
      <c r="D6" s="966">
        <f>SUMIF(项目基本情况!D$12:I$12,C6,项目基本情况!D$14:I$14)</f>
        <v>40</v>
      </c>
      <c r="E6" s="965">
        <f>IF(B6="","",SUMIF(项目基本情况!D$12:I$12,C6,项目基本情况!D$13:I$13))</f>
        <v>58792</v>
      </c>
      <c r="F6" s="68">
        <f>SUMIF(项目基本情况!D$12:I$12,C6,项目基本情况!D$15:I$15)</f>
        <v>38.950000000000003</v>
      </c>
      <c r="G6" s="69">
        <f>IF(ISERROR(ROUND(POWER(1+H6,D6-F6)*(POWER(1+H6,F6)-1)/(POWER(1+H6,D6)-1),3)),0,ROUND(POWER(1+H6,D6-F6)*(POWER(1+H6,F6)-1)/(POWER(1+H6,D6)-1),3))</f>
        <v>0.99099999999999999</v>
      </c>
      <c r="H6" s="3617">
        <v>0.05</v>
      </c>
      <c r="I6" s="3617">
        <v>5.5E-2</v>
      </c>
      <c r="J6" s="70">
        <v>7.0000000000000007E-2</v>
      </c>
      <c r="K6" s="1160">
        <f>SUMIF('数据-汇总表'!C$19:C$33,A6,'数据-汇总表'!E$19:E$33)</f>
        <v>2131.7799999999997</v>
      </c>
      <c r="L6" s="3616">
        <v>6000</v>
      </c>
      <c r="M6" s="71">
        <f t="shared" ref="M6:M14" si="0">ROUND(K6*L6/10000,0)</f>
        <v>1279</v>
      </c>
      <c r="N6" s="739">
        <f>面积明细更新!L37</f>
        <v>0.36</v>
      </c>
      <c r="O6" s="71">
        <f>IF($N$5="成新度","——",ROUND(M6*N6,0))</f>
        <v>460</v>
      </c>
      <c r="P6" s="72">
        <f>IF($N$5="成新度","——",M6-O6)</f>
        <v>819</v>
      </c>
      <c r="Q6" s="3618">
        <v>0.1</v>
      </c>
      <c r="R6" s="73">
        <f ca="1">SUMIF('数据-汇总表'!C$19:C$33,A6,'数据-汇总表'!R$19:R$27)</f>
        <v>534.12</v>
      </c>
      <c r="S6" s="54">
        <f>IF('数据-汇总表'!$I$17="按面积比例",SUMIF('数据-汇总表'!C$19:C$33,A6,'数据-汇总表'!K$19:K$33),SUMIF('数据-汇总表'!C$19:C$33,A6,'数据-汇总表'!N$19:N$33))</f>
        <v>0</v>
      </c>
      <c r="T6" s="1305">
        <f>ROUND($L$14*S6/10000,0)</f>
        <v>0</v>
      </c>
      <c r="U6" s="74">
        <v>8.5</v>
      </c>
      <c r="V6" s="75">
        <v>0.03</v>
      </c>
      <c r="W6" s="75">
        <v>0.1</v>
      </c>
      <c r="X6" s="1170"/>
      <c r="Y6" s="76">
        <v>1</v>
      </c>
      <c r="Z6" s="77"/>
      <c r="AA6" s="70"/>
      <c r="AB6" s="70"/>
      <c r="AC6" s="1170"/>
      <c r="AD6" s="78">
        <f>Y6</f>
        <v>1</v>
      </c>
      <c r="AE6" s="1171">
        <f ca="1">IF(AN6="",0,SUMIF(INDIRECT("'"&amp;AN6&amp;"'"&amp;"!E:E"),$AE$5,INDIRECT("'"&amp;AN6&amp;"'"&amp;"!F:F")))</f>
        <v>37.450000000000003</v>
      </c>
      <c r="AF6" s="1501"/>
      <c r="AG6" s="142">
        <f>IF(AF6="",0,AE6-AF6)</f>
        <v>0</v>
      </c>
      <c r="AH6" s="79"/>
      <c r="AI6" s="81">
        <v>365</v>
      </c>
      <c r="AJ6" s="82"/>
      <c r="AK6" s="83">
        <v>1.4999999999999999E-2</v>
      </c>
      <c r="AL6" s="84">
        <v>1.5E-3</v>
      </c>
      <c r="AM6" s="85">
        <v>0.01</v>
      </c>
      <c r="AN6" s="1870" t="s">
        <v>3175</v>
      </c>
      <c r="AO6" s="55">
        <f ca="1">SUMIF(INDIRECT("'"&amp;AN6&amp;"'"&amp;"!A:A"),"总价",INDIRECT("'"&amp;AN6&amp;"'"&amp;"!B:B"))</f>
        <v>10929</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住宅</v>
      </c>
      <c r="B7" s="1868" t="str">
        <f t="shared" ref="B7:B13" si="1">IF(A7=0,"","经营性")</f>
        <v>经营性</v>
      </c>
      <c r="C7" s="1869" t="s">
        <v>3137</v>
      </c>
      <c r="D7" s="966">
        <f>SUMIF(项目基本情况!D$12:I$12,C7,项目基本情况!D$14:I$14)</f>
        <v>70</v>
      </c>
      <c r="E7" s="965">
        <f>IF(B7="","",SUMIF(项目基本情况!D$12:I$12,C7,项目基本情况!D$13:I$13))</f>
        <v>69749</v>
      </c>
      <c r="F7" s="68">
        <f>SUMIF(项目基本情况!D$12:I$12,C7,项目基本情况!D$15:I$15)</f>
        <v>68.959999999999994</v>
      </c>
      <c r="G7" s="69">
        <f t="shared" ref="G7:G11" si="2">IF(ISERROR(ROUND(POWER(1+H7,D7-F7)*(POWER(1+H7,F7)-1)/(POWER(1+H7,D7)-1),3)),0,ROUND(POWER(1+H7,D7-F7)*(POWER(1+H7,F7)-1)/(POWER(1+H7,D7)-1),3))</f>
        <v>0.999</v>
      </c>
      <c r="H7" s="3617">
        <v>5.5E-2</v>
      </c>
      <c r="I7" s="3617">
        <v>0.06</v>
      </c>
      <c r="J7" s="70">
        <v>7.0000000000000007E-2</v>
      </c>
      <c r="K7" s="1160">
        <f>SUMIF('数据-汇总表'!C$19:C$33,A7,'数据-汇总表'!E$19:E$33)</f>
        <v>31485.47</v>
      </c>
      <c r="L7" s="3616">
        <v>3000</v>
      </c>
      <c r="M7" s="71">
        <f t="shared" si="0"/>
        <v>9446</v>
      </c>
      <c r="N7" s="739">
        <f>N6</f>
        <v>0.36</v>
      </c>
      <c r="O7" s="71">
        <f t="shared" ref="O7:O14" si="3">IF($N$5="成新度","——",ROUND(M7*N7,0))</f>
        <v>3401</v>
      </c>
      <c r="P7" s="72">
        <f t="shared" ref="P7:P14" si="4">IF($N$5="成新度","——",M7-O7)</f>
        <v>6045</v>
      </c>
      <c r="Q7" s="3618">
        <v>0.15</v>
      </c>
      <c r="R7" s="73">
        <f ca="1">SUMIF('数据-汇总表'!C$19:C$33,A7,'数据-汇总表'!R$19:R$27)</f>
        <v>7888.71</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2">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94456410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1"/>
      <c r="AG8" s="142">
        <f t="shared" si="7"/>
        <v>0</v>
      </c>
      <c r="AH8" s="746"/>
      <c r="AI8" s="81"/>
      <c r="AJ8" s="82"/>
      <c r="AK8" s="747"/>
      <c r="AL8" s="748"/>
      <c r="AM8" s="749"/>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2">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2">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2">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2">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2">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1832</v>
      </c>
      <c r="B14" s="1868" t="s">
        <v>1833</v>
      </c>
      <c r="C14" s="1873" t="s">
        <v>1832</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05"/>
      <c r="U14" s="678"/>
      <c r="V14" s="1165"/>
      <c r="W14" s="1165"/>
      <c r="X14" s="1166"/>
      <c r="Y14" s="1167"/>
      <c r="Z14" s="1168"/>
      <c r="AA14" s="1169"/>
      <c r="AB14" s="1169"/>
      <c r="AC14" s="1170"/>
      <c r="AD14" s="1166"/>
      <c r="AE14" s="1171"/>
      <c r="AF14" s="55"/>
      <c r="AG14" s="142"/>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1834</v>
      </c>
      <c r="B15" s="1868" t="s">
        <v>1833</v>
      </c>
      <c r="C15" s="1873" t="s">
        <v>1835</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1836</v>
      </c>
      <c r="B16" s="93"/>
      <c r="C16" s="941"/>
      <c r="D16" s="1875"/>
      <c r="E16" s="93"/>
      <c r="F16" s="93"/>
      <c r="G16" s="94">
        <f>ROUND(SUMPRODUCT(G6:G13,K6:K13)/SUMPRODUCT((G6:G13&gt;0)*(K6:K13)),3)</f>
        <v>0.998</v>
      </c>
      <c r="H16" s="95">
        <f>ROUND(SUMPRODUCT(H6:H13,K6:K13)/SUMPRODUCT((H6:H13&gt;0)*(K6:K13)),3)</f>
        <v>5.5E-2</v>
      </c>
      <c r="I16" s="96"/>
      <c r="J16" s="96"/>
      <c r="K16" s="97">
        <f>SUM(K6:K15)</f>
        <v>33617.25</v>
      </c>
      <c r="L16" s="98">
        <f>ROUND(M16*10000/SUM(K6:K14),0)</f>
        <v>3190</v>
      </c>
      <c r="M16" s="98">
        <f>SUM(M6:M14)</f>
        <v>10725</v>
      </c>
      <c r="N16" s="99">
        <f>ROUND(SUMPRODUCT(M6:M14,N6:N14)/M16,3)</f>
        <v>0.36</v>
      </c>
      <c r="O16" s="98">
        <f>SUM(O6:O14)</f>
        <v>3861</v>
      </c>
      <c r="P16" s="98">
        <f>SUM(P6:P14)</f>
        <v>6864</v>
      </c>
      <c r="Q16" s="100">
        <f>ROUND(SUMPRODUCT(Q6:Q13,K6:K13)/SUMPRODUCT((Q6:Q13&gt;0)*(K6:K13)),2)</f>
        <v>0.15</v>
      </c>
      <c r="R16" s="1164">
        <f ca="1">SUM(R6:R13)</f>
        <v>8422.83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3234" t="s">
        <v>3260</v>
      </c>
      <c r="M17" s="2869"/>
      <c r="N17" s="3236"/>
      <c r="O17" s="2869"/>
      <c r="P17" s="2869"/>
      <c r="Q17" s="2869"/>
      <c r="R17" s="2869"/>
      <c r="S17" s="2869"/>
      <c r="T17" s="2869"/>
      <c r="U17" s="3239" t="s">
        <v>3227</v>
      </c>
      <c r="V17" s="2869">
        <v>8</v>
      </c>
      <c r="W17" s="2869" t="s">
        <v>3229</v>
      </c>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2871"/>
      <c r="K18" s="2870"/>
      <c r="L18" s="3234"/>
      <c r="M18" s="2869"/>
      <c r="N18" s="3236"/>
      <c r="O18" s="2869"/>
      <c r="P18" s="2869"/>
      <c r="Q18" s="2869"/>
      <c r="R18" s="2869"/>
      <c r="S18" s="2869"/>
      <c r="T18" s="2869"/>
      <c r="U18" s="3239" t="s">
        <v>3228</v>
      </c>
      <c r="V18" s="2869">
        <v>10</v>
      </c>
      <c r="W18" s="2869" t="s">
        <v>3229</v>
      </c>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1838</v>
      </c>
      <c r="B19" s="108">
        <v>0</v>
      </c>
      <c r="C19" s="2999" t="s">
        <v>2990</v>
      </c>
      <c r="D19" s="2874"/>
      <c r="E19" s="2871"/>
      <c r="F19" s="2871"/>
      <c r="G19" s="2871"/>
      <c r="H19" s="2871"/>
      <c r="I19" s="2871"/>
      <c r="J19" s="2871"/>
      <c r="K19" s="3234"/>
      <c r="L19" s="3234"/>
      <c r="M19" s="2869"/>
      <c r="N19" s="3237"/>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1839</v>
      </c>
      <c r="B20" s="109">
        <v>2</v>
      </c>
      <c r="C20" s="3000" t="s">
        <v>2988</v>
      </c>
      <c r="D20" s="2874"/>
      <c r="E20" s="2871"/>
      <c r="F20" s="2871"/>
      <c r="G20" s="2871"/>
      <c r="H20" s="2871"/>
      <c r="I20" s="2871"/>
      <c r="J20" s="2871"/>
      <c r="K20" s="3235"/>
      <c r="L20" s="3235"/>
      <c r="M20" s="3235"/>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1840</v>
      </c>
      <c r="B21" s="109">
        <v>0.5</v>
      </c>
      <c r="C21" s="2871"/>
      <c r="D21" s="2874"/>
      <c r="E21" s="2871"/>
      <c r="F21" s="2871"/>
      <c r="G21" s="2871"/>
      <c r="H21" s="2871"/>
      <c r="I21" s="2871"/>
      <c r="J21" s="2871"/>
      <c r="K21" s="3235"/>
      <c r="L21" s="3235"/>
      <c r="M21" s="3235"/>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1841</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0.5</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1.5</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v>160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1848</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1849</v>
      </c>
      <c r="B29" s="3619">
        <f ca="1">成本法!C9+成本法!C10</f>
        <v>547</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1850</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1852</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1853</v>
      </c>
      <c r="B33" s="681">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1854</v>
      </c>
      <c r="B34" s="117">
        <v>0.05</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1855</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1856</v>
      </c>
      <c r="B36" s="118">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19">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7">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3176</v>
      </c>
      <c r="B40" s="1209">
        <f ca="1">IF(A40="利息：取LPR",存贷款利率!G1,存贷款利率!G1+C40)</f>
        <v>4.2999999999999997E-2</v>
      </c>
      <c r="C40" s="3014">
        <v>4.4999999999999997E-3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0">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1">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2">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3">
        <v>7.0000000000000007E-2</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1">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1">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4"/>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5">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1">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6">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7">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8">
        <f>SUMIF(A54:A63,B53,B54:B63)</f>
        <v>12</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137</v>
      </c>
      <c r="C53" s="2857" t="s">
        <v>1873</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29"/>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43" t="s">
        <v>2971</v>
      </c>
      <c r="B1" s="3344"/>
      <c r="C1" s="3344"/>
      <c r="D1" s="3344"/>
      <c r="E1" s="3344"/>
      <c r="F1" s="3344"/>
      <c r="G1" s="334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6"/>
      <c r="I2" s="906"/>
      <c r="J2" s="906"/>
      <c r="K2" s="906"/>
      <c r="L2" s="906"/>
      <c r="M2" s="906"/>
      <c r="N2" s="906"/>
      <c r="O2" s="906"/>
      <c r="P2" s="906"/>
      <c r="Q2" s="906"/>
      <c r="R2" s="906"/>
    </row>
    <row r="3" spans="1:29" ht="48">
      <c r="A3" s="2636" t="s">
        <v>2968</v>
      </c>
      <c r="B3" s="2658" t="s">
        <v>2937</v>
      </c>
      <c r="C3" s="2659" t="s">
        <v>2969</v>
      </c>
      <c r="D3" s="2660"/>
      <c r="E3" s="2637" t="s">
        <v>2968</v>
      </c>
      <c r="F3" s="2661" t="s">
        <v>2938</v>
      </c>
      <c r="G3" s="2662" t="s">
        <v>2970</v>
      </c>
      <c r="H3" s="906"/>
      <c r="I3" s="906"/>
      <c r="J3" s="906"/>
      <c r="K3" s="906"/>
      <c r="L3" s="906"/>
      <c r="M3" s="906"/>
      <c r="N3" s="906"/>
      <c r="O3" s="906"/>
      <c r="P3" s="906"/>
      <c r="Q3" s="906"/>
      <c r="R3" s="906"/>
    </row>
    <row r="4" spans="1:29" ht="36.75">
      <c r="A4" s="2637"/>
      <c r="B4" s="328" t="s">
        <v>2939</v>
      </c>
      <c r="C4" s="2663" t="s">
        <v>2940</v>
      </c>
      <c r="D4" s="2660"/>
      <c r="E4" s="2664"/>
      <c r="F4" s="1526" t="s">
        <v>2941</v>
      </c>
      <c r="G4" s="2665" t="s">
        <v>2942</v>
      </c>
      <c r="H4" s="906"/>
      <c r="I4" s="906"/>
      <c r="J4" s="906"/>
      <c r="K4" s="906"/>
      <c r="L4" s="906"/>
      <c r="M4" s="906"/>
      <c r="N4" s="906"/>
      <c r="O4" s="906"/>
      <c r="P4" s="906"/>
      <c r="Q4" s="906"/>
      <c r="R4" s="906"/>
    </row>
    <row r="5" spans="1:29" ht="36.75">
      <c r="A5" s="2637"/>
      <c r="B5" s="328" t="s">
        <v>2943</v>
      </c>
      <c r="C5" s="2663" t="s">
        <v>2944</v>
      </c>
      <c r="D5" s="2660"/>
      <c r="E5" s="2664"/>
      <c r="F5" s="328" t="s">
        <v>2945</v>
      </c>
      <c r="G5" s="2665" t="s">
        <v>2946</v>
      </c>
      <c r="H5" s="906"/>
      <c r="I5" s="906"/>
      <c r="J5" s="906"/>
      <c r="K5" s="906"/>
      <c r="L5" s="906"/>
      <c r="M5" s="906"/>
      <c r="N5" s="906"/>
      <c r="O5" s="906"/>
      <c r="P5" s="906"/>
      <c r="Q5" s="906"/>
      <c r="R5" s="906"/>
    </row>
    <row r="6" spans="1:29" ht="36">
      <c r="A6" s="2637"/>
      <c r="B6" s="328" t="s">
        <v>2947</v>
      </c>
      <c r="C6" s="2665" t="s">
        <v>2942</v>
      </c>
      <c r="D6" s="2660"/>
      <c r="E6" s="2664"/>
      <c r="F6" s="328" t="s">
        <v>2948</v>
      </c>
      <c r="G6" s="2665" t="s">
        <v>2949</v>
      </c>
      <c r="H6" s="906"/>
      <c r="I6" s="906"/>
      <c r="J6" s="906"/>
      <c r="K6" s="906"/>
      <c r="L6" s="906"/>
      <c r="M6" s="906"/>
      <c r="N6" s="906"/>
      <c r="O6" s="906"/>
      <c r="P6" s="906"/>
      <c r="Q6" s="906"/>
      <c r="R6" s="906"/>
    </row>
    <row r="7" spans="1:29" ht="24.75" thickBot="1">
      <c r="A7" s="2637"/>
      <c r="B7" s="328" t="s">
        <v>2945</v>
      </c>
      <c r="C7" s="2665" t="s">
        <v>2946</v>
      </c>
      <c r="D7" s="2666"/>
      <c r="E7" s="2667"/>
      <c r="F7" s="2668" t="s">
        <v>2950</v>
      </c>
      <c r="G7" s="2669" t="s">
        <v>2951</v>
      </c>
      <c r="H7" s="906"/>
      <c r="I7" s="906"/>
      <c r="J7" s="906"/>
      <c r="K7" s="906"/>
      <c r="L7" s="906"/>
      <c r="M7" s="906"/>
      <c r="N7" s="906"/>
      <c r="O7" s="906"/>
      <c r="P7" s="906"/>
      <c r="Q7" s="906"/>
      <c r="R7" s="906"/>
    </row>
    <row r="8" spans="1:29">
      <c r="A8" s="2637"/>
      <c r="B8" s="328" t="s">
        <v>2948</v>
      </c>
      <c r="C8" s="2665" t="s">
        <v>2949</v>
      </c>
      <c r="D8" s="2666"/>
      <c r="E8" s="2666"/>
      <c r="F8" s="2670"/>
      <c r="G8" s="2670"/>
      <c r="H8" s="906"/>
      <c r="I8" s="906"/>
      <c r="J8" s="906"/>
      <c r="K8" s="906"/>
      <c r="L8" s="906"/>
      <c r="M8" s="906"/>
      <c r="N8" s="906"/>
      <c r="O8" s="906"/>
      <c r="P8" s="906"/>
      <c r="Q8" s="906"/>
      <c r="R8" s="906"/>
    </row>
    <row r="9" spans="1:29" ht="24">
      <c r="A9" s="2637"/>
      <c r="B9" s="328" t="s">
        <v>2952</v>
      </c>
      <c r="C9" s="2663" t="s">
        <v>2953</v>
      </c>
      <c r="D9" s="2660"/>
      <c r="E9" s="2666"/>
      <c r="F9" s="2670"/>
      <c r="G9" s="2670"/>
      <c r="H9" s="906"/>
      <c r="I9" s="906"/>
      <c r="J9" s="906"/>
      <c r="K9" s="906"/>
      <c r="L9" s="906"/>
      <c r="M9" s="906"/>
      <c r="N9" s="906"/>
      <c r="O9" s="906"/>
      <c r="P9" s="906"/>
      <c r="Q9" s="906"/>
      <c r="R9" s="906"/>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8"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8" t="s">
        <v>2948</v>
      </c>
      <c r="G20" s="2698" t="str">
        <f>G6</f>
        <v>估价对象所在区域基础设施水平</v>
      </c>
    </row>
    <row r="21" spans="1:18" ht="25.5">
      <c r="A21" s="2641"/>
      <c r="B21" s="328" t="s">
        <v>2945</v>
      </c>
      <c r="C21" s="2698" t="str">
        <f>C7</f>
        <v>估价对象所在区域公共配套设施齐备情况</v>
      </c>
      <c r="D21" s="2660"/>
      <c r="E21" s="2642"/>
      <c r="F21" s="2697" t="s">
        <v>2963</v>
      </c>
      <c r="G21" s="2700"/>
    </row>
    <row r="22" spans="1:18" ht="13.5" customHeight="1">
      <c r="A22" s="2641"/>
      <c r="B22" s="328" t="s">
        <v>2948</v>
      </c>
      <c r="C22" s="2698" t="str">
        <f>C8</f>
        <v>估价对象所在区域基础设施水平</v>
      </c>
      <c r="D22" s="2660"/>
      <c r="E22" s="2642"/>
      <c r="F22" s="2697" t="s">
        <v>2954</v>
      </c>
      <c r="G22" s="2699"/>
    </row>
    <row r="23" spans="1:18" s="906"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6"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33617.25</v>
      </c>
      <c r="C1" s="2884"/>
      <c r="D1" s="2884"/>
      <c r="E1" s="2884"/>
      <c r="F1" s="2884"/>
      <c r="G1" s="2885"/>
      <c r="H1" s="2886"/>
      <c r="I1" s="2886"/>
      <c r="J1" s="2886"/>
      <c r="K1" s="2886"/>
    </row>
    <row r="2" spans="1:11" ht="16.5">
      <c r="A2" s="2707" t="s">
        <v>1259</v>
      </c>
      <c r="B2" s="2707">
        <f>SUM(C14:C23)</f>
        <v>8422.83</v>
      </c>
      <c r="C2" s="2884"/>
      <c r="D2" s="2884"/>
      <c r="E2" s="2884"/>
      <c r="F2" s="2884"/>
      <c r="G2" s="2885"/>
      <c r="H2" s="2886"/>
      <c r="I2" s="2886"/>
      <c r="J2" s="2886"/>
      <c r="K2" s="2886"/>
    </row>
    <row r="3" spans="1:11" ht="16.5">
      <c r="A3" s="2707" t="s">
        <v>1268</v>
      </c>
      <c r="B3" s="2709">
        <f>项目基本情况!D3</f>
        <v>44575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301201</v>
      </c>
      <c r="C5" s="2707">
        <f ca="1">ROUND(B5*10000/$B$1,0)</f>
        <v>89597</v>
      </c>
      <c r="D5" s="2707">
        <f ca="1">ROUND(B5*10000/$B$2,0)</f>
        <v>357601</v>
      </c>
      <c r="E5" s="2884"/>
      <c r="F5" s="2885"/>
      <c r="G5" s="2885"/>
      <c r="H5" s="2886"/>
      <c r="I5" s="2886"/>
      <c r="J5" s="2886"/>
      <c r="K5" s="2886"/>
    </row>
    <row r="6" spans="1:11" ht="16.5">
      <c r="A6" s="2707" t="s">
        <v>1262</v>
      </c>
      <c r="B6" s="2707">
        <f ca="1">SUM(G14:G23)</f>
        <v>301201</v>
      </c>
      <c r="C6" s="2707">
        <f ca="1">ROUND(B6*10000/$B$1,0)</f>
        <v>89597</v>
      </c>
      <c r="D6" s="2707">
        <f ca="1">ROUND(B6*10000/$B$2,0)</f>
        <v>357601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33617.25</v>
      </c>
      <c r="C14" s="2713">
        <f>结果表!C118</f>
        <v>8422.83</v>
      </c>
      <c r="D14" s="2713">
        <f ca="1">结果表!G19</f>
        <v>301201</v>
      </c>
      <c r="E14" s="2713">
        <f ca="1">ROUND(D14*10000/B14,0)</f>
        <v>89597</v>
      </c>
      <c r="F14" s="2713">
        <f ca="1">ROUND(D14*10000/C14,0)</f>
        <v>357601</v>
      </c>
      <c r="G14" s="2713">
        <f ca="1">D14</f>
        <v>301201</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F23" sqref="F23"/>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1889</v>
      </c>
      <c r="B1" s="1902"/>
      <c r="C1" s="1903"/>
      <c r="D1" s="1902"/>
      <c r="E1" s="1902"/>
      <c r="F1" s="1904" t="s">
        <v>1890</v>
      </c>
      <c r="G1" s="1715" t="s">
        <v>3135</v>
      </c>
      <c r="H1" s="1905" t="str">
        <f>IF(G1="现房","——","估价对象范围")</f>
        <v>估价对象范围</v>
      </c>
      <c r="I1" s="1906" t="s">
        <v>3208</v>
      </c>
    </row>
    <row r="2" spans="1:12" ht="21.75" customHeight="1" thickBot="1">
      <c r="A2" s="3415" t="str">
        <f>项目基本情况!S2</f>
        <v>北京市出让国有建设用地使用权及在建建筑物房地产</v>
      </c>
      <c r="B2" s="3416"/>
      <c r="C2" s="3416"/>
      <c r="D2" s="3416"/>
      <c r="E2" s="3416"/>
      <c r="F2" s="3416"/>
      <c r="G2" s="3416"/>
      <c r="H2" s="3416"/>
      <c r="I2" s="3417"/>
    </row>
    <row r="3" spans="1:12" ht="12.75">
      <c r="A3" s="3419" t="s">
        <v>1891</v>
      </c>
      <c r="B3" s="3420"/>
      <c r="C3" s="3420"/>
      <c r="D3" s="3420"/>
      <c r="E3" s="3420"/>
      <c r="F3" s="3420"/>
      <c r="G3" s="3420"/>
      <c r="H3" s="3420"/>
      <c r="I3" s="3420"/>
    </row>
    <row r="4" spans="1:12" ht="14.25">
      <c r="A4" s="1909" t="s">
        <v>1892</v>
      </c>
      <c r="B4" s="1910" t="s">
        <v>1893</v>
      </c>
      <c r="C4" s="1911" t="s">
        <v>3207</v>
      </c>
      <c r="D4" s="1911" t="s">
        <v>3209</v>
      </c>
      <c r="E4" s="3424" t="s">
        <v>1894</v>
      </c>
      <c r="F4" s="3425"/>
      <c r="G4" s="3425"/>
      <c r="H4" s="3425"/>
      <c r="I4" s="342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60" t="s">
        <v>1895</v>
      </c>
      <c r="B5" s="3418">
        <v>25</v>
      </c>
      <c r="C5" s="3421"/>
      <c r="D5" s="3409"/>
      <c r="E5" s="135" t="s">
        <v>1896</v>
      </c>
      <c r="F5" s="1912"/>
      <c r="G5" s="1912"/>
      <c r="H5" s="1912"/>
      <c r="I5" s="1526"/>
    </row>
    <row r="6" spans="1:12" ht="12.75">
      <c r="A6" s="3360"/>
      <c r="B6" s="3418"/>
      <c r="C6" s="3423"/>
      <c r="D6" s="3409"/>
      <c r="E6" s="135" t="s">
        <v>1897</v>
      </c>
      <c r="F6" s="1912"/>
      <c r="G6" s="1912"/>
      <c r="H6" s="1912"/>
      <c r="I6" s="1526"/>
    </row>
    <row r="7" spans="1:12" ht="12.75">
      <c r="A7" s="3360"/>
      <c r="B7" s="3418"/>
      <c r="C7" s="3422"/>
      <c r="D7" s="3409"/>
      <c r="E7" s="135" t="s">
        <v>1898</v>
      </c>
      <c r="F7" s="1912"/>
      <c r="G7" s="1912"/>
      <c r="H7" s="1912"/>
      <c r="I7" s="1526"/>
    </row>
    <row r="8" spans="1:12" ht="12.75">
      <c r="A8" s="3360" t="s">
        <v>1899</v>
      </c>
      <c r="B8" s="3418">
        <v>15</v>
      </c>
      <c r="C8" s="3421"/>
      <c r="D8" s="3409"/>
      <c r="E8" s="135" t="s">
        <v>1900</v>
      </c>
      <c r="F8" s="1912"/>
      <c r="G8" s="1912"/>
      <c r="H8" s="1912"/>
      <c r="I8" s="1526"/>
    </row>
    <row r="9" spans="1:12" ht="12.75">
      <c r="A9" s="3360"/>
      <c r="B9" s="3418"/>
      <c r="C9" s="3422"/>
      <c r="D9" s="3409"/>
      <c r="E9" s="135" t="s">
        <v>1901</v>
      </c>
      <c r="F9" s="1912"/>
      <c r="G9" s="1912"/>
      <c r="H9" s="1912"/>
      <c r="I9" s="1526"/>
    </row>
    <row r="10" spans="1:12" ht="12.75">
      <c r="A10" s="3360" t="s">
        <v>1902</v>
      </c>
      <c r="B10" s="3418">
        <v>15</v>
      </c>
      <c r="C10" s="3421"/>
      <c r="D10" s="3409"/>
      <c r="E10" s="135" t="s">
        <v>1903</v>
      </c>
      <c r="F10" s="1912"/>
      <c r="G10" s="1912"/>
      <c r="H10" s="1912"/>
      <c r="I10" s="1526"/>
    </row>
    <row r="11" spans="1:12" ht="12.75">
      <c r="A11" s="3360"/>
      <c r="B11" s="3418"/>
      <c r="C11" s="3422"/>
      <c r="D11" s="3409"/>
      <c r="E11" s="135" t="s">
        <v>1904</v>
      </c>
      <c r="F11" s="1912"/>
      <c r="G11" s="1912"/>
      <c r="H11" s="1912"/>
      <c r="I11" s="1526"/>
    </row>
    <row r="12" spans="1:12" ht="12.75">
      <c r="A12" s="3360" t="s">
        <v>1905</v>
      </c>
      <c r="B12" s="3418">
        <v>15</v>
      </c>
      <c r="C12" s="3421"/>
      <c r="D12" s="3409"/>
      <c r="E12" s="135" t="s">
        <v>1906</v>
      </c>
      <c r="F12" s="1912"/>
      <c r="G12" s="1912"/>
      <c r="H12" s="1912"/>
      <c r="I12" s="1526"/>
    </row>
    <row r="13" spans="1:12" ht="12.75">
      <c r="A13" s="3360"/>
      <c r="B13" s="3418"/>
      <c r="C13" s="3422"/>
      <c r="D13" s="3409"/>
      <c r="E13" s="135" t="s">
        <v>1907</v>
      </c>
      <c r="F13" s="1912"/>
      <c r="G13" s="1912"/>
      <c r="H13" s="1912"/>
      <c r="I13" s="1526"/>
    </row>
    <row r="14" spans="1:12" ht="12.75">
      <c r="A14" s="3360" t="s">
        <v>1908</v>
      </c>
      <c r="B14" s="3418">
        <v>30</v>
      </c>
      <c r="C14" s="3421">
        <v>5</v>
      </c>
      <c r="D14" s="3409">
        <v>5</v>
      </c>
      <c r="E14" s="135" t="s">
        <v>1909</v>
      </c>
      <c r="F14" s="1912"/>
      <c r="G14" s="1912"/>
      <c r="H14" s="1912"/>
      <c r="I14" s="1526"/>
    </row>
    <row r="15" spans="1:12" ht="12.75">
      <c r="A15" s="3360"/>
      <c r="B15" s="3418"/>
      <c r="C15" s="3423"/>
      <c r="D15" s="3409"/>
      <c r="E15" s="135" t="s">
        <v>1910</v>
      </c>
      <c r="F15" s="1912"/>
      <c r="G15" s="1912"/>
      <c r="H15" s="1912"/>
      <c r="I15" s="1526"/>
    </row>
    <row r="16" spans="1:12" ht="12.75">
      <c r="A16" s="3360"/>
      <c r="B16" s="3418"/>
      <c r="C16" s="3422"/>
      <c r="D16" s="3409"/>
      <c r="E16" s="135" t="s">
        <v>1911</v>
      </c>
      <c r="F16" s="1912"/>
      <c r="G16" s="1912"/>
      <c r="H16" s="1912"/>
      <c r="I16" s="1526"/>
    </row>
    <row r="17" spans="1:36" ht="15">
      <c r="A17" s="1913" t="s">
        <v>1912</v>
      </c>
      <c r="B17" s="60"/>
      <c r="C17" s="136">
        <f>SUM(C5:C16)</f>
        <v>5</v>
      </c>
      <c r="D17" s="136">
        <f>SUM(D5:D16)</f>
        <v>5</v>
      </c>
      <c r="E17" s="133"/>
      <c r="F17" s="133"/>
      <c r="G17" s="133"/>
      <c r="H17" s="133"/>
      <c r="I17" s="133"/>
      <c r="K17" s="307"/>
      <c r="L17" s="307" t="s">
        <v>1913</v>
      </c>
      <c r="M17" s="307" t="s">
        <v>1914</v>
      </c>
    </row>
    <row r="18" spans="1:36" ht="31.9" customHeight="1" thickBot="1">
      <c r="A18" s="1914" t="s">
        <v>1915</v>
      </c>
      <c r="B18" s="1915"/>
      <c r="C18" s="137">
        <f>ROUND(C17/SUM(C17:D17),2)</f>
        <v>0.5</v>
      </c>
      <c r="D18" s="137">
        <f>1-C18</f>
        <v>0.5</v>
      </c>
      <c r="E18" s="3440" t="s">
        <v>2812</v>
      </c>
      <c r="F18" s="3441"/>
      <c r="G18" s="3441"/>
      <c r="H18" s="3441"/>
      <c r="I18" s="3441"/>
      <c r="K18" s="307" t="s">
        <v>1916</v>
      </c>
      <c r="L18" s="307">
        <f>IF(C1="",'数据-汇总表'!E3,SUMIF(项目类型,C1,'数据-汇总表'!E17:E26)+SUMIF(项目类型,C1,'数据-汇总表'!I17:I26))</f>
        <v>33617.25</v>
      </c>
      <c r="M18" s="307">
        <f>IF(C1="",'数据-汇总表'!E3,SUMIF(项目类型,C1,'数据-汇总表'!E17:E26))</f>
        <v>33617.25</v>
      </c>
    </row>
    <row r="19" spans="1:36" ht="15">
      <c r="A19" s="1916" t="s">
        <v>1917</v>
      </c>
      <c r="B19" s="1917" t="s">
        <v>1918</v>
      </c>
      <c r="C19" s="138">
        <f ca="1">SUMIF(INDIRECT("'"&amp;C4&amp;"'"&amp;"!A:A"),结果表!B19,INDIRECT("'"&amp;C4&amp;"'"&amp;"!B:B"))</f>
        <v>326759</v>
      </c>
      <c r="D19" s="139">
        <f ca="1">SUMIF(INDIRECT("'"&amp;D4&amp;"'"&amp;"!A:A"),结果表!B19,INDIRECT("'"&amp;D4&amp;"'"&amp;"!B:B"))</f>
        <v>275642</v>
      </c>
      <c r="E19" s="1916" t="s">
        <v>1919</v>
      </c>
      <c r="F19" s="1917" t="s">
        <v>1918</v>
      </c>
      <c r="G19" s="140">
        <f ca="1">ROUND(C19*$C$18+D19*$D$18,0)</f>
        <v>301201</v>
      </c>
      <c r="H19" s="1918" t="s">
        <v>1920</v>
      </c>
      <c r="I19" s="133"/>
      <c r="K19" s="307" t="s">
        <v>1921</v>
      </c>
      <c r="L19" s="307">
        <f>IF(C1="",'数据-汇总表'!D3,SUMIF(项目类型,C1,'数据-汇总表'!D17:D26)+SUMIF(项目类型,C1,'数据-汇总表'!H17:H27))</f>
        <v>8422.83</v>
      </c>
      <c r="M19" s="307">
        <f>IF(C1="",'数据-汇总表'!D3,SUMIF(项目类型,C1,'数据-汇总表'!D17:D26))</f>
        <v>8422.83</v>
      </c>
    </row>
    <row r="20" spans="1:36" ht="15">
      <c r="A20" s="1919"/>
      <c r="B20" s="1156" t="s">
        <v>1922</v>
      </c>
      <c r="C20" s="141">
        <f ca="1">SUMIF(INDIRECT("'"&amp;C4&amp;"'"&amp;"!A:A"),结果表!B20,INDIRECT("'"&amp;C4&amp;"'"&amp;"!B:B"))</f>
        <v>97200</v>
      </c>
      <c r="D20" s="142">
        <f ca="1">SUMIF(INDIRECT("'"&amp;D4&amp;"'"&amp;"!A:A"),结果表!B20,INDIRECT("'"&amp;D4&amp;"'"&amp;"!B:B"))</f>
        <v>81994</v>
      </c>
      <c r="E20" s="1919"/>
      <c r="F20" s="1156" t="s">
        <v>1922</v>
      </c>
      <c r="G20" s="143">
        <f ca="1">ROUND(C20*$C$18+D20*$D$18,0)</f>
        <v>89597</v>
      </c>
      <c r="H20" s="916" t="s">
        <v>1923</v>
      </c>
      <c r="I20" s="133"/>
    </row>
    <row r="21" spans="1:36" ht="15" customHeight="1" thickBot="1">
      <c r="A21" s="936"/>
      <c r="B21" s="1920" t="s">
        <v>1924</v>
      </c>
      <c r="C21" s="727">
        <f ca="1">ROUND(C19*10000/L19,0)</f>
        <v>387944</v>
      </c>
      <c r="D21" s="728">
        <f ca="1">ROUND(D19*10000/L19,0)</f>
        <v>327256</v>
      </c>
      <c r="E21" s="936"/>
      <c r="F21" s="1920" t="s">
        <v>1924</v>
      </c>
      <c r="G21" s="144">
        <f ca="1">ROUND(G19*10000/L19,0)</f>
        <v>357601</v>
      </c>
      <c r="H21" s="1921" t="s">
        <v>1923</v>
      </c>
      <c r="I21" s="133"/>
    </row>
    <row r="22" spans="1:36" ht="15" thickBot="1">
      <c r="A22" s="1843" t="s">
        <v>1925</v>
      </c>
      <c r="B22" s="1922"/>
      <c r="C22" s="1923"/>
      <c r="D22" s="729">
        <f ca="1">IF(C19&lt;D19,D19/C19-1,C19/D19-1)</f>
        <v>0.18544706539641997</v>
      </c>
      <c r="E22" s="133"/>
      <c r="F22" s="133"/>
      <c r="G22" s="133"/>
      <c r="H22" s="133"/>
      <c r="I22" s="133"/>
    </row>
    <row r="23" spans="1:36" ht="13.5" thickBot="1">
      <c r="A23" s="1902"/>
      <c r="B23" s="1902"/>
      <c r="C23" s="1902"/>
      <c r="D23" s="1902"/>
      <c r="E23" s="133"/>
      <c r="F23" s="133"/>
      <c r="G23" s="133"/>
      <c r="H23" s="133"/>
      <c r="I23" s="133"/>
    </row>
    <row r="24" spans="1:36" ht="14.25">
      <c r="A24" s="3433" t="s">
        <v>1926</v>
      </c>
      <c r="B24" s="1917" t="s">
        <v>1918</v>
      </c>
      <c r="C24" s="140">
        <f>IF(B30=0,0,D30)</f>
        <v>0</v>
      </c>
      <c r="D24" s="1924"/>
      <c r="E24" s="133"/>
      <c r="F24" s="133"/>
      <c r="G24" s="133"/>
      <c r="H24" s="133"/>
      <c r="I24" s="133"/>
    </row>
    <row r="25" spans="1:36" ht="14.25">
      <c r="A25" s="3434"/>
      <c r="B25" s="1156" t="s">
        <v>1922</v>
      </c>
      <c r="C25" s="145">
        <f>IF(B30=0,0,C30)</f>
        <v>0</v>
      </c>
      <c r="D25" s="1925"/>
      <c r="E25" s="133"/>
      <c r="F25" s="133"/>
      <c r="G25" s="133"/>
      <c r="H25" s="133"/>
      <c r="I25" s="133"/>
    </row>
    <row r="26" spans="1:36" ht="13.5" customHeight="1">
      <c r="A26" s="1926" t="s">
        <v>1927</v>
      </c>
      <c r="B26" s="146" t="s">
        <v>1928</v>
      </c>
      <c r="C26" s="146" t="s">
        <v>1929</v>
      </c>
      <c r="D26" s="147" t="s">
        <v>1930</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1931</v>
      </c>
      <c r="B30" s="146"/>
      <c r="C30" s="146"/>
      <c r="D30" s="146"/>
      <c r="E30" s="2490" t="s">
        <v>2813</v>
      </c>
      <c r="F30" s="133"/>
      <c r="G30" s="133"/>
      <c r="H30" s="133"/>
      <c r="I30" s="133"/>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8">
        <f ca="1">IF(D32="总价",G19-C24,G20-C25)</f>
        <v>89597</v>
      </c>
      <c r="D32" s="1930"/>
      <c r="E32" s="133"/>
      <c r="F32" s="133"/>
      <c r="G32" s="133"/>
      <c r="H32" s="133"/>
      <c r="I32" s="133"/>
    </row>
    <row r="33" spans="1:15" ht="15">
      <c r="A33" s="893" t="s">
        <v>1933</v>
      </c>
      <c r="B33" s="1931"/>
      <c r="C33" s="1932"/>
      <c r="D33" s="1933"/>
      <c r="E33" s="1934" t="s">
        <v>1934</v>
      </c>
      <c r="F33" s="1935" t="str">
        <f>IF(D32="楼面单价","取值（单价）","取值（总价）")</f>
        <v>取值（总价）</v>
      </c>
      <c r="G33" s="133"/>
      <c r="H33" s="133"/>
      <c r="I33" s="133"/>
    </row>
    <row r="34" spans="1:15" ht="15">
      <c r="A34" s="1936"/>
      <c r="B34" s="1937" t="s">
        <v>1935</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1936</v>
      </c>
      <c r="F34" s="1469"/>
      <c r="G34" s="133"/>
      <c r="H34" s="133"/>
      <c r="I34" s="133"/>
    </row>
    <row r="35" spans="1:15" ht="15.75" thickBot="1">
      <c r="A35" s="1939"/>
      <c r="B35" s="1940" t="s">
        <v>1937</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1938</v>
      </c>
      <c r="F35" s="158"/>
      <c r="G35" s="133"/>
      <c r="H35" s="133"/>
      <c r="I35" s="133"/>
    </row>
    <row r="36" spans="1:15" ht="15.75" thickBot="1">
      <c r="A36" s="3410" t="s">
        <v>1939</v>
      </c>
      <c r="B36" s="1942" t="s">
        <v>1940</v>
      </c>
      <c r="C36" s="149"/>
      <c r="D36" s="1943"/>
      <c r="E36" s="1944"/>
      <c r="F36" s="1945"/>
      <c r="G36" s="133"/>
      <c r="H36" s="133"/>
      <c r="I36" s="133"/>
    </row>
    <row r="37" spans="1:15" ht="15.75" thickBot="1">
      <c r="A37" s="3411"/>
      <c r="B37" s="1829" t="s">
        <v>1941</v>
      </c>
      <c r="C37" s="151"/>
      <c r="D37" s="1272"/>
      <c r="E37" s="1272"/>
      <c r="F37" s="1945"/>
      <c r="G37" s="133"/>
      <c r="H37" s="133"/>
      <c r="I37" s="133"/>
    </row>
    <row r="38" spans="1:15" ht="15.75" thickBot="1">
      <c r="A38" s="3412"/>
      <c r="B38" s="1946" t="s">
        <v>1942</v>
      </c>
      <c r="C38" s="682"/>
      <c r="D38" s="1947" t="s">
        <v>1943</v>
      </c>
      <c r="E38" s="1272"/>
      <c r="F38" s="1945"/>
      <c r="G38" s="133"/>
      <c r="H38" s="133"/>
      <c r="I38" s="133"/>
    </row>
    <row r="39" spans="1:15" ht="15">
      <c r="A39" s="1919" t="s">
        <v>1944</v>
      </c>
      <c r="B39" s="1948" t="s">
        <v>1945</v>
      </c>
      <c r="C39" s="1949" t="s">
        <v>1946</v>
      </c>
      <c r="D39" s="1949" t="s">
        <v>1947</v>
      </c>
      <c r="E39" s="1950" t="s">
        <v>1948</v>
      </c>
      <c r="F39" s="1945"/>
      <c r="G39" s="133"/>
      <c r="H39" s="133"/>
      <c r="I39" s="133"/>
    </row>
    <row r="40" spans="1:15" ht="14.25">
      <c r="A40" s="1951" t="s">
        <v>1949</v>
      </c>
      <c r="B40" s="153"/>
      <c r="C40" s="154"/>
      <c r="D40" s="154"/>
      <c r="E40" s="155"/>
      <c r="F40" s="1945"/>
      <c r="G40" s="133"/>
      <c r="H40" s="133"/>
      <c r="I40" s="133"/>
    </row>
    <row r="41" spans="1:15" ht="14.25">
      <c r="A41" s="1951" t="s">
        <v>1950</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430" t="s">
        <v>1953</v>
      </c>
      <c r="B45" s="3431"/>
      <c r="C45" s="3432"/>
      <c r="D45" s="159" t="e">
        <f ca="1">ROUND(H101*F45,0)</f>
        <v>#REF!</v>
      </c>
      <c r="E45" s="160" t="s">
        <v>1954</v>
      </c>
      <c r="F45" s="161">
        <v>1</v>
      </c>
      <c r="G45" s="162" t="s">
        <v>1955</v>
      </c>
      <c r="H45" s="133"/>
      <c r="I45" s="133"/>
      <c r="J45" s="3347" t="s">
        <v>1956</v>
      </c>
      <c r="K45" s="3347"/>
      <c r="L45" s="3347"/>
      <c r="M45" s="3347"/>
      <c r="N45" s="3347"/>
      <c r="O45" s="3347"/>
    </row>
    <row r="46" spans="1:15" ht="14.25" customHeight="1">
      <c r="A46" s="3427" t="s">
        <v>1957</v>
      </c>
      <c r="B46" s="3428"/>
      <c r="C46" s="3428"/>
      <c r="D46" s="3428"/>
      <c r="E46" s="3428"/>
      <c r="F46" s="3428"/>
      <c r="G46" s="3429"/>
      <c r="H46" s="1961"/>
      <c r="I46" s="163"/>
      <c r="J46" s="2718">
        <v>1</v>
      </c>
      <c r="K46" s="3348" t="s">
        <v>1958</v>
      </c>
      <c r="L46" s="3348"/>
      <c r="M46" s="3349"/>
      <c r="N46" s="3349"/>
      <c r="O46" s="3349"/>
    </row>
    <row r="47" spans="1:15" ht="12" customHeight="1">
      <c r="A47" s="164" t="s">
        <v>1959</v>
      </c>
      <c r="B47" s="165"/>
      <c r="C47" s="166"/>
      <c r="D47" s="1218" t="s">
        <v>1960</v>
      </c>
      <c r="E47" s="307" t="s">
        <v>1961</v>
      </c>
      <c r="F47" s="167" t="s">
        <v>1962</v>
      </c>
      <c r="G47" s="2741" t="s">
        <v>1963</v>
      </c>
      <c r="H47" s="2742"/>
      <c r="I47" s="163"/>
      <c r="J47" s="2718">
        <v>2</v>
      </c>
      <c r="K47" s="3348" t="s">
        <v>1964</v>
      </c>
      <c r="L47" s="3348"/>
      <c r="M47" s="3350">
        <f>'数据-取费表'!B2</f>
        <v>44575</v>
      </c>
      <c r="N47" s="3350"/>
      <c r="O47" s="3350"/>
    </row>
    <row r="48" spans="1:15" ht="25.5">
      <c r="A48" s="3413" t="s">
        <v>1965</v>
      </c>
      <c r="B48" s="3414"/>
      <c r="C48" s="3414"/>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1966</v>
      </c>
      <c r="H48" s="2745"/>
      <c r="I48" s="1961"/>
      <c r="J48" s="2718">
        <v>3</v>
      </c>
      <c r="K48" s="3348" t="s">
        <v>1967</v>
      </c>
      <c r="L48" s="3348"/>
      <c r="M48" s="3351" t="e">
        <f ca="1">H101</f>
        <v>#REF!</v>
      </c>
      <c r="N48" s="3351"/>
      <c r="O48" s="3351"/>
    </row>
    <row r="49" spans="1:35" ht="25.5" customHeight="1">
      <c r="A49" s="2525" t="s">
        <v>1968</v>
      </c>
      <c r="B49" s="3396" t="s">
        <v>1969</v>
      </c>
      <c r="C49" s="3396"/>
      <c r="D49" s="1744">
        <v>0</v>
      </c>
      <c r="E49" s="329" t="s">
        <v>1970</v>
      </c>
      <c r="F49" s="2619" t="s">
        <v>34</v>
      </c>
      <c r="G49" s="3379"/>
      <c r="H49" s="2497" t="s">
        <v>2815</v>
      </c>
      <c r="I49" s="2498"/>
      <c r="J49" s="2718">
        <v>4</v>
      </c>
      <c r="K49" s="3348" t="str">
        <f>IF(项目基本情况!E8="房地产抵押价值","房地产抵押价值","抵押担保权已注销时的房地产抵押价值")</f>
        <v>房地产抵押价值</v>
      </c>
      <c r="L49" s="3348"/>
      <c r="M49" s="3351" t="str">
        <f ca="1">IF(项目基本情况!E8="房地产抵押价值",H107,H109)</f>
        <v>——</v>
      </c>
      <c r="N49" s="3351"/>
      <c r="O49" s="3351"/>
    </row>
    <row r="50" spans="1:35" ht="25.5" customHeight="1">
      <c r="A50" s="2746"/>
      <c r="B50" s="3396" t="s">
        <v>1971</v>
      </c>
      <c r="C50" s="3396"/>
      <c r="D50" s="2747"/>
      <c r="E50" s="337"/>
      <c r="F50" s="2619"/>
      <c r="G50" s="3380"/>
      <c r="H50" s="2499" t="s">
        <v>2816</v>
      </c>
      <c r="I50" s="2498"/>
      <c r="J50" s="3347" t="s">
        <v>1972</v>
      </c>
      <c r="K50" s="3347"/>
      <c r="L50" s="3347"/>
      <c r="M50" s="3347"/>
      <c r="N50" s="3347"/>
      <c r="O50" s="3347"/>
    </row>
    <row r="51" spans="1:35" ht="20.45" customHeight="1">
      <c r="A51" s="2748"/>
      <c r="B51" s="3396" t="s">
        <v>1973</v>
      </c>
      <c r="C51" s="3396"/>
      <c r="D51" s="1218"/>
      <c r="E51" s="332"/>
      <c r="F51" s="2619"/>
      <c r="G51" s="3381"/>
      <c r="H51" s="2499" t="s">
        <v>2817</v>
      </c>
      <c r="I51" s="2498"/>
      <c r="J51" s="2719" t="s">
        <v>1974</v>
      </c>
      <c r="K51" s="3348" t="s">
        <v>1975</v>
      </c>
      <c r="L51" s="3348"/>
      <c r="M51" s="2719" t="s">
        <v>1976</v>
      </c>
      <c r="N51" s="2719" t="s">
        <v>1977</v>
      </c>
      <c r="O51" s="2719" t="s">
        <v>1978</v>
      </c>
    </row>
    <row r="52" spans="1:35" ht="24" customHeight="1">
      <c r="A52" s="2527" t="s">
        <v>1979</v>
      </c>
      <c r="B52" s="3396" t="s">
        <v>1980</v>
      </c>
      <c r="C52" s="3396"/>
      <c r="D52" s="1218" t="e">
        <f ca="1">ROUND(D45*'数据-取费表'!B41/(1+'数据-取费表'!C42),0)</f>
        <v>#REF!</v>
      </c>
      <c r="E52" s="2526" t="s">
        <v>1981</v>
      </c>
      <c r="F52" s="2749">
        <f>'数据-取费表'!B41</f>
        <v>5.6000000000000001E-2</v>
      </c>
      <c r="G52" s="2750"/>
      <c r="H52" s="2739"/>
      <c r="I52" s="1962"/>
      <c r="J52" s="2718">
        <v>1</v>
      </c>
      <c r="K52" s="3373" t="s">
        <v>1982</v>
      </c>
      <c r="L52" s="3373"/>
      <c r="M52" s="2720" t="b">
        <f>D48</f>
        <v>0</v>
      </c>
      <c r="N52" s="2718" t="str">
        <f>E48</f>
        <v>销售额×税（费）率</v>
      </c>
      <c r="O52" s="2721">
        <f>F48</f>
        <v>5.6000000000000001E-2</v>
      </c>
    </row>
    <row r="53" spans="1:35" ht="12" customHeight="1">
      <c r="A53" s="2527" t="s">
        <v>1983</v>
      </c>
      <c r="B53" s="3397" t="s">
        <v>2976</v>
      </c>
      <c r="C53" s="3398"/>
      <c r="D53" s="1218" t="e">
        <f ca="1">ROUND(D45*'数据-取费表'!B41/(1+'数据-取费表'!C42),0)</f>
        <v>#REF!</v>
      </c>
      <c r="E53" s="2526" t="s">
        <v>1981</v>
      </c>
      <c r="F53" s="2749">
        <f>'数据-取费表'!B41</f>
        <v>5.6000000000000001E-2</v>
      </c>
      <c r="G53" s="2750"/>
      <c r="H53" s="2739"/>
      <c r="I53" s="1962"/>
      <c r="J53" s="2718">
        <v>2</v>
      </c>
      <c r="K53" s="3373" t="s">
        <v>1984</v>
      </c>
      <c r="L53" s="3373"/>
      <c r="M53" s="2720" t="e">
        <f t="shared" ref="M53:O54" ca="1" si="0">D55</f>
        <v>#REF!</v>
      </c>
      <c r="N53" s="2718" t="str">
        <f t="shared" si="0"/>
        <v>销售额×税（费）率</v>
      </c>
      <c r="O53" s="2721" t="str">
        <f t="shared" si="0"/>
        <v>免征</v>
      </c>
    </row>
    <row r="54" spans="1:35" ht="12" customHeight="1">
      <c r="A54" s="2527" t="s">
        <v>1985</v>
      </c>
      <c r="B54" s="3397" t="s">
        <v>2977</v>
      </c>
      <c r="C54" s="3398"/>
      <c r="D54" s="1218" t="e">
        <f ca="1">C68</f>
        <v>#REF!</v>
      </c>
      <c r="E54" s="332" t="s">
        <v>1986</v>
      </c>
      <c r="F54" s="2749">
        <f>'数据-取费表'!B41</f>
        <v>5.6000000000000001E-2</v>
      </c>
      <c r="G54" s="2750"/>
      <c r="H54" s="2751"/>
      <c r="I54" s="1962"/>
      <c r="J54" s="2718">
        <v>3</v>
      </c>
      <c r="K54" s="3373" t="s">
        <v>1987</v>
      </c>
      <c r="L54" s="3373"/>
      <c r="M54" s="2720" t="e">
        <f t="shared" ca="1" si="0"/>
        <v>#REF!</v>
      </c>
      <c r="N54" s="2718" t="str">
        <f t="shared" si="0"/>
        <v>增值额×税（费）率</v>
      </c>
      <c r="O54" s="2722" t="str">
        <f t="shared" si="0"/>
        <v>免征</v>
      </c>
    </row>
    <row r="55" spans="1:35" ht="24" customHeight="1">
      <c r="A55" s="3436" t="s">
        <v>1988</v>
      </c>
      <c r="B55" s="3414"/>
      <c r="C55" s="3414"/>
      <c r="D55" s="2516" t="e">
        <f ca="1">IF(H55="个人住宅",0,ROUND(D45*I55,0))</f>
        <v>#REF!</v>
      </c>
      <c r="E55" s="2526" t="s">
        <v>1989</v>
      </c>
      <c r="F55" s="2749" t="str">
        <f>IF(H55="正常",I55,"免征")</f>
        <v>免征</v>
      </c>
      <c r="G55" s="2750"/>
      <c r="H55" s="2745"/>
      <c r="I55" s="169">
        <f>'数据-取费表'!B49</f>
        <v>5.0000000000000001E-4</v>
      </c>
      <c r="J55" s="2718">
        <f>IF(H59="非个人房产","",4)</f>
        <v>4</v>
      </c>
      <c r="K55" s="3373" t="str">
        <f>IF(H59="非个人房产","——","个人所得税")</f>
        <v>个人所得税</v>
      </c>
      <c r="L55" s="3373"/>
      <c r="M55" s="2723" t="e">
        <f ca="1">D59</f>
        <v>#REF!</v>
      </c>
      <c r="N55" s="2197" t="str">
        <f>E59</f>
        <v>差额计税</v>
      </c>
      <c r="O55" s="2724">
        <f>F59</f>
        <v>0.01</v>
      </c>
    </row>
    <row r="56" spans="1:35" ht="24.75">
      <c r="A56" s="3436" t="s">
        <v>1990</v>
      </c>
      <c r="B56" s="3414"/>
      <c r="C56" s="3414"/>
      <c r="D56" s="2516" t="e">
        <f ca="1">IF(H56="个人住宅",D57,D58)</f>
        <v>#REF!</v>
      </c>
      <c r="E56" s="2526" t="s">
        <v>1991</v>
      </c>
      <c r="F56" s="2749" t="str">
        <f>IF(H56="正常",F58,"免征")</f>
        <v>免征</v>
      </c>
      <c r="G56" s="2752" t="s">
        <v>1992</v>
      </c>
      <c r="H56" s="2753"/>
      <c r="I56" s="1963"/>
      <c r="J56" s="2718" t="str">
        <f>IF(项目基本情况!K6="上海银行",IF(J55="",4,J55+1),"")</f>
        <v/>
      </c>
      <c r="K56" s="3354" t="str">
        <f>IF(项目基本情况!K6="上海银行","其他处置费用","")</f>
        <v/>
      </c>
      <c r="L56" s="3355"/>
      <c r="M56" s="2720" t="str">
        <f>IF(项目基本情况!K6="上海银行",M69,"")</f>
        <v/>
      </c>
      <c r="N56" s="3354" t="str">
        <f>IF(项目基本情况!K6="上海银行","包含处置中涉及的律师、诉讼、拍卖、评估等费用","")</f>
        <v/>
      </c>
      <c r="O56" s="3357"/>
    </row>
    <row r="57" spans="1:35" ht="12.75">
      <c r="A57" s="2527" t="s">
        <v>1968</v>
      </c>
      <c r="B57" s="3397" t="s">
        <v>1993</v>
      </c>
      <c r="C57" s="3398"/>
      <c r="D57" s="1744">
        <v>0</v>
      </c>
      <c r="E57" s="329" t="s">
        <v>1970</v>
      </c>
      <c r="F57" s="307"/>
      <c r="G57" s="2750"/>
      <c r="H57" s="2754"/>
      <c r="I57" s="1963"/>
      <c r="J57" s="3373">
        <f>IF(AND(J55="",J56=""),4,IF(项目基本情况!K6="上海银行",结果表!J56+1,结果表!J55+1))</f>
        <v>5</v>
      </c>
      <c r="K57" s="3373" t="s">
        <v>1994</v>
      </c>
      <c r="L57" s="2725" t="s">
        <v>1995</v>
      </c>
      <c r="M57" s="2726"/>
      <c r="N57" s="2727">
        <f ca="1">SUMIF(M52:M56,"&lt;9e307")</f>
        <v>0</v>
      </c>
      <c r="O57" s="2728"/>
      <c r="P57" s="2888" t="e">
        <f ca="1">N57/M49</f>
        <v>#VALUE!</v>
      </c>
    </row>
    <row r="58" spans="1:35" ht="24.75">
      <c r="A58" s="2527" t="s">
        <v>1979</v>
      </c>
      <c r="B58" s="3397" t="s">
        <v>1996</v>
      </c>
      <c r="C58" s="3396"/>
      <c r="D58" s="2516" t="e">
        <f ca="1">IF(H58="转让取得",C81,C97)</f>
        <v>#REF!</v>
      </c>
      <c r="E58" s="2526" t="s">
        <v>1991</v>
      </c>
      <c r="F58" s="307" t="s">
        <v>34</v>
      </c>
      <c r="G58" s="2750"/>
      <c r="H58" s="2753"/>
      <c r="I58" s="1963"/>
      <c r="J58" s="3373"/>
      <c r="K58" s="3373"/>
      <c r="L58" s="2725" t="s">
        <v>1997</v>
      </c>
      <c r="M58" s="2729"/>
      <c r="N58" s="2730" t="str">
        <f ca="1">NUMBERSTRING(INT(N57*10000),2)&amp;"元整"</f>
        <v>零元整</v>
      </c>
      <c r="O58" s="2731"/>
    </row>
    <row r="59" spans="1:35" ht="24.75" thickBot="1">
      <c r="A59" s="3377" t="s">
        <v>1998</v>
      </c>
      <c r="B59" s="3378"/>
      <c r="C59" s="3378"/>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2818</v>
      </c>
      <c r="J59" s="3375">
        <f>J57+1</f>
        <v>6</v>
      </c>
      <c r="K59" s="3373" t="s">
        <v>1999</v>
      </c>
      <c r="L59" s="2718" t="s">
        <v>1995</v>
      </c>
      <c r="M59" s="2732"/>
      <c r="N59" s="2733" t="e">
        <f ca="1">M49-N57</f>
        <v>#VALUE!</v>
      </c>
      <c r="O59" s="2734"/>
    </row>
    <row r="60" spans="1:35" ht="12" customHeight="1">
      <c r="A60" s="1964"/>
      <c r="B60" s="1902"/>
      <c r="C60" s="1902"/>
      <c r="D60" s="1902"/>
      <c r="E60" s="1732"/>
      <c r="F60" s="1963"/>
      <c r="G60" s="1963"/>
      <c r="H60" s="1965"/>
      <c r="I60" s="133"/>
      <c r="J60" s="3376"/>
      <c r="K60" s="3373"/>
      <c r="L60" s="2725" t="s">
        <v>1997</v>
      </c>
      <c r="M60" s="2729"/>
      <c r="N60" s="2730" t="e">
        <f ca="1">NUMBERSTRING(INT(N59*10000),2)&amp;"元整"</f>
        <v>#VALUE!</v>
      </c>
      <c r="O60" s="2731"/>
    </row>
    <row r="61" spans="1:35" ht="13.5" thickBot="1">
      <c r="A61" s="3435" t="s">
        <v>2000</v>
      </c>
      <c r="B61" s="3435"/>
      <c r="C61" s="3435"/>
      <c r="D61" s="3435"/>
      <c r="E61" s="3435"/>
      <c r="F61" s="1963"/>
      <c r="G61" s="1963"/>
      <c r="H61" s="1965"/>
      <c r="I61" s="133"/>
      <c r="J61" s="2718">
        <f>J59+1</f>
        <v>7</v>
      </c>
      <c r="K61" s="3373" t="s">
        <v>2001</v>
      </c>
      <c r="L61" s="3373"/>
      <c r="M61" s="2735"/>
      <c r="N61" s="2736" t="e">
        <f ca="1">ROUND(N59*10000/'数据-汇总表'!E3,0)</f>
        <v>#VALUE!</v>
      </c>
      <c r="O61" s="2737"/>
    </row>
    <row r="62" spans="1:35" ht="12.75">
      <c r="A62" s="3392" t="s">
        <v>2002</v>
      </c>
      <c r="B62" s="3393"/>
      <c r="C62" s="2178"/>
      <c r="D62" s="2178" t="s">
        <v>2003</v>
      </c>
      <c r="E62" s="170" t="s">
        <v>2004</v>
      </c>
      <c r="F62" s="1963"/>
      <c r="G62" s="1963"/>
      <c r="H62" s="1965"/>
      <c r="I62" s="133"/>
    </row>
    <row r="63" spans="1:35" ht="12.75">
      <c r="A63" s="177" t="s">
        <v>775</v>
      </c>
      <c r="B63" s="171" t="s">
        <v>2005</v>
      </c>
      <c r="C63" s="2759" t="e">
        <f ca="1">ROUND((C64+C65)/(1+'数据-取费表'!C42),0)</f>
        <v>#REF!</v>
      </c>
      <c r="D63" s="171"/>
      <c r="E63" s="172"/>
      <c r="F63" s="1963"/>
      <c r="G63" s="1963"/>
      <c r="H63" s="1965"/>
      <c r="I63" s="133"/>
      <c r="J63" s="3356" t="s">
        <v>2006</v>
      </c>
      <c r="K63" s="1471" t="s">
        <v>2007</v>
      </c>
      <c r="L63" s="1471" t="e">
        <f ca="1">IF(M49&gt;10000,M49*0.5%,IF(AND(M49&gt;1000,M49&lt;=10000),M49*1%,IF(AND(M49&gt;100,M49&lt;=1000),M49*3%,IF(AND(M49&gt;10,M49&lt;=100),M49*5%,M49*8%))))</f>
        <v>#VALUE!</v>
      </c>
      <c r="M63" s="307" t="e">
        <f ca="1">ROUND(L63,1)</f>
        <v>#VALUE!</v>
      </c>
      <c r="N63" s="2738"/>
      <c r="Z63" s="1907"/>
      <c r="AI63" s="1908"/>
    </row>
    <row r="64" spans="1:35" ht="14.25" customHeight="1">
      <c r="A64" s="173" t="s">
        <v>770</v>
      </c>
      <c r="B64" s="174" t="s">
        <v>2008</v>
      </c>
      <c r="C64" s="2760" t="e">
        <f ca="1">D45</f>
        <v>#REF!</v>
      </c>
      <c r="D64" s="174" t="s">
        <v>32</v>
      </c>
      <c r="E64" s="176"/>
      <c r="F64" s="1963"/>
      <c r="G64" s="1963"/>
      <c r="H64" s="1965"/>
      <c r="I64" s="133"/>
      <c r="J64" s="3356"/>
      <c r="K64" s="1471" t="s">
        <v>2009</v>
      </c>
      <c r="L64" s="1471"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39" t="s">
        <v>2010</v>
      </c>
      <c r="Z64" s="1907"/>
      <c r="AI64" s="1908"/>
    </row>
    <row r="65" spans="1:35" ht="14.25" customHeight="1">
      <c r="A65" s="173" t="s">
        <v>771</v>
      </c>
      <c r="B65" s="174" t="s">
        <v>2011</v>
      </c>
      <c r="C65" s="2761"/>
      <c r="D65" s="174"/>
      <c r="E65" s="176"/>
      <c r="F65" s="1963"/>
      <c r="G65" s="1963"/>
      <c r="H65" s="1965"/>
      <c r="I65" s="133"/>
      <c r="J65" s="3356"/>
      <c r="K65" s="1471" t="s">
        <v>2012</v>
      </c>
      <c r="L65" s="1471" t="e">
        <f ca="1">IF(M49&gt;1000,M49*0.1%,IF(AND(M49&gt;500,M49&lt;=1000),M49*0.5%,IF(AND(M49&gt;50,M49&lt;=500),M49*1%,IF(AND(M49&gt;1,M49&lt;=50),M49*1.5%))))</f>
        <v>#VALUE!</v>
      </c>
      <c r="M65" s="307" t="e">
        <f t="shared" ca="1" si="1"/>
        <v>#VALUE!</v>
      </c>
      <c r="N65" s="2739" t="s">
        <v>2010</v>
      </c>
      <c r="Z65" s="1907"/>
      <c r="AI65" s="1908"/>
    </row>
    <row r="66" spans="1:35" ht="14.25" customHeight="1">
      <c r="A66" s="177" t="s">
        <v>772</v>
      </c>
      <c r="B66" s="178" t="s">
        <v>2013</v>
      </c>
      <c r="C66" s="2762"/>
      <c r="D66" s="178" t="s">
        <v>32</v>
      </c>
      <c r="E66" s="1478" t="s">
        <v>1277</v>
      </c>
      <c r="F66" s="1963"/>
      <c r="G66" s="1963"/>
      <c r="H66" s="1965"/>
      <c r="I66" s="133"/>
      <c r="J66" s="3356"/>
      <c r="K66" s="1471" t="s">
        <v>2014</v>
      </c>
      <c r="L66" s="1471" t="e">
        <f ca="1">M49*0.5%</f>
        <v>#VALUE!</v>
      </c>
      <c r="M66" s="307" t="e">
        <f ca="1">IF(L66&gt;0.5,0.5,ROUND(L66,0))</f>
        <v>#VALUE!</v>
      </c>
      <c r="N66" s="2739" t="s">
        <v>2015</v>
      </c>
      <c r="Z66" s="1907"/>
      <c r="AI66" s="1908"/>
    </row>
    <row r="67" spans="1:35" ht="14.25" customHeight="1">
      <c r="A67" s="177" t="s">
        <v>773</v>
      </c>
      <c r="B67" s="178" t="s">
        <v>2016</v>
      </c>
      <c r="C67" s="2763" t="e">
        <f ca="1">C63-C66</f>
        <v>#REF!</v>
      </c>
      <c r="D67" s="174" t="s">
        <v>32</v>
      </c>
      <c r="E67" s="176"/>
      <c r="F67" s="1963"/>
      <c r="G67" s="1963"/>
      <c r="H67" s="1965"/>
      <c r="I67" s="133"/>
      <c r="J67" s="3356"/>
      <c r="K67" s="1471" t="s">
        <v>2017</v>
      </c>
      <c r="L67" s="1471"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38"/>
      <c r="Z67" s="1907"/>
      <c r="AI67" s="1908"/>
    </row>
    <row r="68" spans="1:35" ht="14.25" customHeight="1" thickBot="1">
      <c r="A68" s="180" t="s">
        <v>774</v>
      </c>
      <c r="B68" s="181" t="s">
        <v>2018</v>
      </c>
      <c r="C68" s="2764" t="e">
        <f ca="1">IF(C67&lt;=0,0,ROUND(C67*D68,0))</f>
        <v>#REF!</v>
      </c>
      <c r="D68" s="2765">
        <f>'数据-取费表'!B41</f>
        <v>5.6000000000000001E-2</v>
      </c>
      <c r="E68" s="183"/>
      <c r="F68" s="1963"/>
      <c r="G68" s="1963"/>
      <c r="H68" s="1965"/>
      <c r="I68" s="133"/>
      <c r="J68" s="3356"/>
      <c r="K68" s="1471" t="s">
        <v>2019</v>
      </c>
      <c r="L68" s="1471" t="e">
        <f ca="1">IF(M49&gt;10000,M49*0.5%,IF(AND(M49&gt;5000,M49&lt;=10000),M49*1%,IF(AND(M49&gt;1000,M49&lt;=5000),M49*2%,IF(AND(M49&gt;200,M49&lt;=1000),M49*3%,M49*5%))))</f>
        <v>#VALUE!</v>
      </c>
      <c r="M68" s="307" t="e">
        <f ca="1">ROUND(L68,1)</f>
        <v>#VALUE!</v>
      </c>
      <c r="N68" s="2738"/>
      <c r="Z68" s="1907"/>
      <c r="AI68" s="1908"/>
    </row>
    <row r="69" spans="1:35" s="1927" customFormat="1" ht="16.5" customHeight="1">
      <c r="A69" s="1966"/>
      <c r="B69" s="1967"/>
      <c r="C69" s="1968"/>
      <c r="D69" s="1969"/>
      <c r="E69" s="1970"/>
      <c r="F69" s="1732"/>
      <c r="G69" s="1732"/>
      <c r="H69" s="1731"/>
      <c r="I69" s="1902"/>
      <c r="J69" s="3356"/>
      <c r="K69" s="1471" t="s">
        <v>2020</v>
      </c>
      <c r="L69" s="1471"/>
      <c r="M69" s="307" t="e">
        <f ca="1">ROUND(SUM(M63:M68),0)</f>
        <v>#VALUE!</v>
      </c>
      <c r="N69" s="2740" t="e">
        <f ca="1">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00" t="s">
        <v>2021</v>
      </c>
      <c r="B70" s="3401"/>
      <c r="C70" s="3401"/>
      <c r="D70" s="3401"/>
      <c r="E70" s="3401"/>
      <c r="F70" s="3401"/>
      <c r="G70" s="3401"/>
      <c r="H70" s="340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2" t="s">
        <v>2002</v>
      </c>
      <c r="B71" s="3393"/>
      <c r="C71" s="2178"/>
      <c r="D71" s="2178" t="s">
        <v>2003</v>
      </c>
      <c r="E71" s="184" t="s">
        <v>2004</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2022</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2023</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2024</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2025</v>
      </c>
      <c r="C75" s="2766"/>
      <c r="D75" s="174" t="s">
        <v>32</v>
      </c>
      <c r="E75" s="189" t="s">
        <v>2026</v>
      </c>
      <c r="F75" s="2767"/>
      <c r="G75" s="189"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2028</v>
      </c>
      <c r="C76" s="174">
        <f>IF(F75="购房发票",ROUND(C75*H75*D76,0),0)</f>
        <v>0</v>
      </c>
      <c r="D76" s="2769">
        <v>0.05</v>
      </c>
      <c r="E76" s="3397" t="s">
        <v>2029</v>
      </c>
      <c r="F76" s="3396"/>
      <c r="G76" s="3396"/>
      <c r="H76" s="339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2030</v>
      </c>
      <c r="C77" s="174">
        <f>ROUND(IF(G77="个人住宅",0,IF(G77="2016年5月1日前购买",C75*D77,C75*D77/(1+'数据-取费表'!C42))),0)</f>
        <v>0</v>
      </c>
      <c r="D77" s="2770">
        <f>'数据-取费表'!B48+'数据-取费表'!B49</f>
        <v>3.0499999999999999E-2</v>
      </c>
      <c r="E77" s="2516" t="s">
        <v>2031</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2032</v>
      </c>
      <c r="C78" s="2771" t="e">
        <f ca="1">ROUND(D45*D78/(1+'数据-取费表'!C42),0)</f>
        <v>#REF!</v>
      </c>
      <c r="D78" s="2772">
        <f>'数据-取费表'!B43</f>
        <v>6.000000000000001E-3</v>
      </c>
      <c r="E78" s="3389" t="s">
        <v>2033</v>
      </c>
      <c r="F78" s="3390"/>
      <c r="G78" s="3390"/>
      <c r="H78" s="339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2034</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2035</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2036</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0" t="s">
        <v>2037</v>
      </c>
      <c r="B83" s="3401"/>
      <c r="C83" s="3401"/>
      <c r="D83" s="3401"/>
      <c r="E83" s="3401"/>
      <c r="F83" s="3401"/>
      <c r="G83" s="3401"/>
      <c r="H83" s="340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2" t="s">
        <v>2002</v>
      </c>
      <c r="B84" s="3393"/>
      <c r="C84" s="2178"/>
      <c r="D84" s="2178" t="s">
        <v>2003</v>
      </c>
      <c r="E84" s="184" t="s">
        <v>2004</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2022</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2023</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2039</v>
      </c>
      <c r="C88" s="2777"/>
      <c r="D88" s="2772"/>
      <c r="E88" s="198" t="s">
        <v>2040</v>
      </c>
      <c r="F88" s="2519"/>
      <c r="G88" s="199" t="s">
        <v>2041</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2030</v>
      </c>
      <c r="C89" s="2771">
        <f>ROUND(C88*D89,0)</f>
        <v>0</v>
      </c>
      <c r="D89" s="2772">
        <f>'数据-取费表'!B48+'数据-取费表'!B49</f>
        <v>3.0499999999999999E-2</v>
      </c>
      <c r="E89" s="198"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2043</v>
      </c>
      <c r="C90" s="2777"/>
      <c r="D90" s="2772"/>
      <c r="E90" s="198" t="str">
        <f>IF(H88="-","土地取得成本中已包含该笔费用"," ")</f>
        <v xml:space="preserve"> </v>
      </c>
      <c r="F90" s="2519"/>
      <c r="G90" s="3358" t="s">
        <v>2810</v>
      </c>
      <c r="H90" s="3359"/>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2044</v>
      </c>
      <c r="B91" s="174" t="s">
        <v>2045</v>
      </c>
      <c r="C91" s="2771">
        <f>IF(H91="——",成本法!C33,I91)</f>
        <v>0</v>
      </c>
      <c r="D91" s="2772"/>
      <c r="E91" s="3389" t="s">
        <v>2046</v>
      </c>
      <c r="F91" s="3390"/>
      <c r="G91" s="339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2047</v>
      </c>
      <c r="B92" s="174" t="s">
        <v>2048</v>
      </c>
      <c r="C92" s="2771">
        <f>ROUND((C87+C90+C91)*D92,0)</f>
        <v>0</v>
      </c>
      <c r="D92" s="2778"/>
      <c r="E92" s="3389" t="s">
        <v>2049</v>
      </c>
      <c r="F92" s="3390"/>
      <c r="G92" s="3390"/>
      <c r="H92" s="3391"/>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2050</v>
      </c>
      <c r="B93" s="174" t="s">
        <v>2032</v>
      </c>
      <c r="C93" s="2771" t="e">
        <f ca="1">ROUND(D45*D93/(1+'数据-取费表'!C42),0)</f>
        <v>#REF!</v>
      </c>
      <c r="D93" s="2772">
        <f>'数据-取费表'!B43</f>
        <v>6.000000000000001E-3</v>
      </c>
      <c r="E93" s="3389" t="s">
        <v>2033</v>
      </c>
      <c r="F93" s="3390"/>
      <c r="G93" s="3390"/>
      <c r="H93" s="339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2051</v>
      </c>
      <c r="B94" s="174" t="s">
        <v>2052</v>
      </c>
      <c r="C94" s="2777">
        <f>ROUND((C87+C90+C91)*D94,0)</f>
        <v>0</v>
      </c>
      <c r="D94" s="2772">
        <v>0.2</v>
      </c>
      <c r="E94" s="3437" t="s">
        <v>2053</v>
      </c>
      <c r="F94" s="3438"/>
      <c r="G94" s="3438"/>
      <c r="H94" s="343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2034</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2035</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2036</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2054</v>
      </c>
      <c r="B99" s="1902"/>
      <c r="C99" s="1902"/>
      <c r="D99" s="1902"/>
      <c r="E99" s="1732"/>
      <c r="F99" s="1732"/>
      <c r="G99" s="1732"/>
      <c r="H99" s="1731"/>
      <c r="I99" s="133"/>
    </row>
    <row r="100" spans="1:35" ht="18.75" customHeight="1">
      <c r="A100" s="3339" t="s">
        <v>2055</v>
      </c>
      <c r="B100" s="3340"/>
      <c r="C100" s="3340"/>
      <c r="D100" s="3374"/>
      <c r="E100" s="3340" t="s">
        <v>2056</v>
      </c>
      <c r="F100" s="3340"/>
      <c r="G100" s="3340"/>
      <c r="H100" s="3374"/>
      <c r="I100" s="133"/>
    </row>
    <row r="101" spans="1:35" ht="18.75" customHeight="1">
      <c r="A101" s="3382" t="s">
        <v>2057</v>
      </c>
      <c r="B101" s="3383"/>
      <c r="C101" s="2780" t="str">
        <f>C4</f>
        <v>成本法</v>
      </c>
      <c r="D101" s="2781" t="str">
        <f>D4</f>
        <v>假设开发法</v>
      </c>
      <c r="E101" s="3352" t="s">
        <v>2058</v>
      </c>
      <c r="F101" s="3353"/>
      <c r="G101" s="1982" t="s">
        <v>2059</v>
      </c>
      <c r="H101" s="2790" t="e">
        <f ca="1">H118</f>
        <v>#REF!</v>
      </c>
      <c r="I101" s="133"/>
    </row>
    <row r="102" spans="1:35" ht="18.75" customHeight="1">
      <c r="A102" s="3384" t="s">
        <v>2060</v>
      </c>
      <c r="B102" s="2779" t="s">
        <v>2059</v>
      </c>
      <c r="C102" s="2780">
        <f ca="1">C19</f>
        <v>326759</v>
      </c>
      <c r="D102" s="2781">
        <f ca="1">D19</f>
        <v>275642</v>
      </c>
      <c r="E102" s="3352"/>
      <c r="F102" s="3353"/>
      <c r="G102" s="1982" t="s">
        <v>2061</v>
      </c>
      <c r="H102" s="2750" t="e">
        <f ca="1">I118</f>
        <v>#REF!</v>
      </c>
      <c r="I102" s="133"/>
    </row>
    <row r="103" spans="1:35" ht="42.75" customHeight="1">
      <c r="A103" s="3384"/>
      <c r="B103" s="2779" t="s">
        <v>2061</v>
      </c>
      <c r="C103" s="2782">
        <f ca="1">C20</f>
        <v>97200</v>
      </c>
      <c r="D103" s="2783">
        <f ca="1">D20</f>
        <v>81994</v>
      </c>
      <c r="E103" s="3345" t="s">
        <v>2062</v>
      </c>
      <c r="F103" s="3346"/>
      <c r="G103" s="1983" t="s">
        <v>2063</v>
      </c>
      <c r="H103" s="2790">
        <f>IF(D36="正常操作",H104+H105+H106,H105+H106)</f>
        <v>0</v>
      </c>
      <c r="I103" s="133"/>
    </row>
    <row r="104" spans="1:35" ht="18.75" customHeight="1">
      <c r="A104" s="3384" t="s">
        <v>2064</v>
      </c>
      <c r="B104" s="2784" t="s">
        <v>2059</v>
      </c>
      <c r="C104" s="2785" t="e">
        <f ca="1">H118</f>
        <v>#REF!</v>
      </c>
      <c r="D104" s="2786"/>
      <c r="E104" s="1829" t="s">
        <v>2065</v>
      </c>
      <c r="F104" s="1820"/>
      <c r="G104" s="1983" t="s">
        <v>2063</v>
      </c>
      <c r="H104" s="2791">
        <f>IF(D36="同一抵押权人同一抵押物续贷",C36&amp;"（续贷，未扣减，详见特别提示）",C36)</f>
        <v>0</v>
      </c>
      <c r="I104" s="133"/>
    </row>
    <row r="105" spans="1:35" ht="18.75" customHeight="1" thickBot="1">
      <c r="A105" s="3394"/>
      <c r="B105" s="2787" t="s">
        <v>2061</v>
      </c>
      <c r="C105" s="2788" t="e">
        <f ca="1">I118</f>
        <v>#REF!</v>
      </c>
      <c r="D105" s="2789"/>
      <c r="E105" s="1829" t="s">
        <v>2066</v>
      </c>
      <c r="F105" s="1820"/>
      <c r="G105" s="1983" t="s">
        <v>2063</v>
      </c>
      <c r="H105" s="2792">
        <f>C37</f>
        <v>0</v>
      </c>
      <c r="I105" s="133"/>
    </row>
    <row r="106" spans="1:35" ht="18.75" customHeight="1">
      <c r="A106" s="1902" t="s">
        <v>2067</v>
      </c>
      <c r="B106" s="1902"/>
      <c r="C106" s="1902"/>
      <c r="D106" s="1902"/>
      <c r="E106" s="1984" t="s">
        <v>2068</v>
      </c>
      <c r="F106" s="1820"/>
      <c r="G106" s="1983" t="s">
        <v>2063</v>
      </c>
      <c r="H106" s="2792">
        <f>C38</f>
        <v>0</v>
      </c>
      <c r="I106" s="133"/>
    </row>
    <row r="107" spans="1:35" ht="18.75" customHeight="1">
      <c r="A107" s="133"/>
      <c r="B107" s="133"/>
      <c r="C107" s="133"/>
      <c r="D107" s="133"/>
      <c r="E107" s="3385" t="str">
        <f>IF(项目基本情况!E8="已注销","——","3.房地产抵押价值")</f>
        <v>3.房地产抵押价值</v>
      </c>
      <c r="F107" s="3353"/>
      <c r="G107" s="1982" t="s">
        <v>2059</v>
      </c>
      <c r="H107" s="2790" t="e">
        <f ca="1">IF(E107="——","——",H101-H103)</f>
        <v>#REF!</v>
      </c>
      <c r="I107" s="133"/>
    </row>
    <row r="108" spans="1:35" ht="18.75" customHeight="1">
      <c r="A108" s="133"/>
      <c r="B108" s="133"/>
      <c r="C108" s="133"/>
      <c r="D108" s="133"/>
      <c r="E108" s="3385"/>
      <c r="F108" s="3353"/>
      <c r="G108" s="1982" t="s">
        <v>2061</v>
      </c>
      <c r="H108" s="2750" t="e">
        <f ca="1">ROUND(H107*10000/'数据-汇总表'!E3,0)</f>
        <v>#REF!</v>
      </c>
      <c r="I108" s="133"/>
    </row>
    <row r="109" spans="1:35" ht="18.75" customHeight="1">
      <c r="A109" s="133"/>
      <c r="B109" s="133"/>
      <c r="C109" s="133"/>
      <c r="D109" s="133"/>
      <c r="E109" s="3385" t="str">
        <f>IF(项目基本情况!E8="已注销及未注销","4.抵押担保权已注销时的房地产抵押价值",IF(项目基本情况!E8="已注销","3.抵押担保权已注销时的房地产抵押价值","——"))</f>
        <v>——</v>
      </c>
      <c r="F109" s="3353"/>
      <c r="G109" s="1982" t="s">
        <v>2059</v>
      </c>
      <c r="H109" s="2793" t="str">
        <f>IF(E109="——","——",H101-H105-H106)</f>
        <v>——</v>
      </c>
      <c r="I109" s="133"/>
    </row>
    <row r="110" spans="1:35" ht="18.75" customHeight="1">
      <c r="A110" s="133"/>
      <c r="B110" s="133"/>
      <c r="C110" s="133"/>
      <c r="D110" s="133"/>
      <c r="E110" s="3385"/>
      <c r="F110" s="3353"/>
      <c r="G110" s="1982" t="s">
        <v>2061</v>
      </c>
      <c r="H110" s="2750" t="str">
        <f>IF(H109="——","——",ROUND(H109*10000/'数据-汇总表'!E3,0))</f>
        <v>——</v>
      </c>
      <c r="I110" s="133"/>
    </row>
    <row r="111" spans="1:35" ht="18.75" customHeight="1">
      <c r="A111" s="133"/>
      <c r="B111" s="133"/>
      <c r="C111" s="133"/>
      <c r="D111" s="133"/>
      <c r="E111" s="3386" t="str">
        <f>IF(项目基本情况!E9="抵押净值",IF(OR(项目基本情况!E8="已注销",项目基本情况!E8="房地产抵押价值"),"4.抵押净值","5.抵押净值"),"——")</f>
        <v>——</v>
      </c>
      <c r="F111" s="3372"/>
      <c r="G111" s="1982" t="s">
        <v>2059</v>
      </c>
      <c r="H111" s="2790" t="str">
        <f>IF(E111="——","——",N59)</f>
        <v>——</v>
      </c>
      <c r="I111" s="133"/>
    </row>
    <row r="112" spans="1:35" ht="18.75" customHeight="1" thickBot="1">
      <c r="A112" s="133"/>
      <c r="B112" s="133"/>
      <c r="C112" s="133"/>
      <c r="D112" s="133"/>
      <c r="E112" s="3387"/>
      <c r="F112" s="3388"/>
      <c r="G112" s="1985" t="s">
        <v>2061</v>
      </c>
      <c r="H112" s="2794" t="str">
        <f>IF(E111="——","——",N61)</f>
        <v>——</v>
      </c>
      <c r="I112" s="133"/>
    </row>
    <row r="113" spans="1:27" ht="18.75" customHeight="1">
      <c r="A113" s="133"/>
      <c r="B113" s="133"/>
      <c r="C113" s="133"/>
      <c r="D113" s="133"/>
      <c r="E113" s="3395" t="s">
        <v>2067</v>
      </c>
      <c r="F113" s="3395"/>
      <c r="G113" s="3395"/>
      <c r="H113" s="3395"/>
      <c r="I113" s="133"/>
    </row>
    <row r="114" spans="1:27" ht="3.75" customHeight="1">
      <c r="A114" s="1902"/>
      <c r="B114" s="1902"/>
      <c r="C114" s="1902"/>
      <c r="D114" s="1902"/>
      <c r="E114" s="1964"/>
      <c r="F114" s="1964"/>
      <c r="G114" s="1964"/>
      <c r="H114" s="1964"/>
      <c r="I114" s="1902"/>
    </row>
    <row r="115" spans="1:27" ht="18.75" customHeight="1">
      <c r="A115" s="3406" t="s">
        <v>2069</v>
      </c>
      <c r="B115" s="3407"/>
      <c r="C115" s="3407"/>
      <c r="D115" s="3407"/>
      <c r="E115" s="3407"/>
      <c r="F115" s="3407"/>
      <c r="G115" s="3407"/>
      <c r="H115" s="3407"/>
      <c r="I115" s="3408"/>
    </row>
    <row r="116" spans="1:27" ht="27" customHeight="1">
      <c r="A116" s="3360" t="s">
        <v>2070</v>
      </c>
      <c r="B116" s="3364" t="s">
        <v>2071</v>
      </c>
      <c r="C116" s="3364" t="s">
        <v>2072</v>
      </c>
      <c r="D116" s="3370" t="s">
        <v>2073</v>
      </c>
      <c r="E116" s="3371"/>
      <c r="F116" s="3402" t="s">
        <v>2074</v>
      </c>
      <c r="G116" s="3402"/>
      <c r="H116" s="3360" t="s">
        <v>2075</v>
      </c>
      <c r="I116" s="3360"/>
    </row>
    <row r="117" spans="1:27" ht="18.75" customHeight="1">
      <c r="A117" s="3360"/>
      <c r="B117" s="3365"/>
      <c r="C117" s="3365"/>
      <c r="D117" s="2521" t="s">
        <v>2076</v>
      </c>
      <c r="E117" s="2521" t="s">
        <v>2077</v>
      </c>
      <c r="F117" s="2521" t="s">
        <v>2076</v>
      </c>
      <c r="G117" s="2521" t="s">
        <v>2078</v>
      </c>
      <c r="H117" s="2521" t="s">
        <v>2076</v>
      </c>
      <c r="I117" s="2521" t="s">
        <v>2078</v>
      </c>
    </row>
    <row r="118" spans="1:27" ht="24.75" customHeight="1">
      <c r="A118" s="2795" t="str">
        <f>项目基本情况!S2</f>
        <v>北京市出让国有建设用地使用权及在建建筑物房地产</v>
      </c>
      <c r="B118" s="2521">
        <f>M18</f>
        <v>33617.25</v>
      </c>
      <c r="C118" s="2521">
        <f>M19</f>
        <v>8422.83</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360" t="s">
        <v>2079</v>
      </c>
      <c r="B119" s="3360"/>
      <c r="C119" s="3360"/>
      <c r="D119" s="3366" t="e">
        <f ca="1">NUMBERSTRING(INT(D118*10000),2)&amp;"元整"</f>
        <v>#REF!</v>
      </c>
      <c r="E119" s="3367"/>
      <c r="F119" s="3366" t="e">
        <f ca="1">NUMBERSTRING(INT(F118*10000),2)&amp;"元整"</f>
        <v>#REF!</v>
      </c>
      <c r="G119" s="3367"/>
      <c r="H119" s="3366" t="e">
        <f ca="1">NUMBERSTRING(INT(H118*10000),2)&amp;"元整"</f>
        <v>#REF!</v>
      </c>
      <c r="I119" s="3367"/>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3" t="s">
        <v>2079</v>
      </c>
      <c r="B121" s="3404"/>
      <c r="C121" s="3405"/>
      <c r="D121" s="3366" t="str">
        <f>IF(D120=0,"零元整",NUMBERSTRING(INT(D120*10000),2)&amp;"元整")</f>
        <v>零元整</v>
      </c>
      <c r="E121" s="3368"/>
      <c r="F121" s="3368"/>
      <c r="G121" s="3368"/>
      <c r="H121" s="3368"/>
      <c r="I121" s="3367"/>
      <c r="AA121" s="733"/>
    </row>
    <row r="122" spans="1:27" ht="18.75" customHeight="1">
      <c r="A122" s="3372" t="str">
        <f>IF(项目基本情况!B9="房地产市场价值","",MID(E107,3,LEN(E107)-2))</f>
        <v>房地产抵押价值</v>
      </c>
      <c r="B122" s="3372"/>
      <c r="C122" s="3372"/>
      <c r="D122" s="3361" t="e">
        <f ca="1">H107</f>
        <v>#REF!</v>
      </c>
      <c r="E122" s="3362"/>
      <c r="F122" s="3362"/>
      <c r="G122" s="3362"/>
      <c r="H122" s="3362"/>
      <c r="I122" s="3363"/>
      <c r="AA122" s="733"/>
    </row>
    <row r="123" spans="1:27" ht="18.75" customHeight="1">
      <c r="A123" s="3360" t="s">
        <v>2079</v>
      </c>
      <c r="B123" s="3360"/>
      <c r="C123" s="3360"/>
      <c r="D123" s="3366" t="e">
        <f ca="1">NUMBERSTRING(INT(D122*10000),2)&amp;"元整"</f>
        <v>#REF!</v>
      </c>
      <c r="E123" s="3368"/>
      <c r="F123" s="3368"/>
      <c r="G123" s="3368"/>
      <c r="H123" s="3368"/>
      <c r="I123" s="3367"/>
      <c r="AA123" s="733"/>
    </row>
    <row r="124" spans="1:27" ht="18.75" customHeight="1">
      <c r="A124" s="3372" t="str">
        <f>IF(项目基本情况!B9="房地产市场价值","",MID(E109,3,LEN(E109)-2))</f>
        <v/>
      </c>
      <c r="B124" s="3372"/>
      <c r="C124" s="3372"/>
      <c r="D124" s="3361" t="str">
        <f>H109</f>
        <v>——</v>
      </c>
      <c r="E124" s="3362"/>
      <c r="F124" s="3362"/>
      <c r="G124" s="3362"/>
      <c r="H124" s="3362"/>
      <c r="I124" s="3363"/>
      <c r="AA124" s="733"/>
    </row>
    <row r="125" spans="1:27" ht="18.75" customHeight="1">
      <c r="A125" s="3360" t="s">
        <v>2079</v>
      </c>
      <c r="B125" s="3360"/>
      <c r="C125" s="3360"/>
      <c r="D125" s="3366" t="e">
        <f>NUMBERSTRING(INT(D124*10000),2)&amp;"元整"</f>
        <v>#VALUE!</v>
      </c>
      <c r="E125" s="3368"/>
      <c r="F125" s="3368"/>
      <c r="G125" s="3368"/>
      <c r="H125" s="3368"/>
      <c r="I125" s="3367"/>
      <c r="AA125" s="733"/>
    </row>
    <row r="126" spans="1:27" ht="18.75" customHeight="1">
      <c r="A126" s="3372" t="str">
        <f>IF(项目基本情况!B9="房地产市场价值","",MID(E111,3,LEN(E111)-2))</f>
        <v/>
      </c>
      <c r="B126" s="3372"/>
      <c r="C126" s="3372"/>
      <c r="D126" s="3361" t="str">
        <f>H111</f>
        <v>——</v>
      </c>
      <c r="E126" s="3362"/>
      <c r="F126" s="3362"/>
      <c r="G126" s="3362"/>
      <c r="H126" s="3362"/>
      <c r="I126" s="3363"/>
      <c r="AA126" s="733"/>
    </row>
    <row r="127" spans="1:27" ht="18.75" customHeight="1">
      <c r="A127" s="3360" t="s">
        <v>2079</v>
      </c>
      <c r="B127" s="3360"/>
      <c r="C127" s="3360"/>
      <c r="D127" s="3366" t="e">
        <f>NUMBERSTRING(INT(D126*10000),2)&amp;"元整"</f>
        <v>#VALUE!</v>
      </c>
      <c r="E127" s="3368"/>
      <c r="F127" s="3368"/>
      <c r="G127" s="3368"/>
      <c r="H127" s="3368"/>
      <c r="I127" s="3367"/>
      <c r="AA127" s="733"/>
    </row>
    <row r="128" spans="1:27" ht="21.75" customHeight="1">
      <c r="A128" s="3369" t="s">
        <v>2080</v>
      </c>
      <c r="B128" s="3369"/>
      <c r="C128" s="3369"/>
      <c r="D128" s="3369"/>
      <c r="E128" s="3369"/>
      <c r="F128" s="3369"/>
      <c r="G128" s="3369"/>
      <c r="H128" s="3369"/>
      <c r="I128" s="3369"/>
      <c r="AA128" s="733"/>
    </row>
    <row r="129" spans="1:35" ht="21.75" customHeight="1">
      <c r="A129" s="1986" t="s">
        <v>2081</v>
      </c>
      <c r="B129" s="1987"/>
      <c r="C129" s="1988" t="s">
        <v>2082</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2083</v>
      </c>
      <c r="G135" s="2003"/>
      <c r="H135" s="2003"/>
      <c r="I135" s="2004" t="s">
        <v>2084</v>
      </c>
    </row>
    <row r="136" spans="1:35" ht="21.75" customHeight="1">
      <c r="A136" s="733"/>
      <c r="B136" s="2005" t="s">
        <v>2085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2086</v>
      </c>
    </row>
    <row r="139" spans="1:35" ht="21.75" customHeight="1">
      <c r="A139" s="733"/>
      <c r="B139" s="2005" t="s">
        <v>2087</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2086</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Normal="70" zoomScaleSheetLayoutView="100" workbookViewId="0">
      <selection activeCell="E29" sqref="E2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2088</v>
      </c>
      <c r="B1" s="1623"/>
      <c r="C1" s="203"/>
      <c r="D1" s="203"/>
      <c r="E1" s="203"/>
      <c r="F1" s="203"/>
      <c r="G1" s="1259">
        <f>MATCH(B1,'数据-取费表'!A6:A16,0)+5</f>
        <v>8</v>
      </c>
    </row>
    <row r="2" spans="1:9" s="205" customFormat="1" ht="18" customHeight="1">
      <c r="A2" s="206" t="s">
        <v>2089</v>
      </c>
      <c r="B2" s="207">
        <f ca="1">IF(D2="——",C52,C52-E2)</f>
        <v>326759</v>
      </c>
      <c r="C2" s="204" t="s">
        <v>2090</v>
      </c>
      <c r="D2" s="2008" t="s">
        <v>70</v>
      </c>
      <c r="E2" s="1302" t="e">
        <f ca="1">SUMIF(INDIRECT("'"&amp;G2&amp;"'"&amp;"!A:A"),"承租人权益价值",INDIRECT("'"&amp;G2&amp;"'"&amp;"!c:c"))</f>
        <v>#REF!</v>
      </c>
      <c r="F2" s="2009" t="s">
        <v>2090</v>
      </c>
      <c r="G2" s="2010"/>
    </row>
    <row r="3" spans="1:9" s="205" customFormat="1" ht="18" customHeight="1" thickBot="1">
      <c r="A3" s="208" t="s">
        <v>2091</v>
      </c>
      <c r="B3" s="209">
        <f ca="1">ROUND(B2*10000/(IF(B1="",'数据-汇总表'!E3,INDIRECT("'数据-取费表'!k"&amp;$G$1))),0)</f>
        <v>97200</v>
      </c>
      <c r="C3" s="204" t="s">
        <v>2092</v>
      </c>
      <c r="D3" s="204"/>
      <c r="E3" s="204"/>
      <c r="F3" s="204"/>
      <c r="G3" s="204"/>
    </row>
    <row r="4" spans="1:9" s="213" customFormat="1" ht="15.75">
      <c r="A4" s="210" t="s">
        <v>2093</v>
      </c>
      <c r="B4" s="211"/>
      <c r="C4" s="211"/>
      <c r="D4" s="211"/>
      <c r="E4" s="211"/>
      <c r="F4" s="211"/>
      <c r="G4" s="212"/>
    </row>
    <row r="5" spans="1:9" s="219" customFormat="1" ht="13.5" customHeight="1">
      <c r="A5" s="260" t="s">
        <v>2094</v>
      </c>
      <c r="B5" s="215" t="s">
        <v>2095</v>
      </c>
      <c r="C5" s="216">
        <f ca="1">C6+C7+C8</f>
        <v>275256</v>
      </c>
      <c r="D5" s="216" t="s">
        <v>2096</v>
      </c>
      <c r="E5" s="217" t="s">
        <v>2097</v>
      </c>
      <c r="F5" s="217" t="s">
        <v>2098</v>
      </c>
      <c r="G5" s="218"/>
    </row>
    <row r="6" spans="1:9" s="219" customFormat="1" ht="13.5" customHeight="1">
      <c r="A6" s="885" t="s">
        <v>2099</v>
      </c>
      <c r="B6" s="220" t="s">
        <v>2100</v>
      </c>
      <c r="C6" s="221">
        <f>'土地比较法-住宅、综合'!F66</f>
        <v>266578</v>
      </c>
      <c r="D6" s="222"/>
      <c r="E6" s="223"/>
      <c r="F6" s="223"/>
      <c r="G6" s="224"/>
    </row>
    <row r="7" spans="1:9" s="219" customFormat="1" ht="13.5" customHeight="1">
      <c r="A7" s="885" t="s">
        <v>2101</v>
      </c>
      <c r="B7" s="220" t="s">
        <v>2102</v>
      </c>
      <c r="C7" s="225">
        <f>ROUND(C6*F7,0)</f>
        <v>8131</v>
      </c>
      <c r="D7" s="225"/>
      <c r="E7" s="223"/>
      <c r="F7" s="226">
        <f>IF(项目基本情况!B8="出让",0,'数据-取费表'!B48+'数据-取费表'!B49)</f>
        <v>3.0499999999999999E-2</v>
      </c>
      <c r="G7" s="224"/>
    </row>
    <row r="8" spans="1:9" s="228" customFormat="1">
      <c r="A8" s="885" t="s">
        <v>2103</v>
      </c>
      <c r="B8" s="220" t="s">
        <v>2104</v>
      </c>
      <c r="C8" s="3620">
        <f ca="1">IF(G8="已包含在土地购买价格中","0",IF(B1="",'数据-取费表'!B29,IF(G9="全部缴纳",C9+C10,H9)))</f>
        <v>547</v>
      </c>
      <c r="D8" s="227"/>
      <c r="E8" s="225"/>
      <c r="F8" s="226"/>
      <c r="G8" s="2011" t="s">
        <v>3205</v>
      </c>
    </row>
    <row r="9" spans="1:9" s="219" customFormat="1" ht="13.5" customHeight="1">
      <c r="A9" s="886" t="s">
        <v>800</v>
      </c>
      <c r="B9" s="229" t="s">
        <v>2105</v>
      </c>
      <c r="C9" s="230">
        <f ca="1">ROUND(D9*E9/10000,0)</f>
        <v>504</v>
      </c>
      <c r="D9" s="953">
        <f ca="1">IF(B1="",'数据-汇总表'!E5,IF(INDIRECT("'数据-取费表'!c"&amp;$G$1)="住宅",INDIRECT("'数据-取费表'!k"&amp;$G$1),0))</f>
        <v>31485.47</v>
      </c>
      <c r="E9" s="230">
        <f>'数据-取费表'!B27</f>
        <v>160</v>
      </c>
      <c r="F9" s="226"/>
      <c r="G9" s="2012"/>
      <c r="H9" s="1270"/>
      <c r="I9" s="2013" t="s">
        <v>2106</v>
      </c>
    </row>
    <row r="10" spans="1:9" s="219" customFormat="1" ht="13.5" customHeight="1">
      <c r="A10" s="886" t="s">
        <v>801</v>
      </c>
      <c r="B10" s="229" t="s">
        <v>2107</v>
      </c>
      <c r="C10" s="230">
        <f ca="1">ROUND(D10*E10/10000,0)</f>
        <v>43</v>
      </c>
      <c r="D10" s="953">
        <f ca="1">IF(B1="",'数据-汇总表'!E6,IF(INDIRECT("'数据-取费表'!c"&amp;$G$1)="住宅",INDIRECT("'数据-取费表'!s"&amp;$G$1),INDIRECT("'数据-取费表'!k"&amp;$G$1)+INDIRECT("'数据-取费表'!s"&amp;$G$1)))</f>
        <v>2131.7799999999988</v>
      </c>
      <c r="E10" s="230">
        <f>'数据-取费表'!B28</f>
        <v>200</v>
      </c>
      <c r="F10" s="226"/>
      <c r="G10" s="231"/>
    </row>
    <row r="11" spans="1:9" s="219" customFormat="1" ht="13.5" hidden="1" customHeight="1">
      <c r="A11" s="232" t="s">
        <v>7</v>
      </c>
      <c r="B11" s="220" t="s">
        <v>2108</v>
      </c>
      <c r="C11" s="216"/>
      <c r="D11" s="955"/>
      <c r="E11" s="223"/>
      <c r="F11" s="223"/>
      <c r="G11" s="224"/>
    </row>
    <row r="12" spans="1:9" s="219" customFormat="1" ht="13.5" hidden="1" customHeight="1">
      <c r="A12" s="232" t="s">
        <v>8</v>
      </c>
      <c r="B12" s="220" t="s">
        <v>2109</v>
      </c>
      <c r="C12" s="216">
        <v>0</v>
      </c>
      <c r="D12" s="955"/>
      <c r="E12" s="233"/>
      <c r="F12" s="226">
        <v>3.0499999999999999E-2</v>
      </c>
      <c r="G12" s="224"/>
    </row>
    <row r="13" spans="1:9" s="219" customFormat="1" ht="13.5" hidden="1" customHeight="1">
      <c r="A13" s="232" t="s">
        <v>9</v>
      </c>
      <c r="B13" s="220" t="s">
        <v>2110</v>
      </c>
      <c r="C13" s="216"/>
      <c r="D13" s="955"/>
      <c r="E13" s="223"/>
      <c r="F13" s="223"/>
      <c r="G13" s="224"/>
    </row>
    <row r="14" spans="1:9" s="219" customFormat="1" ht="13.5" hidden="1" customHeight="1">
      <c r="A14" s="232" t="s">
        <v>10</v>
      </c>
      <c r="B14" s="220" t="s">
        <v>2111</v>
      </c>
      <c r="C14" s="216"/>
      <c r="D14" s="955"/>
      <c r="E14" s="223"/>
      <c r="F14" s="223"/>
      <c r="G14" s="224" t="s">
        <v>2112</v>
      </c>
    </row>
    <row r="15" spans="1:9" s="219" customFormat="1" ht="13.5" hidden="1" customHeight="1">
      <c r="A15" s="232" t="s">
        <v>11</v>
      </c>
      <c r="B15" s="220" t="s">
        <v>2113</v>
      </c>
      <c r="C15" s="225"/>
      <c r="D15" s="955"/>
      <c r="E15" s="223"/>
      <c r="F15" s="223"/>
      <c r="G15" s="224" t="s">
        <v>2114</v>
      </c>
    </row>
    <row r="16" spans="1:9" s="219" customFormat="1" ht="13.5" hidden="1" customHeight="1">
      <c r="A16" s="232" t="s">
        <v>12</v>
      </c>
      <c r="B16" s="220" t="s">
        <v>2111</v>
      </c>
      <c r="C16" s="225"/>
      <c r="D16" s="955"/>
      <c r="E16" s="223"/>
      <c r="F16" s="223"/>
      <c r="G16" s="224"/>
    </row>
    <row r="17" spans="1:7" s="219" customFormat="1" ht="13.5" hidden="1" customHeight="1">
      <c r="A17" s="232" t="s">
        <v>13</v>
      </c>
      <c r="B17" s="220" t="s">
        <v>2115</v>
      </c>
      <c r="C17" s="234"/>
      <c r="D17" s="956"/>
      <c r="E17" s="234"/>
      <c r="F17" s="234"/>
      <c r="G17" s="224" t="s">
        <v>2114</v>
      </c>
    </row>
    <row r="18" spans="1:7" s="219" customFormat="1" ht="13.5" hidden="1" customHeight="1">
      <c r="A18" s="232" t="s">
        <v>14</v>
      </c>
      <c r="B18" s="220" t="s">
        <v>2116</v>
      </c>
      <c r="C18" s="225">
        <v>0</v>
      </c>
      <c r="D18" s="955"/>
      <c r="E18" s="223"/>
      <c r="F18" s="226">
        <v>3.0499999999999999E-2</v>
      </c>
      <c r="G18" s="224" t="s">
        <v>2117</v>
      </c>
    </row>
    <row r="19" spans="1:7" s="228" customFormat="1" ht="13.5" customHeight="1">
      <c r="A19" s="260" t="s">
        <v>2118</v>
      </c>
      <c r="B19" s="215" t="s">
        <v>2119</v>
      </c>
      <c r="C19" s="216" t="str">
        <f>IF(G19="已包含在土地取得成本中","0",ROUND(D19*E19/10000,0))</f>
        <v>0</v>
      </c>
      <c r="D19" s="957">
        <f ca="1">D9+D10</f>
        <v>33617.25</v>
      </c>
      <c r="E19" s="216">
        <f>'数据-取费表'!B31</f>
        <v>200</v>
      </c>
      <c r="F19" s="236"/>
      <c r="G19" s="2011" t="s">
        <v>3206</v>
      </c>
    </row>
    <row r="20" spans="1:7" s="219" customFormat="1" ht="13.5" customHeight="1">
      <c r="A20" s="260" t="s">
        <v>2120</v>
      </c>
      <c r="B20" s="215" t="s">
        <v>2121</v>
      </c>
      <c r="C20" s="237">
        <f ca="1">ROUND((C5+C19)*F20,0)</f>
        <v>5505</v>
      </c>
      <c r="D20" s="237"/>
      <c r="E20" s="237"/>
      <c r="F20" s="238">
        <f>'数据-取费表'!B37</f>
        <v>0.02</v>
      </c>
      <c r="G20" s="239" t="s">
        <v>2122</v>
      </c>
    </row>
    <row r="21" spans="1:7" s="219" customFormat="1" ht="13.5" customHeight="1">
      <c r="A21" s="260" t="s">
        <v>2123</v>
      </c>
      <c r="B21" s="215" t="s">
        <v>2124</v>
      </c>
      <c r="C21" s="240">
        <f>F21</f>
        <v>0.02</v>
      </c>
      <c r="D21" s="241" t="s">
        <v>2125</v>
      </c>
      <c r="E21" s="237"/>
      <c r="F21" s="238">
        <f>'数据-取费表'!B38</f>
        <v>0.02</v>
      </c>
      <c r="G21" s="239" t="s">
        <v>2126</v>
      </c>
    </row>
    <row r="22" spans="1:7" s="219" customFormat="1" ht="13.5" customHeight="1">
      <c r="A22" s="260" t="s">
        <v>2127</v>
      </c>
      <c r="B22" s="215" t="s">
        <v>2128</v>
      </c>
      <c r="C22" s="1235">
        <f ca="1">ROUND(SUM(C23:C25),0)</f>
        <v>5914</v>
      </c>
      <c r="D22" s="240">
        <f ca="1">C26</f>
        <v>2.0000000000000001E-4</v>
      </c>
      <c r="E22" s="241" t="s">
        <v>2125</v>
      </c>
      <c r="F22" s="242">
        <f ca="1">'数据-取费表'!B40</f>
        <v>4.2999999999999997E-2</v>
      </c>
      <c r="G22" s="239" t="str">
        <f>IF('数据-取费表'!B22&lt;=1,"单利计息","复利计息")</f>
        <v>复利计息</v>
      </c>
    </row>
    <row r="23" spans="1:7" s="219" customFormat="1" ht="13.5" customHeight="1">
      <c r="A23" s="887" t="s">
        <v>2129</v>
      </c>
      <c r="B23" s="220" t="s">
        <v>2130</v>
      </c>
      <c r="C23" s="1236">
        <f ca="1">ROUND(IF('数据-取费表'!B22&lt;=1,C5*F22*'数据-取费表'!B23,C5*(POWER((1+F22),'数据-取费表'!B23)-1)),0)</f>
        <v>5856</v>
      </c>
      <c r="D23" s="243"/>
      <c r="E23" s="243"/>
      <c r="F23" s="244"/>
      <c r="G23" s="245" t="s">
        <v>2131</v>
      </c>
    </row>
    <row r="24" spans="1:7" s="219" customFormat="1" ht="13.5" customHeight="1">
      <c r="A24" s="887" t="s">
        <v>2132</v>
      </c>
      <c r="B24" s="220" t="s">
        <v>2133</v>
      </c>
      <c r="C24" s="1236">
        <f ca="1">ROUND(IF('数据-取费表'!B22&lt;=1,C19*F22*('数据-取费表'!B19/2+'数据-取费表'!B21),C19*(POWER((1+F22),('数据-取费表'!B19/2+'数据-取费表'!B21))-1)),0)</f>
        <v>0</v>
      </c>
      <c r="D24" s="243"/>
      <c r="E24" s="243"/>
      <c r="F24" s="244"/>
      <c r="G24" s="245" t="s">
        <v>2134</v>
      </c>
    </row>
    <row r="25" spans="1:7" s="219" customFormat="1" ht="24">
      <c r="A25" s="887" t="s">
        <v>2135</v>
      </c>
      <c r="B25" s="220" t="s">
        <v>2136</v>
      </c>
      <c r="C25" s="1236">
        <f ca="1">ROUND(IF('数据-取费表'!B22&lt;=1,C20*F22*'数据-取费表'!B23/2,C20*(POWER((1+F22),'数据-取费表'!B23/2)-1)),0)</f>
        <v>58</v>
      </c>
      <c r="D25" s="243"/>
      <c r="E25" s="246"/>
      <c r="F25" s="244"/>
      <c r="G25" s="247" t="s">
        <v>2137</v>
      </c>
    </row>
    <row r="26" spans="1:7" s="219" customFormat="1">
      <c r="A26" s="887" t="s">
        <v>795</v>
      </c>
      <c r="B26" s="220" t="s">
        <v>2138</v>
      </c>
      <c r="C26" s="243">
        <f ca="1">ROUND(IF('数据-取费表'!B22&lt;=1,F21*F22*'数据-取费表'!B23/2,F21*(POWER((1+F22),'数据-取费表'!B23/2)-1)),4)</f>
        <v>2.0000000000000001E-4</v>
      </c>
      <c r="D26" s="243"/>
      <c r="E26" s="246"/>
      <c r="F26" s="244"/>
      <c r="G26" s="248"/>
    </row>
    <row r="27" spans="1:7" s="219" customFormat="1" ht="24.75">
      <c r="A27" s="260" t="s">
        <v>2139</v>
      </c>
      <c r="B27" s="249" t="s">
        <v>2140</v>
      </c>
      <c r="C27" s="250">
        <f ca="1">C28</f>
        <v>10529</v>
      </c>
      <c r="D27" s="240">
        <f ca="1">C29</f>
        <v>8.0000000000000004E-4</v>
      </c>
      <c r="E27" s="241" t="s">
        <v>2141</v>
      </c>
      <c r="F27" s="251">
        <f ca="1">IF(B1="",'数据-取费表'!Q16,INDIRECT("'数据-取费表'!q"&amp;$G$1))</f>
        <v>0.15</v>
      </c>
      <c r="G27" s="252" t="s">
        <v>2142</v>
      </c>
    </row>
    <row r="28" spans="1:7" s="219" customFormat="1" ht="13.5" customHeight="1">
      <c r="A28" s="887" t="s">
        <v>791</v>
      </c>
      <c r="B28" s="253" t="s">
        <v>2143</v>
      </c>
      <c r="C28" s="254">
        <f ca="1">ROUND((C5+C19+C20)*F27*'数据-取费表'!B21/'数据-取费表'!B20,0)</f>
        <v>10529</v>
      </c>
      <c r="D28" s="240"/>
      <c r="E28" s="241"/>
      <c r="F28" s="251"/>
      <c r="G28" s="252"/>
    </row>
    <row r="29" spans="1:7" s="219" customFormat="1" ht="13.5" customHeight="1">
      <c r="A29" s="887" t="s">
        <v>792</v>
      </c>
      <c r="B29" s="253" t="s">
        <v>2144</v>
      </c>
      <c r="C29" s="243">
        <f ca="1">ROUND(C21*F27*'数据-取费表'!B21/'数据-取费表'!B20,4)</f>
        <v>8.0000000000000004E-4</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321059</v>
      </c>
      <c r="D31" s="235"/>
      <c r="E31" s="216"/>
      <c r="F31" s="255"/>
      <c r="G31" s="239" t="s">
        <v>2149</v>
      </c>
    </row>
    <row r="32" spans="1:7" s="213" customFormat="1" ht="15.75">
      <c r="A32" s="257" t="s">
        <v>2150</v>
      </c>
      <c r="B32" s="258"/>
      <c r="C32" s="258"/>
      <c r="D32" s="258"/>
      <c r="E32" s="258"/>
      <c r="F32" s="258"/>
      <c r="G32" s="259"/>
    </row>
    <row r="33" spans="1:7" s="219" customFormat="1" ht="13.5" customHeight="1">
      <c r="A33" s="260" t="s">
        <v>782</v>
      </c>
      <c r="B33" s="215" t="s">
        <v>2151</v>
      </c>
      <c r="C33" s="261">
        <f ca="1">SUM(C34:C38)</f>
        <v>4447</v>
      </c>
      <c r="D33" s="237"/>
      <c r="E33" s="217"/>
      <c r="F33" s="246"/>
      <c r="G33" s="239"/>
    </row>
    <row r="34" spans="1:7" s="263" customFormat="1" ht="13.5" customHeight="1">
      <c r="A34" s="887" t="s">
        <v>791</v>
      </c>
      <c r="B34" s="220" t="s">
        <v>2152</v>
      </c>
      <c r="C34" s="225">
        <f ca="1">IF(B1="",IF(F34=100%,'数据-取费表'!M16,'数据-取费表'!O16),IF(F34=100%,INDIRECT("'数据-取费表'!m"&amp;$G$1)+INDIRECT("'数据-取费表'!t"&amp;$G$1),INDIRECT("'数据-取费表'!o"&amp;$G$1)+INDIRECT("'数据-取费表'!aq"&amp;$G$1)))</f>
        <v>3861</v>
      </c>
      <c r="D34" s="222"/>
      <c r="E34" s="225"/>
      <c r="F34" s="262">
        <f ca="1">IF('数据-取费表'!B24=0,1,IF(B1="",'数据-取费表'!N16,INDIRECT("'数据-取费表'!n"&amp;$G$1)))</f>
        <v>0.36</v>
      </c>
      <c r="G34" s="224" t="s">
        <v>2153</v>
      </c>
    </row>
    <row r="35" spans="1:7" ht="13.5" customHeight="1">
      <c r="A35" s="887" t="s">
        <v>796</v>
      </c>
      <c r="B35" s="220" t="s">
        <v>2154</v>
      </c>
      <c r="C35" s="225">
        <f ca="1">ROUND(C34*F35,0)</f>
        <v>116</v>
      </c>
      <c r="D35" s="225"/>
      <c r="E35" s="225"/>
      <c r="F35" s="264">
        <f>'数据-取费表'!B33</f>
        <v>0.03</v>
      </c>
      <c r="G35" s="224" t="s">
        <v>2155</v>
      </c>
    </row>
    <row r="36" spans="1:7" ht="24">
      <c r="A36" s="887" t="s">
        <v>797</v>
      </c>
      <c r="B36" s="220" t="s">
        <v>2156</v>
      </c>
      <c r="C36" s="225">
        <f ca="1">ROUND(IF(B1="",SUMIF('数据-取费表'!C:C,"住宅",IF(F34=100%,'数据-取费表'!M:M,'数据-取费表'!O:O))*F36,IF(INDIRECT("'数据-取费表'!c"&amp;$G$1)="住宅",IF(F34=100%,INDIRECT("'数据-取费表'!m"&amp;$G$1)*F36,INDIRECT("'数据-取费表'!o"&amp;$G$1)*F36),0)),0)</f>
        <v>170</v>
      </c>
      <c r="D36" s="225"/>
      <c r="E36" s="225"/>
      <c r="F36" s="264">
        <f>'数据-取费表'!B34</f>
        <v>0.05</v>
      </c>
      <c r="G36" s="265" t="s">
        <v>2157</v>
      </c>
    </row>
    <row r="37" spans="1:7" s="263" customFormat="1" ht="13.5" customHeight="1">
      <c r="A37" s="887" t="s">
        <v>798</v>
      </c>
      <c r="B37" s="220" t="s">
        <v>2158</v>
      </c>
      <c r="C37" s="254">
        <f ca="1">ROUND(E37*D37*F34/10000,0)</f>
        <v>242</v>
      </c>
      <c r="D37" s="222">
        <f ca="1">D19</f>
        <v>33617.25</v>
      </c>
      <c r="E37" s="254">
        <f>'数据-取费表'!B35</f>
        <v>200</v>
      </c>
      <c r="F37" s="264"/>
      <c r="G37" s="266" t="s">
        <v>2159</v>
      </c>
    </row>
    <row r="38" spans="1:7" ht="13.5" customHeight="1">
      <c r="A38" s="887" t="s">
        <v>799</v>
      </c>
      <c r="B38" s="220" t="s">
        <v>2160</v>
      </c>
      <c r="C38" s="225">
        <f ca="1">ROUND(C34*F38,0)</f>
        <v>58</v>
      </c>
      <c r="D38" s="225"/>
      <c r="E38" s="225"/>
      <c r="F38" s="264">
        <f>'数据-取费表'!B36</f>
        <v>1.4999999999999999E-2</v>
      </c>
      <c r="G38" s="224" t="s">
        <v>2155</v>
      </c>
    </row>
    <row r="39" spans="1:7" s="219" customFormat="1" ht="13.5" customHeight="1">
      <c r="A39" s="260" t="s">
        <v>2161</v>
      </c>
      <c r="B39" s="215" t="s">
        <v>2162</v>
      </c>
      <c r="C39" s="237">
        <f ca="1">ROUND(C33*F20,0)</f>
        <v>89</v>
      </c>
      <c r="D39" s="237"/>
      <c r="E39" s="237"/>
      <c r="F39" s="2504">
        <f>F20</f>
        <v>0.02</v>
      </c>
      <c r="G39" s="239" t="s">
        <v>2163</v>
      </c>
    </row>
    <row r="40" spans="1:7" s="219" customFormat="1" ht="13.5" customHeight="1">
      <c r="A40" s="260" t="s">
        <v>2164</v>
      </c>
      <c r="B40" s="215" t="s">
        <v>2165</v>
      </c>
      <c r="C40" s="1466">
        <f>F21</f>
        <v>0.02</v>
      </c>
      <c r="D40" s="241" t="s">
        <v>2166</v>
      </c>
      <c r="E40" s="237"/>
      <c r="F40" s="2504">
        <f>F21</f>
        <v>0.02</v>
      </c>
      <c r="G40" s="239" t="s">
        <v>2167</v>
      </c>
    </row>
    <row r="41" spans="1:7" s="219" customFormat="1" ht="13.5" customHeight="1">
      <c r="A41" s="260" t="s">
        <v>2168</v>
      </c>
      <c r="B41" s="215" t="s">
        <v>2169</v>
      </c>
      <c r="C41" s="237">
        <f ca="1">ROUND(SUM(C42:C43),0)</f>
        <v>48</v>
      </c>
      <c r="D41" s="240">
        <f ca="1">C44</f>
        <v>2.0000000000000001E-4</v>
      </c>
      <c r="E41" s="241" t="s">
        <v>2166</v>
      </c>
      <c r="F41" s="2505">
        <f ca="1">F22</f>
        <v>4.2999999999999997E-2</v>
      </c>
      <c r="G41" s="239" t="str">
        <f>IF('数据-取费表'!B22&lt;=1,"单利计息","复利计息")</f>
        <v>复利计息</v>
      </c>
    </row>
    <row r="42" spans="1:7" ht="13.5" customHeight="1">
      <c r="A42" s="887" t="s">
        <v>791</v>
      </c>
      <c r="B42" s="220" t="s">
        <v>2170</v>
      </c>
      <c r="C42" s="243">
        <f ca="1">ROUND(IF('数据-取费表'!B22&lt;=1,C33*F22*'数据-取费表'!B21/2,C33*(POWER((1+F22),'数据-取费表'!B21/2)-1)),0)</f>
        <v>47</v>
      </c>
      <c r="D42" s="243"/>
      <c r="E42" s="243"/>
      <c r="F42" s="244"/>
      <c r="G42" s="3442" t="s">
        <v>2171</v>
      </c>
    </row>
    <row r="43" spans="1:7" ht="13.5" customHeight="1">
      <c r="A43" s="887" t="s">
        <v>792</v>
      </c>
      <c r="B43" s="220" t="s">
        <v>2172</v>
      </c>
      <c r="C43" s="243">
        <f ca="1">ROUND(IF('数据-取费表'!B22&lt;=1,C39*F22*'数据-取费表'!B21/2,C39*(POWER((1+F22),'数据-取费表'!B21/2)-1)),0)</f>
        <v>1</v>
      </c>
      <c r="D43" s="243"/>
      <c r="E43" s="243"/>
      <c r="F43" s="244"/>
      <c r="G43" s="3443"/>
    </row>
    <row r="44" spans="1:7" ht="13.5" customHeight="1">
      <c r="A44" s="887" t="s">
        <v>793</v>
      </c>
      <c r="B44" s="220" t="s">
        <v>2173</v>
      </c>
      <c r="C44" s="243">
        <f ca="1">ROUND(IF('数据-取费表'!B22&lt;=1,C40*F22*'数据-取费表'!B21/2,C40*(POWER((1+F22),'数据-取费表'!B21/2)-1)),4)</f>
        <v>2.0000000000000001E-4</v>
      </c>
      <c r="D44" s="243"/>
      <c r="E44" s="243"/>
      <c r="F44" s="244"/>
      <c r="G44" s="3444"/>
    </row>
    <row r="45" spans="1:7" s="219" customFormat="1" ht="13.5" customHeight="1">
      <c r="A45" s="260" t="s">
        <v>2174</v>
      </c>
      <c r="B45" s="249" t="s">
        <v>2140</v>
      </c>
      <c r="C45" s="250">
        <f ca="1">C46</f>
        <v>680</v>
      </c>
      <c r="D45" s="240">
        <f ca="1">C47</f>
        <v>3.0000000000000001E-3</v>
      </c>
      <c r="E45" s="241" t="s">
        <v>2166</v>
      </c>
      <c r="F45" s="2506">
        <f ca="1">F27</f>
        <v>0.15</v>
      </c>
      <c r="G45" s="252" t="s">
        <v>2175</v>
      </c>
    </row>
    <row r="46" spans="1:7" s="219" customFormat="1" ht="13.5" customHeight="1">
      <c r="A46" s="887" t="s">
        <v>791</v>
      </c>
      <c r="B46" s="253" t="s">
        <v>2176</v>
      </c>
      <c r="C46" s="254">
        <f ca="1">ROUND((C33+C39)*F27,0)</f>
        <v>680</v>
      </c>
      <c r="D46" s="268"/>
      <c r="E46" s="241"/>
      <c r="F46" s="251"/>
      <c r="G46" s="252"/>
    </row>
    <row r="47" spans="1:7" s="219" customFormat="1" ht="13.5" customHeight="1">
      <c r="A47" s="887" t="s">
        <v>792</v>
      </c>
      <c r="B47" s="253" t="s">
        <v>2177</v>
      </c>
      <c r="C47" s="243">
        <f ca="1">ROUND(C40*F27,4)</f>
        <v>3.0000000000000001E-3</v>
      </c>
      <c r="D47" s="268"/>
      <c r="E47" s="241"/>
      <c r="F47" s="251"/>
      <c r="G47" s="252"/>
    </row>
    <row r="48" spans="1:7" s="219" customFormat="1" ht="13.5" customHeight="1">
      <c r="A48" s="260" t="s">
        <v>2139</v>
      </c>
      <c r="B48" s="215" t="s">
        <v>2178</v>
      </c>
      <c r="C48" s="1466">
        <f>ROUND(F30/(1+'数据-取费表'!C42),4)</f>
        <v>5.33E-2</v>
      </c>
      <c r="D48" s="241" t="s">
        <v>2166</v>
      </c>
      <c r="E48" s="237"/>
      <c r="F48" s="2505">
        <f>F30</f>
        <v>5.6000000000000001E-2</v>
      </c>
      <c r="G48" s="239" t="s">
        <v>2179</v>
      </c>
    </row>
    <row r="49" spans="1:7" ht="16.5" customHeight="1">
      <c r="A49" s="260" t="s">
        <v>2145</v>
      </c>
      <c r="B49" s="215" t="s">
        <v>2180</v>
      </c>
      <c r="C49" s="237">
        <f ca="1">ROUND((C33+C39+C41+C45)/(1-C40-D41-D45-C48),0)</f>
        <v>5700</v>
      </c>
      <c r="D49" s="237"/>
      <c r="E49" s="237"/>
      <c r="F49" s="269"/>
      <c r="G49" s="239" t="s">
        <v>2181</v>
      </c>
    </row>
    <row r="50" spans="1:7" s="263" customFormat="1" ht="24">
      <c r="A50" s="260" t="s">
        <v>2182</v>
      </c>
      <c r="B50" s="215" t="s">
        <v>2183</v>
      </c>
      <c r="C50" s="237"/>
      <c r="D50" s="237"/>
      <c r="E50" s="237"/>
      <c r="F50" s="269">
        <f>IF('数据-取费表'!B24=0,'数据-取费表'!N16,1)</f>
        <v>1</v>
      </c>
      <c r="G50" s="252" t="s">
        <v>2184</v>
      </c>
    </row>
    <row r="51" spans="1:7" ht="16.5" customHeight="1">
      <c r="A51" s="260" t="s">
        <v>2185</v>
      </c>
      <c r="B51" s="215" t="s">
        <v>2186</v>
      </c>
      <c r="C51" s="237">
        <f ca="1">ROUND(C49*F50,0)</f>
        <v>5700</v>
      </c>
      <c r="D51" s="237"/>
      <c r="E51" s="237"/>
      <c r="F51" s="269"/>
      <c r="G51" s="239" t="s">
        <v>2187</v>
      </c>
    </row>
    <row r="52" spans="1:7" s="213" customFormat="1" ht="16.5" thickBot="1">
      <c r="A52" s="270" t="s">
        <v>2188</v>
      </c>
      <c r="B52" s="271"/>
      <c r="C52" s="272">
        <f ca="1">C31+C51</f>
        <v>326759</v>
      </c>
      <c r="D52" s="271"/>
      <c r="E52" s="271"/>
      <c r="F52" s="271"/>
      <c r="G52" s="273"/>
    </row>
    <row r="55" spans="1:7" ht="15">
      <c r="B55" s="275" t="s">
        <v>2189</v>
      </c>
      <c r="C55" s="276"/>
    </row>
    <row r="56" spans="1:7">
      <c r="B56" s="278" t="s">
        <v>1418</v>
      </c>
      <c r="C56" s="280">
        <f ca="1">1-C57</f>
        <v>0.98299999999999998</v>
      </c>
    </row>
    <row r="57" spans="1:7">
      <c r="B57" s="278" t="s">
        <v>1419</v>
      </c>
      <c r="C57" s="279">
        <f ca="1">ROUND(C51/C52,3)</f>
        <v>1.7000000000000001E-2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3" t="str">
        <f>项目基本情况!B1</f>
        <v>北京市出让国有建设用地使用权及在建建筑物房地产抵押价值预评估</v>
      </c>
      <c r="C37" s="3253"/>
      <c r="D37" s="3253"/>
      <c r="E37" s="3253"/>
      <c r="F37" s="3253"/>
      <c r="G37" s="3253"/>
      <c r="H37" s="3253"/>
      <c r="I37" s="3253"/>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项目基本情况!K4</f>
        <v>（注册号：0)、（注册号：0)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2088</v>
      </c>
      <c r="B1" s="1623"/>
      <c r="C1" s="2014" t="s">
        <v>2190</v>
      </c>
      <c r="D1" s="203"/>
      <c r="E1" s="203"/>
      <c r="F1" s="203"/>
      <c r="G1" s="1259">
        <f>MATCH(B1,'数据-取费表'!A6:A16,0)+5</f>
        <v>8</v>
      </c>
      <c r="H1" s="1191" t="str">
        <f>IF(ISERROR(FIND("住宅",B1)),"非住宅","住宅")</f>
        <v>非住宅</v>
      </c>
    </row>
    <row r="2" spans="1:8" s="205" customFormat="1" ht="18" customHeight="1">
      <c r="A2" s="206" t="s">
        <v>2089</v>
      </c>
      <c r="B2" s="207">
        <f ca="1">ROUND(IF(D2="——",C52/10000,C52/10000-E2),0)</f>
        <v>17954</v>
      </c>
      <c r="C2" s="204" t="s">
        <v>2090</v>
      </c>
      <c r="D2" s="2008" t="s">
        <v>70</v>
      </c>
      <c r="E2" s="1302" t="e">
        <f ca="1">SUMIF(INDIRECT("'"&amp;G2&amp;"'"&amp;"!A:A"),"承租人权益价值",INDIRECT("'"&amp;G2&amp;"'"&amp;"!c:c"))</f>
        <v>#REF!</v>
      </c>
      <c r="F2" s="2009" t="s">
        <v>2090</v>
      </c>
      <c r="G2" s="2010"/>
    </row>
    <row r="3" spans="1:8" s="205" customFormat="1" ht="18" customHeight="1" thickBot="1">
      <c r="A3" s="208" t="s">
        <v>2091</v>
      </c>
      <c r="B3" s="209">
        <f ca="1">ROUND(B2*10000/(IF(B1="",'数据-汇总表'!E3,INDIRECT("'数据-取费表'!k"&amp;$G$1))),0)</f>
        <v>5341</v>
      </c>
      <c r="C3" s="204" t="s">
        <v>2092</v>
      </c>
      <c r="D3" s="204"/>
      <c r="E3" s="204"/>
      <c r="F3" s="204"/>
      <c r="G3" s="204"/>
    </row>
    <row r="4" spans="1:8" s="213" customFormat="1" ht="15.75">
      <c r="A4" s="210" t="s">
        <v>2093</v>
      </c>
      <c r="B4" s="211"/>
      <c r="C4" s="211"/>
      <c r="D4" s="211"/>
      <c r="E4" s="211"/>
      <c r="F4" s="211"/>
      <c r="G4" s="212"/>
    </row>
    <row r="5" spans="1:8" s="219" customFormat="1" ht="13.5" customHeight="1">
      <c r="A5" s="260" t="s">
        <v>2094</v>
      </c>
      <c r="B5" s="215" t="s">
        <v>2095</v>
      </c>
      <c r="C5" s="216">
        <f ca="1">C6+C7+C8</f>
        <v>5464031</v>
      </c>
      <c r="D5" s="216" t="s">
        <v>2096</v>
      </c>
      <c r="E5" s="217" t="s">
        <v>2097</v>
      </c>
      <c r="F5" s="217" t="s">
        <v>2098</v>
      </c>
      <c r="G5" s="218"/>
    </row>
    <row r="6" spans="1:8" s="219" customFormat="1" ht="13.5" customHeight="1">
      <c r="A6" s="885" t="s">
        <v>2099</v>
      </c>
      <c r="B6" s="220" t="s">
        <v>2100</v>
      </c>
      <c r="C6" s="221"/>
      <c r="D6" s="222"/>
      <c r="E6" s="223"/>
      <c r="F6" s="223"/>
      <c r="G6" s="224"/>
    </row>
    <row r="7" spans="1:8" s="219" customFormat="1" ht="13.5" customHeight="1">
      <c r="A7" s="885" t="s">
        <v>2101</v>
      </c>
      <c r="B7" s="220" t="s">
        <v>2102</v>
      </c>
      <c r="C7" s="225">
        <f>ROUND(C6*F7,0)</f>
        <v>0</v>
      </c>
      <c r="D7" s="225"/>
      <c r="E7" s="223"/>
      <c r="F7" s="226">
        <f>IF(项目基本情况!B8="出让",0,'数据-取费表'!B48+'数据-取费表'!B49)</f>
        <v>3.0499999999999999E-2</v>
      </c>
      <c r="G7" s="224"/>
    </row>
    <row r="8" spans="1:8" s="228" customFormat="1">
      <c r="A8" s="885" t="s">
        <v>2103</v>
      </c>
      <c r="B8" s="220" t="s">
        <v>2104</v>
      </c>
      <c r="C8" s="225">
        <f ca="1">IF(G8="已包含在土地购买价格中",0,C9+C10)</f>
        <v>5464031</v>
      </c>
      <c r="D8" s="227"/>
      <c r="E8" s="225"/>
      <c r="F8" s="226"/>
      <c r="G8" s="2011"/>
    </row>
    <row r="9" spans="1:8" s="219" customFormat="1" ht="13.5" customHeight="1">
      <c r="A9" s="886" t="s">
        <v>800</v>
      </c>
      <c r="B9" s="229" t="s">
        <v>2105</v>
      </c>
      <c r="C9" s="230">
        <f ca="1">ROUND(D9*E9,0)</f>
        <v>5037675</v>
      </c>
      <c r="D9" s="953">
        <f ca="1">IF(B1="",'数据-汇总表'!E5,IF(INDIRECT("'数据-取费表'!c"&amp;$G$1)="住宅",INDIRECT("'数据-取费表'!k"&amp;$G$1),0))</f>
        <v>31485.47</v>
      </c>
      <c r="E9" s="230">
        <f>'数据-取费表'!B27</f>
        <v>160</v>
      </c>
      <c r="F9" s="226"/>
      <c r="G9" s="231"/>
    </row>
    <row r="10" spans="1:8" s="219" customFormat="1" ht="13.5" customHeight="1">
      <c r="A10" s="886" t="s">
        <v>801</v>
      </c>
      <c r="B10" s="229" t="s">
        <v>2107</v>
      </c>
      <c r="C10" s="230">
        <f ca="1">ROUND(D10*E10,0)</f>
        <v>426356</v>
      </c>
      <c r="D10" s="953">
        <f ca="1">IF(B1="",'数据-汇总表'!E6,IF(INDIRECT("'数据-取费表'!c"&amp;$G$1)="住宅",INDIRECT("'数据-取费表'!s"&amp;$G$1),INDIRECT("'数据-取费表'!k"&amp;$G$1)+INDIRECT("'数据-取费表'!s"&amp;$G$1)))</f>
        <v>2131.7799999999988</v>
      </c>
      <c r="E10" s="230">
        <f>'数据-取费表'!B28</f>
        <v>200</v>
      </c>
      <c r="F10" s="226"/>
      <c r="G10" s="231"/>
    </row>
    <row r="11" spans="1:8" s="219" customFormat="1" ht="13.5" hidden="1" customHeight="1">
      <c r="A11" s="232" t="s">
        <v>7</v>
      </c>
      <c r="B11" s="220" t="s">
        <v>2108</v>
      </c>
      <c r="C11" s="216"/>
      <c r="D11" s="955"/>
      <c r="E11" s="223"/>
      <c r="F11" s="223"/>
      <c r="G11" s="224"/>
    </row>
    <row r="12" spans="1:8" s="219" customFormat="1" ht="13.5" hidden="1" customHeight="1">
      <c r="A12" s="232" t="s">
        <v>8</v>
      </c>
      <c r="B12" s="220" t="s">
        <v>2191</v>
      </c>
      <c r="C12" s="216">
        <v>0</v>
      </c>
      <c r="D12" s="955"/>
      <c r="E12" s="233"/>
      <c r="F12" s="226">
        <v>3.0499999999999999E-2</v>
      </c>
      <c r="G12" s="224"/>
    </row>
    <row r="13" spans="1:8" s="219" customFormat="1" ht="13.5" hidden="1" customHeight="1">
      <c r="A13" s="232" t="s">
        <v>9</v>
      </c>
      <c r="B13" s="220" t="s">
        <v>2192</v>
      </c>
      <c r="C13" s="216"/>
      <c r="D13" s="955"/>
      <c r="E13" s="223"/>
      <c r="F13" s="223"/>
      <c r="G13" s="224"/>
    </row>
    <row r="14" spans="1:8" s="219" customFormat="1" ht="13.5" hidden="1" customHeight="1">
      <c r="A14" s="232" t="s">
        <v>10</v>
      </c>
      <c r="B14" s="220" t="s">
        <v>2104</v>
      </c>
      <c r="C14" s="216"/>
      <c r="D14" s="955"/>
      <c r="E14" s="223"/>
      <c r="F14" s="223"/>
      <c r="G14" s="224" t="s">
        <v>2193</v>
      </c>
    </row>
    <row r="15" spans="1:8" s="219" customFormat="1" ht="13.5" hidden="1" customHeight="1">
      <c r="A15" s="232" t="s">
        <v>11</v>
      </c>
      <c r="B15" s="220" t="s">
        <v>2194</v>
      </c>
      <c r="C15" s="225"/>
      <c r="D15" s="955"/>
      <c r="E15" s="223"/>
      <c r="F15" s="223"/>
      <c r="G15" s="224" t="s">
        <v>2195</v>
      </c>
    </row>
    <row r="16" spans="1:8" s="219" customFormat="1" ht="13.5" hidden="1" customHeight="1">
      <c r="A16" s="232" t="s">
        <v>12</v>
      </c>
      <c r="B16" s="220" t="s">
        <v>2104</v>
      </c>
      <c r="C16" s="225"/>
      <c r="D16" s="955"/>
      <c r="E16" s="223"/>
      <c r="F16" s="223"/>
      <c r="G16" s="224"/>
    </row>
    <row r="17" spans="1:7" s="219" customFormat="1" ht="13.5" hidden="1" customHeight="1">
      <c r="A17" s="232" t="s">
        <v>13</v>
      </c>
      <c r="B17" s="220" t="s">
        <v>2196</v>
      </c>
      <c r="C17" s="234"/>
      <c r="D17" s="956"/>
      <c r="E17" s="234"/>
      <c r="F17" s="234"/>
      <c r="G17" s="224" t="s">
        <v>2195</v>
      </c>
    </row>
    <row r="18" spans="1:7" s="219" customFormat="1" ht="13.5" hidden="1" customHeight="1">
      <c r="A18" s="232" t="s">
        <v>14</v>
      </c>
      <c r="B18" s="220" t="s">
        <v>2197</v>
      </c>
      <c r="C18" s="225">
        <v>0</v>
      </c>
      <c r="D18" s="955"/>
      <c r="E18" s="223"/>
      <c r="F18" s="226">
        <v>3.0499999999999999E-2</v>
      </c>
      <c r="G18" s="224" t="s">
        <v>2198</v>
      </c>
    </row>
    <row r="19" spans="1:7" s="228" customFormat="1" ht="13.5" customHeight="1">
      <c r="A19" s="260" t="s">
        <v>2199</v>
      </c>
      <c r="B19" s="215" t="s">
        <v>2200</v>
      </c>
      <c r="C19" s="216">
        <f ca="1">IF(G19="已包含在土地取得成本中","0",ROUND(D19*E19,0))</f>
        <v>6723450</v>
      </c>
      <c r="D19" s="957">
        <f ca="1">D9+D10</f>
        <v>33617.25</v>
      </c>
      <c r="E19" s="216">
        <f>'数据-取费表'!B31</f>
        <v>200</v>
      </c>
      <c r="F19" s="236"/>
      <c r="G19" s="2011"/>
    </row>
    <row r="20" spans="1:7" s="219" customFormat="1" ht="13.5" customHeight="1">
      <c r="A20" s="260" t="s">
        <v>2201</v>
      </c>
      <c r="B20" s="215" t="s">
        <v>2202</v>
      </c>
      <c r="C20" s="237">
        <f ca="1">ROUND((C5+C19)*F20,0)</f>
        <v>243750</v>
      </c>
      <c r="D20" s="237"/>
      <c r="E20" s="237"/>
      <c r="F20" s="238">
        <f>'数据-取费表'!B37</f>
        <v>0.02</v>
      </c>
      <c r="G20" s="239" t="s">
        <v>2203</v>
      </c>
    </row>
    <row r="21" spans="1:7" s="219" customFormat="1" ht="13.5" customHeight="1">
      <c r="A21" s="260" t="s">
        <v>2204</v>
      </c>
      <c r="B21" s="215" t="s">
        <v>2205</v>
      </c>
      <c r="C21" s="240">
        <f>F21</f>
        <v>0.02</v>
      </c>
      <c r="D21" s="241" t="s">
        <v>2206</v>
      </c>
      <c r="E21" s="237"/>
      <c r="F21" s="238">
        <f>'数据-取费表'!B38</f>
        <v>0.02</v>
      </c>
      <c r="G21" s="239" t="s">
        <v>2207</v>
      </c>
    </row>
    <row r="22" spans="1:7" s="219" customFormat="1" ht="13.5" customHeight="1">
      <c r="A22" s="260" t="s">
        <v>2208</v>
      </c>
      <c r="B22" s="215" t="s">
        <v>2209</v>
      </c>
      <c r="C22" s="1260">
        <f ca="1">ROUND(SUM(C23:C25),0)</f>
        <v>1081139</v>
      </c>
      <c r="D22" s="240">
        <f ca="1">C26</f>
        <v>8.9999999999999998E-4</v>
      </c>
      <c r="E22" s="241" t="s">
        <v>2206</v>
      </c>
      <c r="F22" s="242">
        <f ca="1">'数据-取费表'!B40</f>
        <v>4.2999999999999997E-2</v>
      </c>
      <c r="G22" s="239" t="str">
        <f>IF('数据-取费表'!B22&lt;=1,"单利计息","复利计息")</f>
        <v>复利计息</v>
      </c>
    </row>
    <row r="23" spans="1:7" s="219" customFormat="1" ht="13.5" customHeight="1">
      <c r="A23" s="887" t="s">
        <v>2099</v>
      </c>
      <c r="B23" s="220" t="s">
        <v>2210</v>
      </c>
      <c r="C23" s="1261">
        <f ca="1">ROUND(IF('数据-取费表'!B22&lt;=1,C5*F22*'数据-取费表'!B22,C5*(POWER((1+F22),'数据-取费表'!B22)-1)),0)</f>
        <v>480010</v>
      </c>
      <c r="D23" s="243"/>
      <c r="E23" s="243"/>
      <c r="F23" s="244"/>
      <c r="G23" s="245" t="s">
        <v>2211</v>
      </c>
    </row>
    <row r="24" spans="1:7" s="219" customFormat="1" ht="13.5" customHeight="1">
      <c r="A24" s="887" t="s">
        <v>2101</v>
      </c>
      <c r="B24" s="220" t="s">
        <v>2212</v>
      </c>
      <c r="C24" s="1261">
        <f ca="1">ROUND(IF('数据-取费表'!B22&lt;=1,C19*F22*('数据-取费表'!B19/2+'数据-取费表'!B20),C19*(POWER((1+F22),('数据-取费表'!B19/2+'数据-取费表'!B20))-1)),0)</f>
        <v>590648</v>
      </c>
      <c r="D24" s="243"/>
      <c r="E24" s="243"/>
      <c r="F24" s="244"/>
      <c r="G24" s="245" t="s">
        <v>2213</v>
      </c>
    </row>
    <row r="25" spans="1:7" s="219" customFormat="1" ht="24">
      <c r="A25" s="887" t="s">
        <v>2103</v>
      </c>
      <c r="B25" s="220" t="s">
        <v>2214</v>
      </c>
      <c r="C25" s="1261">
        <f ca="1">ROUND(IF('数据-取费表'!B22&lt;=1,C20*F22*'数据-取费表'!B22/2,C20*(POWER((1+F22),'数据-取费表'!B22/2)-1)),0)</f>
        <v>10481</v>
      </c>
      <c r="D25" s="243"/>
      <c r="E25" s="246"/>
      <c r="F25" s="244"/>
      <c r="G25" s="247" t="s">
        <v>2215</v>
      </c>
    </row>
    <row r="26" spans="1:7" s="219" customFormat="1">
      <c r="A26" s="887" t="s">
        <v>795</v>
      </c>
      <c r="B26" s="220" t="s">
        <v>2138</v>
      </c>
      <c r="C26" s="243">
        <f ca="1">ROUND(IF('数据-取费表'!B22&lt;=1,F21*F22*'数据-取费表'!B22/2,F21*(POWER((1+F22),'数据-取费表'!B22/2)-1)),4)</f>
        <v>8.9999999999999998E-4</v>
      </c>
      <c r="D26" s="243"/>
      <c r="E26" s="246"/>
      <c r="F26" s="244"/>
      <c r="G26" s="248"/>
    </row>
    <row r="27" spans="1:7" s="219" customFormat="1" ht="24.75">
      <c r="A27" s="260" t="s">
        <v>2139</v>
      </c>
      <c r="B27" s="249" t="s">
        <v>2140</v>
      </c>
      <c r="C27" s="250">
        <f ca="1">C28</f>
        <v>1864685</v>
      </c>
      <c r="D27" s="240">
        <f ca="1">C29</f>
        <v>3.0000000000000001E-3</v>
      </c>
      <c r="E27" s="241" t="s">
        <v>2141</v>
      </c>
      <c r="F27" s="251">
        <f ca="1">IF(B1="",'数据-取费表'!Q16,INDIRECT("'数据-取费表'!q"&amp;$G$1))</f>
        <v>0.15</v>
      </c>
      <c r="G27" s="252" t="s">
        <v>2142</v>
      </c>
    </row>
    <row r="28" spans="1:7" s="219" customFormat="1" ht="13.5" customHeight="1">
      <c r="A28" s="887" t="s">
        <v>791</v>
      </c>
      <c r="B28" s="253" t="s">
        <v>2143</v>
      </c>
      <c r="C28" s="254">
        <f ca="1">ROUND((C5+C19+C20)*F27,0)</f>
        <v>1864685</v>
      </c>
      <c r="D28" s="240"/>
      <c r="E28" s="241"/>
      <c r="F28" s="251"/>
      <c r="G28" s="252"/>
    </row>
    <row r="29" spans="1:7" s="219" customFormat="1" ht="13.5" customHeight="1">
      <c r="A29" s="887" t="s">
        <v>792</v>
      </c>
      <c r="B29" s="253" t="s">
        <v>2144</v>
      </c>
      <c r="C29" s="243">
        <f ca="1">ROUND(C21*F27,4)</f>
        <v>3.0000000000000001E-3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16663475</v>
      </c>
      <c r="D31" s="235"/>
      <c r="E31" s="216"/>
      <c r="F31" s="255"/>
      <c r="G31" s="239" t="s">
        <v>2149</v>
      </c>
    </row>
    <row r="32" spans="1:7" s="213" customFormat="1" ht="15.75">
      <c r="A32" s="257" t="s">
        <v>2216</v>
      </c>
      <c r="B32" s="258"/>
      <c r="C32" s="258"/>
      <c r="D32" s="258"/>
      <c r="E32" s="258"/>
      <c r="F32" s="258"/>
      <c r="G32" s="259"/>
    </row>
    <row r="33" spans="1:7" s="219" customFormat="1" ht="13.5" customHeight="1">
      <c r="A33" s="260" t="s">
        <v>782</v>
      </c>
      <c r="B33" s="215" t="s">
        <v>2217</v>
      </c>
      <c r="C33" s="261">
        <f ca="1">SUM(C34:C38)</f>
        <v>123519480</v>
      </c>
      <c r="D33" s="237"/>
      <c r="E33" s="217"/>
      <c r="F33" s="246"/>
      <c r="G33" s="239"/>
    </row>
    <row r="34" spans="1:7" s="263" customFormat="1" ht="13.5" customHeight="1">
      <c r="A34" s="887" t="s">
        <v>791</v>
      </c>
      <c r="B34" s="220" t="s">
        <v>2152</v>
      </c>
      <c r="C34" s="225">
        <f ca="1">ROUND(IF(B1="",SUMPRODUCT('数据-取费表'!K6:K14,'数据-取费表'!L6:L14),INDIRECT("'数据-取费表'!l"&amp;$G$1)*INDIRECT("'数据-取费表'!k"&amp;$G$1)+'数据-取费表'!L14*INDIRECT("'数据-取费表'!S"&amp;$G$1)),0)</f>
        <v>107247090</v>
      </c>
      <c r="D34" s="222"/>
      <c r="E34" s="225"/>
      <c r="F34" s="262"/>
      <c r="G34" s="224"/>
    </row>
    <row r="35" spans="1:7" ht="13.5" customHeight="1">
      <c r="A35" s="887" t="s">
        <v>796</v>
      </c>
      <c r="B35" s="220" t="s">
        <v>2154</v>
      </c>
      <c r="C35" s="225">
        <f ca="1">ROUND(C34*F35,0)</f>
        <v>3217413</v>
      </c>
      <c r="D35" s="225"/>
      <c r="E35" s="225"/>
      <c r="F35" s="264">
        <f>'数据-取费表'!B33</f>
        <v>0.03</v>
      </c>
      <c r="G35" s="224" t="s">
        <v>2155</v>
      </c>
    </row>
    <row r="36" spans="1:7" ht="24">
      <c r="A36" s="887" t="s">
        <v>797</v>
      </c>
      <c r="B36" s="220" t="s">
        <v>2156</v>
      </c>
      <c r="C36" s="225">
        <f ca="1">ROUND(IF(B1="",SUM('数据-取费表'!AP6:AP13)*F36,IF(INDIRECT("'数据-取费表'!c"&amp;$G$1)="住宅",INDIRECT("'数据-取费表'!k"&amp;$G$1)*INDIRECT("'数据-取费表'!l"&amp;$G$1)*F36,0)),0)</f>
        <v>4722821</v>
      </c>
      <c r="D36" s="225"/>
      <c r="E36" s="225"/>
      <c r="F36" s="264">
        <f>'数据-取费表'!B34</f>
        <v>0.05</v>
      </c>
      <c r="G36" s="265" t="s">
        <v>2157</v>
      </c>
    </row>
    <row r="37" spans="1:7" s="263" customFormat="1" ht="13.5" customHeight="1">
      <c r="A37" s="887" t="s">
        <v>798</v>
      </c>
      <c r="B37" s="220" t="s">
        <v>2158</v>
      </c>
      <c r="C37" s="254">
        <f ca="1">ROUND(E37*D37,0)</f>
        <v>6723450</v>
      </c>
      <c r="D37" s="222">
        <f ca="1">D19</f>
        <v>33617.25</v>
      </c>
      <c r="E37" s="254">
        <f>'数据-取费表'!B35</f>
        <v>200</v>
      </c>
      <c r="F37" s="264"/>
      <c r="G37" s="266"/>
    </row>
    <row r="38" spans="1:7" ht="13.5" customHeight="1">
      <c r="A38" s="887" t="s">
        <v>799</v>
      </c>
      <c r="B38" s="220" t="s">
        <v>2160</v>
      </c>
      <c r="C38" s="225">
        <f ca="1">ROUND(C34*F38,0)</f>
        <v>1608706</v>
      </c>
      <c r="D38" s="225"/>
      <c r="E38" s="225"/>
      <c r="F38" s="264">
        <f>'数据-取费表'!B36</f>
        <v>1.4999999999999999E-2</v>
      </c>
      <c r="G38" s="224" t="s">
        <v>2155</v>
      </c>
    </row>
    <row r="39" spans="1:7" s="219" customFormat="1" ht="13.5" customHeight="1">
      <c r="A39" s="260" t="s">
        <v>2161</v>
      </c>
      <c r="B39" s="215" t="s">
        <v>2162</v>
      </c>
      <c r="C39" s="237">
        <f ca="1">ROUND(C33*F20,0)</f>
        <v>2470390</v>
      </c>
      <c r="D39" s="237"/>
      <c r="E39" s="237"/>
      <c r="F39" s="2504">
        <f>F20</f>
        <v>0.02</v>
      </c>
      <c r="G39" s="239" t="s">
        <v>2163</v>
      </c>
    </row>
    <row r="40" spans="1:7" s="219" customFormat="1" ht="13.5" customHeight="1">
      <c r="A40" s="260" t="s">
        <v>2164</v>
      </c>
      <c r="B40" s="215" t="s">
        <v>2165</v>
      </c>
      <c r="C40" s="1466">
        <f>F21</f>
        <v>0.02</v>
      </c>
      <c r="D40" s="241" t="s">
        <v>2166</v>
      </c>
      <c r="E40" s="237"/>
      <c r="F40" s="2504">
        <f>F21</f>
        <v>0.02</v>
      </c>
      <c r="G40" s="239" t="s">
        <v>2167</v>
      </c>
    </row>
    <row r="41" spans="1:7" s="219" customFormat="1" ht="13.5" customHeight="1">
      <c r="A41" s="260" t="s">
        <v>2168</v>
      </c>
      <c r="B41" s="215" t="s">
        <v>2169</v>
      </c>
      <c r="C41" s="237">
        <f ca="1">ROUND(SUM(C42:C43),0)</f>
        <v>5417565</v>
      </c>
      <c r="D41" s="240">
        <f ca="1">C44</f>
        <v>8.9999999999999998E-4</v>
      </c>
      <c r="E41" s="241" t="s">
        <v>2166</v>
      </c>
      <c r="F41" s="2505">
        <f ca="1">F22</f>
        <v>4.2999999999999997E-2</v>
      </c>
      <c r="G41" s="239" t="str">
        <f>IF('数据-取费表'!B22&lt;=1,"单利计息","复利计息")</f>
        <v>复利计息</v>
      </c>
    </row>
    <row r="42" spans="1:7" ht="13.5" customHeight="1">
      <c r="A42" s="887" t="s">
        <v>791</v>
      </c>
      <c r="B42" s="220" t="s">
        <v>2170</v>
      </c>
      <c r="C42" s="243">
        <f ca="1">ROUND(IF('数据-取费表'!B22&lt;=1,C33*F22*'数据-取费表'!B20/2,C33*(POWER((1+F22),'数据-取费表'!B20/2)-1)),0)</f>
        <v>5311338</v>
      </c>
      <c r="D42" s="243"/>
      <c r="E42" s="243"/>
      <c r="F42" s="244"/>
      <c r="G42" s="3442" t="s">
        <v>2218</v>
      </c>
    </row>
    <row r="43" spans="1:7" ht="13.5" customHeight="1">
      <c r="A43" s="887" t="s">
        <v>792</v>
      </c>
      <c r="B43" s="220" t="s">
        <v>2172</v>
      </c>
      <c r="C43" s="243">
        <f ca="1">ROUND(IF('数据-取费表'!B22&lt;=1,C39*F22*'数据-取费表'!B20/2,C39*(POWER((1+F22),'数据-取费表'!B20/2)-1)),0)</f>
        <v>106227</v>
      </c>
      <c r="D43" s="243"/>
      <c r="E43" s="243"/>
      <c r="F43" s="244"/>
      <c r="G43" s="3443"/>
    </row>
    <row r="44" spans="1:7" ht="13.5" customHeight="1">
      <c r="A44" s="887" t="s">
        <v>793</v>
      </c>
      <c r="B44" s="220" t="s">
        <v>2173</v>
      </c>
      <c r="C44" s="243">
        <f ca="1">ROUND(IF('数据-取费表'!B22&lt;=1,C40*F22*'数据-取费表'!B20/2,C40*(POWER((1+F22),'数据-取费表'!B20/2)-1)),4)</f>
        <v>8.9999999999999998E-4</v>
      </c>
      <c r="D44" s="243"/>
      <c r="E44" s="243"/>
      <c r="F44" s="244"/>
      <c r="G44" s="3444"/>
    </row>
    <row r="45" spans="1:7" s="219" customFormat="1" ht="13.5" customHeight="1">
      <c r="A45" s="260" t="s">
        <v>2174</v>
      </c>
      <c r="B45" s="249" t="s">
        <v>2140</v>
      </c>
      <c r="C45" s="250">
        <f ca="1">C46</f>
        <v>18898481</v>
      </c>
      <c r="D45" s="240">
        <f ca="1">C47</f>
        <v>3.0000000000000001E-3</v>
      </c>
      <c r="E45" s="241" t="s">
        <v>2166</v>
      </c>
      <c r="F45" s="2506">
        <f ca="1">F27</f>
        <v>0.15</v>
      </c>
      <c r="G45" s="252" t="s">
        <v>2175</v>
      </c>
    </row>
    <row r="46" spans="1:7" s="219" customFormat="1" ht="13.5" customHeight="1">
      <c r="A46" s="887" t="s">
        <v>791</v>
      </c>
      <c r="B46" s="253" t="s">
        <v>2176</v>
      </c>
      <c r="C46" s="254">
        <f ca="1">ROUND((C33+C39)*F27,0)</f>
        <v>18898481</v>
      </c>
      <c r="D46" s="268"/>
      <c r="E46" s="241"/>
      <c r="F46" s="251"/>
      <c r="G46" s="252"/>
    </row>
    <row r="47" spans="1:7" s="219" customFormat="1" ht="13.5" customHeight="1">
      <c r="A47" s="887" t="s">
        <v>792</v>
      </c>
      <c r="B47" s="253" t="s">
        <v>2177</v>
      </c>
      <c r="C47" s="243">
        <f ca="1">ROUND(C40*F27,4)</f>
        <v>3.0000000000000001E-3</v>
      </c>
      <c r="D47" s="268"/>
      <c r="E47" s="241"/>
      <c r="F47" s="251"/>
      <c r="G47" s="252"/>
    </row>
    <row r="48" spans="1:7" s="219" customFormat="1" ht="13.5" customHeight="1">
      <c r="A48" s="260" t="s">
        <v>2139</v>
      </c>
      <c r="B48" s="215" t="s">
        <v>2178</v>
      </c>
      <c r="C48" s="267">
        <f>ROUND(F30/(1+'数据-取费表'!C42),4)</f>
        <v>5.33E-2</v>
      </c>
      <c r="D48" s="241" t="s">
        <v>2166</v>
      </c>
      <c r="E48" s="237"/>
      <c r="F48" s="2505">
        <f>F30</f>
        <v>5.6000000000000001E-2</v>
      </c>
      <c r="G48" s="239" t="s">
        <v>2179</v>
      </c>
    </row>
    <row r="49" spans="1:7" ht="16.5" customHeight="1">
      <c r="A49" s="260" t="s">
        <v>2145</v>
      </c>
      <c r="B49" s="215" t="s">
        <v>2219</v>
      </c>
      <c r="C49" s="237">
        <f ca="1">ROUND((C33+C39+C41+C45)/(1-C40-D41-D45-C48),0)</f>
        <v>162880273</v>
      </c>
      <c r="D49" s="237"/>
      <c r="E49" s="237"/>
      <c r="F49" s="269"/>
      <c r="G49" s="239" t="s">
        <v>2181</v>
      </c>
    </row>
    <row r="50" spans="1:7" s="263" customFormat="1">
      <c r="A50" s="260" t="s">
        <v>2182</v>
      </c>
      <c r="B50" s="215" t="s">
        <v>2183</v>
      </c>
      <c r="C50" s="237"/>
      <c r="D50" s="237"/>
      <c r="E50" s="237"/>
      <c r="F50" s="269">
        <f>IF('数据-取费表'!B24=0,'数据-取费表'!N16,1)</f>
        <v>1</v>
      </c>
      <c r="G50" s="252"/>
    </row>
    <row r="51" spans="1:7" ht="16.5" customHeight="1">
      <c r="A51" s="260" t="s">
        <v>2185</v>
      </c>
      <c r="B51" s="215" t="s">
        <v>2220</v>
      </c>
      <c r="C51" s="237">
        <f ca="1">ROUND(C49*F50,0)</f>
        <v>162880273</v>
      </c>
      <c r="D51" s="237"/>
      <c r="E51" s="237"/>
      <c r="F51" s="269"/>
      <c r="G51" s="239" t="s">
        <v>2187</v>
      </c>
    </row>
    <row r="52" spans="1:7" s="213" customFormat="1" ht="16.5" thickBot="1">
      <c r="A52" s="270" t="s">
        <v>2188</v>
      </c>
      <c r="B52" s="271"/>
      <c r="C52" s="272">
        <f ca="1">C31+C51</f>
        <v>179543748</v>
      </c>
      <c r="D52" s="271"/>
      <c r="E52" s="271"/>
      <c r="F52" s="271"/>
      <c r="G52" s="273"/>
    </row>
    <row r="55" spans="1:7" ht="15">
      <c r="B55" s="275" t="s">
        <v>2189</v>
      </c>
      <c r="C55" s="276"/>
    </row>
    <row r="56" spans="1:7">
      <c r="B56" s="278" t="s">
        <v>1418</v>
      </c>
      <c r="C56" s="280">
        <f ca="1">1-C57</f>
        <v>9.2999999999999972E-2</v>
      </c>
    </row>
    <row r="57" spans="1:7">
      <c r="B57" s="278" t="s">
        <v>1419</v>
      </c>
      <c r="C57" s="279">
        <f ca="1">ROUND(C51/C52,3)</f>
        <v>0.90700000000000003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18" zoomScale="90" zoomScaleNormal="60" zoomScaleSheetLayoutView="90" workbookViewId="0">
      <selection activeCell="B9" sqref="B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2503</v>
      </c>
      <c r="B1" s="354"/>
      <c r="C1" s="355" t="s">
        <v>2504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2089</v>
      </c>
      <c r="B2" s="626">
        <f>F66</f>
        <v>266578</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2091</v>
      </c>
      <c r="B3" s="565">
        <f>ROUND(IF(D3="",B2*10000/'数据-汇总表'!E3,B2*10000/D3),0)</f>
        <v>79298</v>
      </c>
      <c r="C3" s="208" t="s">
        <v>2505</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2404</v>
      </c>
      <c r="B4" s="361"/>
      <c r="C4" s="3489" t="s">
        <v>2405</v>
      </c>
      <c r="D4" s="3490"/>
      <c r="E4" s="3491" t="s">
        <v>2406</v>
      </c>
      <c r="F4" s="3492"/>
      <c r="G4" s="3489" t="s">
        <v>2407</v>
      </c>
      <c r="H4" s="3490"/>
      <c r="I4" s="3489" t="s">
        <v>2408</v>
      </c>
      <c r="J4" s="3490"/>
      <c r="K4" s="566" t="s">
        <v>2409</v>
      </c>
      <c r="L4" s="2913"/>
      <c r="M4" s="2914"/>
      <c r="N4" s="2914"/>
      <c r="O4" s="2914"/>
      <c r="P4" s="3493" t="s">
        <v>2410</v>
      </c>
      <c r="Q4" s="3494"/>
      <c r="R4" s="3476" t="s">
        <v>2406</v>
      </c>
      <c r="S4" s="3477"/>
      <c r="T4" s="3476" t="s">
        <v>2407</v>
      </c>
      <c r="U4" s="3477"/>
      <c r="V4" s="3501" t="s">
        <v>2408</v>
      </c>
      <c r="W4" s="3501"/>
      <c r="X4" s="1508"/>
      <c r="Y4" s="3476" t="s">
        <v>2410</v>
      </c>
      <c r="Z4" s="3477"/>
      <c r="AA4" s="3471" t="s">
        <v>2406</v>
      </c>
      <c r="AB4" s="3472" t="s">
        <v>2407</v>
      </c>
      <c r="AC4" s="3471" t="s">
        <v>2408</v>
      </c>
    </row>
    <row r="5" spans="1:30" ht="15" customHeight="1">
      <c r="A5" s="363"/>
      <c r="B5" s="364"/>
      <c r="C5" s="3482" t="s">
        <v>2301</v>
      </c>
      <c r="D5" s="3483"/>
      <c r="E5" s="3621" t="s">
        <v>3182</v>
      </c>
      <c r="F5" s="3622"/>
      <c r="G5" s="3536" t="s">
        <v>3183</v>
      </c>
      <c r="H5" s="3481"/>
      <c r="I5" s="3621" t="s">
        <v>3184</v>
      </c>
      <c r="J5" s="3622"/>
      <c r="K5" s="566"/>
      <c r="L5" s="2913"/>
      <c r="M5" s="2914"/>
      <c r="N5" s="2914"/>
      <c r="O5" s="2914"/>
      <c r="P5" s="3495"/>
      <c r="Q5" s="3496"/>
      <c r="R5" s="3478"/>
      <c r="S5" s="3479"/>
      <c r="T5" s="3478"/>
      <c r="U5" s="3479"/>
      <c r="V5" s="3501"/>
      <c r="W5" s="3501"/>
      <c r="X5" s="1508"/>
      <c r="Y5" s="3478"/>
      <c r="Z5" s="3479"/>
      <c r="AA5" s="3472"/>
      <c r="AB5" s="3472"/>
      <c r="AC5" s="3472"/>
    </row>
    <row r="6" spans="1:30" ht="15.75" thickBot="1">
      <c r="A6" s="365"/>
      <c r="B6" s="366"/>
      <c r="C6" s="3484" t="s">
        <v>2305</v>
      </c>
      <c r="D6" s="3485"/>
      <c r="E6" s="3486" t="s">
        <v>2305</v>
      </c>
      <c r="F6" s="3487"/>
      <c r="G6" s="3484" t="s">
        <v>2305</v>
      </c>
      <c r="H6" s="3485"/>
      <c r="I6" s="3484" t="s">
        <v>2305</v>
      </c>
      <c r="J6" s="3485"/>
      <c r="K6" s="566" t="s">
        <v>2306</v>
      </c>
      <c r="L6" s="2913"/>
      <c r="M6" s="2914"/>
      <c r="N6" s="2914"/>
      <c r="O6" s="2914"/>
      <c r="P6" s="3497"/>
      <c r="Q6" s="3498"/>
      <c r="R6" s="3478"/>
      <c r="S6" s="3479"/>
      <c r="T6" s="3499"/>
      <c r="U6" s="3500"/>
      <c r="V6" s="3501"/>
      <c r="W6" s="3501"/>
      <c r="X6" s="1508"/>
      <c r="Y6" s="3499"/>
      <c r="Z6" s="3500"/>
      <c r="AA6" s="3473"/>
      <c r="AB6" s="3473"/>
      <c r="AC6" s="3473"/>
    </row>
    <row r="7" spans="1:30" s="113" customFormat="1" ht="15.75" thickBot="1">
      <c r="A7" s="367" t="s">
        <v>2307</v>
      </c>
      <c r="B7" s="368"/>
      <c r="C7" s="369">
        <f>'数据-取费表'!B2</f>
        <v>44575</v>
      </c>
      <c r="D7" s="370">
        <v>100</v>
      </c>
      <c r="E7" s="371" t="s">
        <v>3192</v>
      </c>
      <c r="F7" s="372">
        <f>SUMIF(70:70,YEAR(E7)&amp;"-"&amp;INT((MONTH(E7)+2)/3),71:71)</f>
        <v>96.5</v>
      </c>
      <c r="G7" s="2129" t="s">
        <v>3194</v>
      </c>
      <c r="H7" s="370">
        <f>SUMIF(70:70,YEAR(G7)&amp;"-"&amp;INT((MONTH(G7)+2)/3),71:71)</f>
        <v>96.5</v>
      </c>
      <c r="I7" s="2129" t="s">
        <v>3198</v>
      </c>
      <c r="J7" s="370">
        <f>SUMIF(70:70,YEAR(I7)&amp;"-"&amp;INT((MONTH(I7)+2)/3),71:71)</f>
        <v>95</v>
      </c>
      <c r="K7" s="567"/>
      <c r="L7" s="2915"/>
      <c r="M7" s="2916"/>
      <c r="N7" s="2916"/>
      <c r="O7" s="2916"/>
      <c r="P7" s="3474" t="s">
        <v>2308</v>
      </c>
      <c r="Q7" s="3502"/>
      <c r="R7" s="709" t="s">
        <v>17</v>
      </c>
      <c r="S7" s="710">
        <f t="shared" ref="S7:S15" si="0">F7</f>
        <v>96.5</v>
      </c>
      <c r="T7" s="709" t="s">
        <v>17</v>
      </c>
      <c r="U7" s="710">
        <f t="shared" ref="U7:U15" si="1">H7</f>
        <v>96.5</v>
      </c>
      <c r="V7" s="709" t="s">
        <v>17</v>
      </c>
      <c r="W7" s="710">
        <f t="shared" ref="W7:W15" si="2">J7</f>
        <v>95</v>
      </c>
      <c r="X7" s="711"/>
      <c r="Y7" s="3474" t="s">
        <v>2308</v>
      </c>
      <c r="Z7" s="3475"/>
      <c r="AA7" s="712">
        <f>D7/F7</f>
        <v>1.0362694300518134</v>
      </c>
      <c r="AB7" s="712">
        <f>D7/H7</f>
        <v>1.0362694300518134</v>
      </c>
      <c r="AC7" s="712">
        <f>D7/J7</f>
        <v>1.0526315789473684</v>
      </c>
    </row>
    <row r="8" spans="1:30" s="113" customFormat="1" ht="15.75" thickBot="1">
      <c r="A8" s="367" t="s">
        <v>2309</v>
      </c>
      <c r="B8" s="368"/>
      <c r="C8" s="373" t="s">
        <v>2310</v>
      </c>
      <c r="D8" s="370">
        <v>100</v>
      </c>
      <c r="E8" s="373" t="s">
        <v>3185</v>
      </c>
      <c r="F8" s="372">
        <f>SUMIF(73:73,E8,74:74)-SUMIF(73:73,C8,74:74)+100</f>
        <v>100</v>
      </c>
      <c r="G8" s="373" t="s">
        <v>3185</v>
      </c>
      <c r="H8" s="370">
        <f>SUMIF(73:73,G8,74:74)-SUMIF(73:73,C8,74:74)+100</f>
        <v>100</v>
      </c>
      <c r="I8" s="373" t="s">
        <v>3185</v>
      </c>
      <c r="J8" s="370">
        <f>SUMIF(73:73,I8,74:74)-SUMIF(73:73,C8,74:74)+100</f>
        <v>100</v>
      </c>
      <c r="K8" s="567"/>
      <c r="L8" s="2915"/>
      <c r="M8" s="2916"/>
      <c r="N8" s="2916"/>
      <c r="O8" s="2916"/>
      <c r="P8" s="3474" t="s">
        <v>2311</v>
      </c>
      <c r="Q8" s="3475"/>
      <c r="R8" s="709" t="s">
        <v>17</v>
      </c>
      <c r="S8" s="710">
        <f t="shared" si="0"/>
        <v>100</v>
      </c>
      <c r="T8" s="709" t="s">
        <v>17</v>
      </c>
      <c r="U8" s="710">
        <f t="shared" si="1"/>
        <v>100</v>
      </c>
      <c r="V8" s="709" t="s">
        <v>17</v>
      </c>
      <c r="W8" s="710">
        <f t="shared" si="2"/>
        <v>100</v>
      </c>
      <c r="X8" s="711"/>
      <c r="Y8" s="3474" t="s">
        <v>2311</v>
      </c>
      <c r="Z8" s="3475"/>
      <c r="AA8" s="712">
        <f t="shared" ref="AA8:AA45" si="3">D8/F8</f>
        <v>1</v>
      </c>
      <c r="AB8" s="712">
        <f t="shared" ref="AB8:AB45" si="4">D8/H8</f>
        <v>1</v>
      </c>
      <c r="AC8" s="712">
        <f t="shared" ref="AC8:AC45" si="5">D8/J8</f>
        <v>1</v>
      </c>
    </row>
    <row r="9" spans="1:30" s="113" customFormat="1">
      <c r="A9" s="374" t="s">
        <v>2312</v>
      </c>
      <c r="B9" s="3628" t="s">
        <v>2313</v>
      </c>
      <c r="C9" s="2132" t="s">
        <v>3137</v>
      </c>
      <c r="D9" s="130">
        <v>100</v>
      </c>
      <c r="E9" s="2132" t="s">
        <v>3137</v>
      </c>
      <c r="F9" s="130">
        <f>SUMIF(75:75,E9,76:76)-SUMIF(75:75,C9,76:76)+100</f>
        <v>100</v>
      </c>
      <c r="G9" s="2132" t="s">
        <v>3137</v>
      </c>
      <c r="H9" s="130">
        <f>SUMIF(75:75,G9,76:76)-SUMIF(75:75,C9,76:76)+100</f>
        <v>100</v>
      </c>
      <c r="I9" s="2132" t="s">
        <v>3137</v>
      </c>
      <c r="J9" s="130">
        <f>SUMIF(75:75,I9,76:76)-SUMIF(75:75,C9,76:76)+100</f>
        <v>100</v>
      </c>
      <c r="K9" s="567"/>
      <c r="L9" s="2915"/>
      <c r="M9" s="2916"/>
      <c r="N9" s="2916"/>
      <c r="O9" s="2970"/>
      <c r="P9" s="3506"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712">
        <f t="shared" si="5"/>
        <v>1</v>
      </c>
    </row>
    <row r="10" spans="1:30" s="385" customFormat="1" ht="27">
      <c r="A10" s="379"/>
      <c r="B10" s="380" t="s">
        <v>2316</v>
      </c>
      <c r="C10" s="390"/>
      <c r="D10" s="131">
        <v>100</v>
      </c>
      <c r="E10" s="423"/>
      <c r="F10" s="131">
        <f>ROUND(100/'数据-取费表'!G16,0)</f>
        <v>100</v>
      </c>
      <c r="G10" s="421"/>
      <c r="H10" s="131">
        <f>ROUND(100/'数据-取费表'!G16,0)</f>
        <v>100</v>
      </c>
      <c r="I10" s="421"/>
      <c r="J10" s="131">
        <f>ROUND(100/'数据-取费表'!G16,0)</f>
        <v>100</v>
      </c>
      <c r="K10" s="627"/>
      <c r="L10" s="2917"/>
      <c r="M10" s="2918"/>
      <c r="N10" s="2918"/>
      <c r="O10" s="2971"/>
      <c r="P10" s="3506"/>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30" ht="15">
      <c r="A11" s="386"/>
      <c r="B11" s="380" t="s">
        <v>2317</v>
      </c>
      <c r="C11" s="387">
        <v>2.4</v>
      </c>
      <c r="D11" s="131">
        <v>100</v>
      </c>
      <c r="E11" s="387">
        <v>2.8</v>
      </c>
      <c r="F11" s="131">
        <f>LOOKUP(E11,80:80,81:81)-LOOKUP(C11,80:80,81:81)+100</f>
        <v>100</v>
      </c>
      <c r="G11" s="388">
        <v>2.8</v>
      </c>
      <c r="H11" s="131">
        <f>LOOKUP(G11,80:80,81:81)-LOOKUP(C11,80:80,81:81)+100</f>
        <v>100</v>
      </c>
      <c r="I11" s="387">
        <v>3</v>
      </c>
      <c r="J11" s="131">
        <f>LOOKUP(I11,80:80,81:81)-LOOKUP(C11,80:80,81:81)+100</f>
        <v>97</v>
      </c>
      <c r="K11" s="3625">
        <v>3</v>
      </c>
      <c r="L11" s="2919"/>
      <c r="M11" s="2914"/>
      <c r="N11" s="2914"/>
      <c r="O11" s="2972"/>
      <c r="P11" s="3506"/>
      <c r="Q11" s="1496" t="str">
        <f t="shared" si="6"/>
        <v>容积率</v>
      </c>
      <c r="R11" s="709" t="s">
        <v>17</v>
      </c>
      <c r="S11" s="710">
        <f t="shared" si="0"/>
        <v>100</v>
      </c>
      <c r="T11" s="709" t="s">
        <v>17</v>
      </c>
      <c r="U11" s="710">
        <f t="shared" si="1"/>
        <v>100</v>
      </c>
      <c r="V11" s="709" t="s">
        <v>17</v>
      </c>
      <c r="W11" s="710">
        <f t="shared" si="2"/>
        <v>97</v>
      </c>
      <c r="X11" s="711"/>
      <c r="Y11" s="3418"/>
      <c r="Z11" s="55" t="str">
        <f t="shared" si="7"/>
        <v>容积率</v>
      </c>
      <c r="AA11" s="712">
        <f t="shared" si="3"/>
        <v>1</v>
      </c>
      <c r="AB11" s="712">
        <f t="shared" si="4"/>
        <v>1</v>
      </c>
      <c r="AC11" s="712">
        <f t="shared" si="5"/>
        <v>1.0309278350515463</v>
      </c>
    </row>
    <row r="12" spans="1:30" s="113" customFormat="1" ht="15.75" thickBot="1">
      <c r="A12" s="389"/>
      <c r="B12" s="3623" t="s">
        <v>2506</v>
      </c>
      <c r="C12" s="3225" t="s">
        <v>3199</v>
      </c>
      <c r="D12" s="391">
        <v>100</v>
      </c>
      <c r="E12" s="423" t="s">
        <v>3134</v>
      </c>
      <c r="F12" s="131">
        <f>SUMIF(82:82,E12,83:83)-SUMIF(82:82,C12,83:83)+100</f>
        <v>100</v>
      </c>
      <c r="G12" s="421" t="s">
        <v>3193</v>
      </c>
      <c r="H12" s="131">
        <f>SUMIF(82:82,G12,83:83)-SUMIF(82:82,C12,83:83)+100</f>
        <v>100</v>
      </c>
      <c r="I12" s="423" t="s">
        <v>3195</v>
      </c>
      <c r="J12" s="131">
        <f>SUMIF(82:82,I12,83:83)-SUMIF(82:82,C12,83:83)+100</f>
        <v>100</v>
      </c>
      <c r="K12" s="627"/>
      <c r="L12" s="2915"/>
      <c r="M12" s="2916"/>
      <c r="N12" s="2916"/>
      <c r="O12" s="2970"/>
      <c r="P12" s="3506"/>
      <c r="Q12" s="1496" t="str">
        <f t="shared" si="6"/>
        <v>配建</v>
      </c>
      <c r="R12" s="709" t="s">
        <v>17</v>
      </c>
      <c r="S12" s="710">
        <f t="shared" si="0"/>
        <v>100</v>
      </c>
      <c r="T12" s="709" t="s">
        <v>17</v>
      </c>
      <c r="U12" s="710">
        <f t="shared" si="1"/>
        <v>100</v>
      </c>
      <c r="V12" s="709" t="s">
        <v>17</v>
      </c>
      <c r="W12" s="710">
        <f t="shared" si="2"/>
        <v>100</v>
      </c>
      <c r="X12" s="711"/>
      <c r="Y12" s="3418"/>
      <c r="Z12" s="55" t="str">
        <f t="shared" si="7"/>
        <v>配建</v>
      </c>
      <c r="AA12" s="712">
        <f>D12/F12</f>
        <v>1</v>
      </c>
      <c r="AB12" s="712">
        <f>D12/H12</f>
        <v>1</v>
      </c>
      <c r="AC12" s="712">
        <f>D12/J12</f>
        <v>1</v>
      </c>
    </row>
    <row r="13" spans="1:30" ht="15" hidden="1">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20"/>
      <c r="M13" s="2914"/>
      <c r="N13" s="2914"/>
      <c r="O13" s="2972"/>
      <c r="P13" s="3506"/>
      <c r="Q13" s="1496">
        <f t="shared" si="6"/>
        <v>111</v>
      </c>
      <c r="R13" s="709" t="s">
        <v>17</v>
      </c>
      <c r="S13" s="710">
        <f t="shared" si="0"/>
        <v>100</v>
      </c>
      <c r="T13" s="709" t="s">
        <v>17</v>
      </c>
      <c r="U13" s="710">
        <f t="shared" si="1"/>
        <v>100</v>
      </c>
      <c r="V13" s="709" t="s">
        <v>17</v>
      </c>
      <c r="W13" s="710">
        <f t="shared" si="2"/>
        <v>100</v>
      </c>
      <c r="X13" s="711"/>
      <c r="Y13" s="3418"/>
      <c r="Z13" s="55">
        <f t="shared" si="7"/>
        <v>111</v>
      </c>
      <c r="AA13" s="712">
        <f>D13/F13</f>
        <v>1</v>
      </c>
      <c r="AB13" s="712">
        <f>D13/H13</f>
        <v>1</v>
      </c>
      <c r="AC13" s="712">
        <f>D13/J13</f>
        <v>1</v>
      </c>
    </row>
    <row r="14" spans="1:30" ht="15.75" hidden="1"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506"/>
      <c r="Q14" s="1496">
        <f t="shared" si="6"/>
        <v>111</v>
      </c>
      <c r="R14" s="709" t="s">
        <v>17</v>
      </c>
      <c r="S14" s="710">
        <f t="shared" si="0"/>
        <v>100</v>
      </c>
      <c r="T14" s="709" t="s">
        <v>17</v>
      </c>
      <c r="U14" s="710">
        <f t="shared" si="1"/>
        <v>100</v>
      </c>
      <c r="V14" s="709" t="s">
        <v>17</v>
      </c>
      <c r="W14" s="710">
        <f t="shared" si="2"/>
        <v>100</v>
      </c>
      <c r="X14" s="711"/>
      <c r="Y14" s="3418"/>
      <c r="Z14" s="55">
        <f t="shared" si="7"/>
        <v>111</v>
      </c>
      <c r="AA14" s="712">
        <f>D14/F14</f>
        <v>1</v>
      </c>
      <c r="AB14" s="712">
        <f>D14/H14</f>
        <v>1</v>
      </c>
      <c r="AC14" s="712">
        <f>D14/J14</f>
        <v>1</v>
      </c>
    </row>
    <row r="15" spans="1:30" ht="99.75">
      <c r="A15" s="398" t="s">
        <v>2318</v>
      </c>
      <c r="B15" s="65" t="s">
        <v>1884</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20"/>
      <c r="M15" s="2914"/>
      <c r="N15" s="2914"/>
      <c r="O15" s="2972"/>
      <c r="P15" s="3508" t="s">
        <v>2319</v>
      </c>
      <c r="Q15" s="1505" t="str">
        <f t="shared" si="6"/>
        <v>居住社区成熟度</v>
      </c>
      <c r="R15" s="713" t="s">
        <v>17</v>
      </c>
      <c r="S15" s="714">
        <f t="shared" si="0"/>
        <v>100</v>
      </c>
      <c r="T15" s="713" t="s">
        <v>17</v>
      </c>
      <c r="U15" s="714">
        <f t="shared" si="1"/>
        <v>100</v>
      </c>
      <c r="V15" s="713" t="s">
        <v>17</v>
      </c>
      <c r="W15" s="714">
        <f t="shared" si="2"/>
        <v>100</v>
      </c>
      <c r="X15" s="1508"/>
      <c r="Y15" s="3508" t="s">
        <v>2319</v>
      </c>
      <c r="Z15" s="1509" t="str">
        <f t="shared" si="7"/>
        <v>居住社区成熟度</v>
      </c>
      <c r="AA15" s="1506">
        <f t="shared" si="3"/>
        <v>1</v>
      </c>
      <c r="AB15" s="1506">
        <f t="shared" si="4"/>
        <v>1</v>
      </c>
      <c r="AC15" s="1506">
        <f t="shared" si="5"/>
        <v>1</v>
      </c>
    </row>
    <row r="16" spans="1:30" ht="15">
      <c r="A16" s="386"/>
      <c r="B16" s="404"/>
      <c r="C16" s="405" t="s">
        <v>3186</v>
      </c>
      <c r="D16" s="406"/>
      <c r="E16" s="2053" t="s">
        <v>3186</v>
      </c>
      <c r="F16" s="406"/>
      <c r="G16" s="2053" t="s">
        <v>3186</v>
      </c>
      <c r="H16" s="408"/>
      <c r="I16" s="2052" t="s">
        <v>3186</v>
      </c>
      <c r="J16" s="406"/>
      <c r="K16" s="627"/>
      <c r="L16" s="2920"/>
      <c r="M16" s="2914"/>
      <c r="N16" s="2914"/>
      <c r="O16" s="2972"/>
      <c r="P16" s="3509"/>
      <c r="Q16" s="1505"/>
      <c r="R16" s="713"/>
      <c r="S16" s="714"/>
      <c r="T16" s="713"/>
      <c r="U16" s="714"/>
      <c r="V16" s="713"/>
      <c r="W16" s="714"/>
      <c r="X16" s="1508"/>
      <c r="Y16" s="3509"/>
      <c r="Z16" s="1509"/>
      <c r="AA16" s="1506">
        <v>1</v>
      </c>
      <c r="AB16" s="1506">
        <v>1</v>
      </c>
      <c r="AC16" s="1506">
        <v>1</v>
      </c>
    </row>
    <row r="17" spans="1:29" ht="71.25">
      <c r="A17" s="386"/>
      <c r="B17" s="409" t="s">
        <v>2412</v>
      </c>
      <c r="C17" s="2110" t="str">
        <f>估价对象房地状况!C16</f>
        <v>估价对象位于XX商圈，周边商业氛围成熟，人流量大，商业繁华度好</v>
      </c>
      <c r="D17" s="408">
        <v>100</v>
      </c>
      <c r="E17" s="410"/>
      <c r="F17" s="408">
        <f>SUMIF(90:90,E18,91:91)-SUMIF(90:90,C18,91:91)+100</f>
        <v>98</v>
      </c>
      <c r="G17" s="410"/>
      <c r="H17" s="413">
        <f>SUMIF(90:90,G18,91:91)-SUMIF(90:90,C18,91:91)+100</f>
        <v>98</v>
      </c>
      <c r="I17" s="412"/>
      <c r="J17" s="413">
        <f>SUMIF(90:90,I18,91:91)-SUMIF(90:90,C18,91:91)+100</f>
        <v>98</v>
      </c>
      <c r="K17" s="628">
        <v>2</v>
      </c>
      <c r="L17" s="2920"/>
      <c r="M17" s="2914"/>
      <c r="N17" s="2914"/>
      <c r="O17" s="2972"/>
      <c r="P17" s="3509"/>
      <c r="Q17" s="1505" t="str">
        <f>B17</f>
        <v>商业繁华度</v>
      </c>
      <c r="R17" s="713" t="s">
        <v>17</v>
      </c>
      <c r="S17" s="714">
        <f>F17</f>
        <v>98</v>
      </c>
      <c r="T17" s="713" t="s">
        <v>17</v>
      </c>
      <c r="U17" s="714">
        <f>H17</f>
        <v>98</v>
      </c>
      <c r="V17" s="713" t="s">
        <v>17</v>
      </c>
      <c r="W17" s="714">
        <f>J17</f>
        <v>98</v>
      </c>
      <c r="X17" s="1508"/>
      <c r="Y17" s="3509"/>
      <c r="Z17" s="1509" t="str">
        <f>Q17</f>
        <v>商业繁华度</v>
      </c>
      <c r="AA17" s="1506">
        <f t="shared" si="3"/>
        <v>1.0204081632653061</v>
      </c>
      <c r="AB17" s="1506">
        <f t="shared" si="4"/>
        <v>1.0204081632653061</v>
      </c>
      <c r="AC17" s="1506">
        <f t="shared" si="5"/>
        <v>1.0204081632653061</v>
      </c>
    </row>
    <row r="18" spans="1:29" ht="15">
      <c r="A18" s="386"/>
      <c r="B18" s="414"/>
      <c r="C18" s="405" t="s">
        <v>3186</v>
      </c>
      <c r="D18" s="408"/>
      <c r="E18" s="2058" t="s">
        <v>3187</v>
      </c>
      <c r="F18" s="408"/>
      <c r="G18" s="2058" t="s">
        <v>3187</v>
      </c>
      <c r="H18" s="406"/>
      <c r="I18" s="2057" t="s">
        <v>3187</v>
      </c>
      <c r="J18" s="406"/>
      <c r="K18" s="627"/>
      <c r="L18" s="2920"/>
      <c r="M18" s="2914"/>
      <c r="N18" s="2914"/>
      <c r="O18" s="2972"/>
      <c r="P18" s="3509"/>
      <c r="Q18" s="1505"/>
      <c r="R18" s="713"/>
      <c r="S18" s="714"/>
      <c r="T18" s="713"/>
      <c r="U18" s="714"/>
      <c r="V18" s="713"/>
      <c r="W18" s="714"/>
      <c r="X18" s="1508"/>
      <c r="Y18" s="3509"/>
      <c r="Z18" s="1509"/>
      <c r="AA18" s="1506">
        <v>1</v>
      </c>
      <c r="AB18" s="1506">
        <v>1</v>
      </c>
      <c r="AC18" s="1506">
        <v>1</v>
      </c>
    </row>
    <row r="19" spans="1:29" ht="71.25" hidden="1">
      <c r="A19" s="386"/>
      <c r="B19" s="409" t="s">
        <v>2446</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v>0</v>
      </c>
      <c r="L19" s="2920"/>
      <c r="M19" s="2914"/>
      <c r="N19" s="2914"/>
      <c r="O19" s="2972"/>
      <c r="P19" s="3509"/>
      <c r="Q19" s="1505" t="str">
        <f>B19</f>
        <v>办公集聚程度</v>
      </c>
      <c r="R19" s="713" t="s">
        <v>17</v>
      </c>
      <c r="S19" s="714">
        <f>F19</f>
        <v>100</v>
      </c>
      <c r="T19" s="713" t="s">
        <v>17</v>
      </c>
      <c r="U19" s="714">
        <f>H19</f>
        <v>100</v>
      </c>
      <c r="V19" s="713" t="s">
        <v>17</v>
      </c>
      <c r="W19" s="714">
        <f>J19</f>
        <v>100</v>
      </c>
      <c r="X19" s="1508"/>
      <c r="Y19" s="3509"/>
      <c r="Z19" s="1509" t="str">
        <f>Q19</f>
        <v>办公集聚程度</v>
      </c>
      <c r="AA19" s="1506">
        <f t="shared" si="3"/>
        <v>1</v>
      </c>
      <c r="AB19" s="1506">
        <f t="shared" si="4"/>
        <v>1</v>
      </c>
      <c r="AC19" s="1506">
        <f t="shared" si="5"/>
        <v>1</v>
      </c>
    </row>
    <row r="20" spans="1:29" ht="15" hidden="1">
      <c r="A20" s="386"/>
      <c r="B20" s="414"/>
      <c r="C20" s="405" t="s">
        <v>3186</v>
      </c>
      <c r="D20" s="406"/>
      <c r="E20" s="2053" t="s">
        <v>3186</v>
      </c>
      <c r="F20" s="406"/>
      <c r="G20" s="2053" t="s">
        <v>3186</v>
      </c>
      <c r="H20" s="406"/>
      <c r="I20" s="2052" t="s">
        <v>3186</v>
      </c>
      <c r="J20" s="406"/>
      <c r="K20" s="627"/>
      <c r="L20" s="2920"/>
      <c r="M20" s="2914"/>
      <c r="N20" s="2914"/>
      <c r="O20" s="2972"/>
      <c r="P20" s="3509"/>
      <c r="Q20" s="1505"/>
      <c r="R20" s="713"/>
      <c r="S20" s="714"/>
      <c r="T20" s="713"/>
      <c r="U20" s="714"/>
      <c r="V20" s="713"/>
      <c r="W20" s="714"/>
      <c r="X20" s="1508"/>
      <c r="Y20" s="3509"/>
      <c r="Z20" s="1509"/>
      <c r="AA20" s="1506">
        <v>1</v>
      </c>
      <c r="AB20" s="1506">
        <v>1</v>
      </c>
      <c r="AC20" s="1506">
        <v>1</v>
      </c>
    </row>
    <row r="21" spans="1:29" ht="85.5">
      <c r="A21" s="386"/>
      <c r="B21" s="409" t="s">
        <v>2468</v>
      </c>
      <c r="C21" s="2055" t="str">
        <f>估价对象房地状况!C18</f>
        <v>估价对象周边道路状况、公共交通通达情况、停车便捷程度，综合评价交通便捷度较好</v>
      </c>
      <c r="D21" s="408">
        <v>100</v>
      </c>
      <c r="E21" s="410"/>
      <c r="F21" s="413">
        <f>SUMIF(94:94,E22,95:95)-SUMIF(94:94,C22,95:95)+100</f>
        <v>98</v>
      </c>
      <c r="G21" s="410"/>
      <c r="H21" s="408">
        <f>SUMIF(94:94,G22,95:95)-SUMIF(94:94,C22,95:95)+100</f>
        <v>98</v>
      </c>
      <c r="I21" s="412"/>
      <c r="J21" s="408">
        <f>SUMIF(94:94,I22,95:95)-SUMIF(94:94,C22,95:95)+100</f>
        <v>100</v>
      </c>
      <c r="K21" s="3625">
        <v>2</v>
      </c>
      <c r="L21" s="2920"/>
      <c r="M21" s="2914"/>
      <c r="N21" s="2914"/>
      <c r="O21" s="2972"/>
      <c r="P21" s="3509"/>
      <c r="Q21" s="1505" t="str">
        <f>B21</f>
        <v>交通便捷度</v>
      </c>
      <c r="R21" s="713" t="s">
        <v>17</v>
      </c>
      <c r="S21" s="714">
        <f>F21</f>
        <v>98</v>
      </c>
      <c r="T21" s="713" t="s">
        <v>17</v>
      </c>
      <c r="U21" s="714">
        <f>H21</f>
        <v>98</v>
      </c>
      <c r="V21" s="713" t="s">
        <v>17</v>
      </c>
      <c r="W21" s="714">
        <f>J21</f>
        <v>100</v>
      </c>
      <c r="X21" s="1508"/>
      <c r="Y21" s="3509"/>
      <c r="Z21" s="1509" t="str">
        <f>Q21</f>
        <v>交通便捷度</v>
      </c>
      <c r="AA21" s="1506">
        <f t="shared" si="3"/>
        <v>1.0204081632653061</v>
      </c>
      <c r="AB21" s="1506">
        <f t="shared" si="4"/>
        <v>1.0204081632653061</v>
      </c>
      <c r="AC21" s="1506">
        <f t="shared" si="5"/>
        <v>1</v>
      </c>
    </row>
    <row r="22" spans="1:29" ht="15">
      <c r="A22" s="386"/>
      <c r="B22" s="1264"/>
      <c r="C22" s="405" t="s">
        <v>3186</v>
      </c>
      <c r="D22" s="408"/>
      <c r="E22" s="2053" t="s">
        <v>3187</v>
      </c>
      <c r="F22" s="406"/>
      <c r="G22" s="2053" t="s">
        <v>3187</v>
      </c>
      <c r="H22" s="406"/>
      <c r="I22" s="2052" t="s">
        <v>3186</v>
      </c>
      <c r="J22" s="406"/>
      <c r="K22" s="627"/>
      <c r="L22" s="2920"/>
      <c r="M22" s="2914"/>
      <c r="N22" s="2914"/>
      <c r="O22" s="2972"/>
      <c r="P22" s="3509"/>
      <c r="Q22" s="1505"/>
      <c r="R22" s="713"/>
      <c r="S22" s="714"/>
      <c r="T22" s="713"/>
      <c r="U22" s="714"/>
      <c r="V22" s="713"/>
      <c r="W22" s="714"/>
      <c r="X22" s="1508"/>
      <c r="Y22" s="3509"/>
      <c r="Z22" s="1509"/>
      <c r="AA22" s="1506">
        <v>1</v>
      </c>
      <c r="AB22" s="1506">
        <v>1</v>
      </c>
      <c r="AC22" s="1506">
        <v>1</v>
      </c>
    </row>
    <row r="23" spans="1:29" ht="15">
      <c r="A23" s="363"/>
      <c r="B23" s="409" t="s">
        <v>2507</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20"/>
      <c r="M23" s="2914"/>
      <c r="N23" s="2914"/>
      <c r="O23" s="2972"/>
      <c r="P23" s="3509"/>
      <c r="Q23" s="1505" t="str">
        <f t="shared" ref="Q23:Q37" si="8">B23</f>
        <v>区域土地利用方向</v>
      </c>
      <c r="R23" s="713" t="s">
        <v>17</v>
      </c>
      <c r="S23" s="714">
        <f>F23</f>
        <v>100</v>
      </c>
      <c r="T23" s="713" t="s">
        <v>17</v>
      </c>
      <c r="U23" s="714">
        <f>H23</f>
        <v>100</v>
      </c>
      <c r="V23" s="713" t="s">
        <v>17</v>
      </c>
      <c r="W23" s="714">
        <f>J23</f>
        <v>100</v>
      </c>
      <c r="X23" s="1508"/>
      <c r="Y23" s="3509"/>
      <c r="Z23" s="1509" t="str">
        <f>Q23</f>
        <v>区域土地利用方向</v>
      </c>
      <c r="AA23" s="1506">
        <f t="shared" si="3"/>
        <v>1</v>
      </c>
      <c r="AB23" s="1506">
        <f t="shared" si="4"/>
        <v>1</v>
      </c>
      <c r="AC23" s="1506">
        <f t="shared" si="5"/>
        <v>1</v>
      </c>
    </row>
    <row r="24" spans="1:29" ht="15">
      <c r="A24" s="363"/>
      <c r="B24" s="414"/>
      <c r="C24" s="405" t="s">
        <v>3186</v>
      </c>
      <c r="D24" s="406"/>
      <c r="E24" s="2053" t="s">
        <v>3186</v>
      </c>
      <c r="F24" s="406"/>
      <c r="G24" s="2052" t="s">
        <v>3186</v>
      </c>
      <c r="H24" s="406"/>
      <c r="I24" s="2052" t="s">
        <v>3186</v>
      </c>
      <c r="J24" s="406"/>
      <c r="K24" s="750"/>
      <c r="L24" s="2920"/>
      <c r="M24" s="2914"/>
      <c r="N24" s="2914"/>
      <c r="O24" s="2972"/>
      <c r="P24" s="3509"/>
      <c r="Q24" s="1505"/>
      <c r="R24" s="713"/>
      <c r="S24" s="714"/>
      <c r="T24" s="713"/>
      <c r="U24" s="714"/>
      <c r="V24" s="713"/>
      <c r="W24" s="714"/>
      <c r="X24" s="1508"/>
      <c r="Y24" s="3509"/>
      <c r="Z24" s="1509"/>
      <c r="AA24" s="1506"/>
      <c r="AB24" s="1506"/>
      <c r="AC24" s="1506"/>
    </row>
    <row r="25" spans="1:29" ht="57">
      <c r="A25" s="363"/>
      <c r="B25" s="1264" t="s">
        <v>2508</v>
      </c>
      <c r="C25" s="2110" t="str">
        <f>估价对象房地状况!C20</f>
        <v>区域自然环境：；人文环境；综合评价环境状况一般</v>
      </c>
      <c r="D25" s="408">
        <v>100</v>
      </c>
      <c r="E25" s="410"/>
      <c r="F25" s="408">
        <f>SUMIF(98:98,E26,99:99)-SUMIF(98:98,C26,99:99)+100</f>
        <v>98</v>
      </c>
      <c r="G25" s="410"/>
      <c r="H25" s="408">
        <f>SUMIF(98:98,G26,99:99)-SUMIF(98:98,C26,99:99)+100</f>
        <v>98</v>
      </c>
      <c r="I25" s="412"/>
      <c r="J25" s="408">
        <f>SUMIF(98:98,I26,99:99)-SUMIF(98:98,C26,99:99)+100</f>
        <v>98</v>
      </c>
      <c r="K25" s="628">
        <v>2</v>
      </c>
      <c r="L25" s="2920"/>
      <c r="M25" s="2914"/>
      <c r="N25" s="2914"/>
      <c r="O25" s="2972"/>
      <c r="P25" s="3509"/>
      <c r="Q25" s="1505" t="str">
        <f t="shared" si="8"/>
        <v>自然及人文环境状况</v>
      </c>
      <c r="R25" s="713" t="s">
        <v>17</v>
      </c>
      <c r="S25" s="714">
        <f>F25</f>
        <v>98</v>
      </c>
      <c r="T25" s="713" t="s">
        <v>17</v>
      </c>
      <c r="U25" s="714">
        <f>H25</f>
        <v>98</v>
      </c>
      <c r="V25" s="713" t="s">
        <v>17</v>
      </c>
      <c r="W25" s="714">
        <f>J25</f>
        <v>98</v>
      </c>
      <c r="X25" s="1508"/>
      <c r="Y25" s="3509"/>
      <c r="Z25" s="1509" t="str">
        <f>Q25</f>
        <v>自然及人文环境状况</v>
      </c>
      <c r="AA25" s="1506">
        <f t="shared" si="3"/>
        <v>1.0204081632653061</v>
      </c>
      <c r="AB25" s="1506">
        <f t="shared" si="4"/>
        <v>1.0204081632653061</v>
      </c>
      <c r="AC25" s="1506">
        <f t="shared" si="5"/>
        <v>1.0204081632653061</v>
      </c>
    </row>
    <row r="26" spans="1:29" ht="15">
      <c r="A26" s="363"/>
      <c r="B26" s="414"/>
      <c r="C26" s="405" t="s">
        <v>3186</v>
      </c>
      <c r="D26" s="406"/>
      <c r="E26" s="2059" t="s">
        <v>3187</v>
      </c>
      <c r="F26" s="406"/>
      <c r="G26" s="2059" t="s">
        <v>3187</v>
      </c>
      <c r="H26" s="406"/>
      <c r="I26" s="405" t="s">
        <v>3187</v>
      </c>
      <c r="J26" s="406"/>
      <c r="K26" s="627"/>
      <c r="L26" s="2920"/>
      <c r="M26" s="2914"/>
      <c r="N26" s="2914"/>
      <c r="O26" s="2972"/>
      <c r="P26" s="3509"/>
      <c r="Q26" s="1505"/>
      <c r="R26" s="713"/>
      <c r="S26" s="714"/>
      <c r="T26" s="713"/>
      <c r="U26" s="714"/>
      <c r="V26" s="713"/>
      <c r="W26" s="714"/>
      <c r="X26" s="1508"/>
      <c r="Y26" s="3509"/>
      <c r="Z26" s="1509"/>
      <c r="AA26" s="1506">
        <v>1</v>
      </c>
      <c r="AB26" s="1506">
        <v>1</v>
      </c>
      <c r="AC26" s="1506">
        <v>1</v>
      </c>
    </row>
    <row r="27" spans="1:29" s="113" customFormat="1" ht="42.75">
      <c r="A27" s="604"/>
      <c r="B27" s="1264" t="s">
        <v>2413</v>
      </c>
      <c r="C27" s="2055" t="str">
        <f>估价对象房地状况!C21</f>
        <v>估价对象所在区域公共配套设施齐备情况</v>
      </c>
      <c r="D27" s="408">
        <v>100</v>
      </c>
      <c r="E27" s="410"/>
      <c r="F27" s="408">
        <f>SUMIF(100:100,E28,101:101)-SUMIF(100:100,C28,101:101)+100</f>
        <v>98</v>
      </c>
      <c r="G27" s="410"/>
      <c r="H27" s="408">
        <f>SUMIF(100:100,G28,101:101)-SUMIF(100:100,C28,101:101)+100</f>
        <v>98</v>
      </c>
      <c r="I27" s="412"/>
      <c r="J27" s="408">
        <f>SUMIF(100:100,I28,101:101)-SUMIF(100:100,C28,101:101)+100</f>
        <v>98</v>
      </c>
      <c r="K27" s="628">
        <v>2</v>
      </c>
      <c r="L27" s="2915"/>
      <c r="M27" s="2916"/>
      <c r="N27" s="2916"/>
      <c r="O27" s="2970"/>
      <c r="P27" s="3509"/>
      <c r="Q27" s="1496" t="str">
        <f t="shared" si="8"/>
        <v>公共配套设施</v>
      </c>
      <c r="R27" s="709" t="s">
        <v>17</v>
      </c>
      <c r="S27" s="710">
        <f>F27</f>
        <v>98</v>
      </c>
      <c r="T27" s="709" t="s">
        <v>17</v>
      </c>
      <c r="U27" s="710">
        <f>H27</f>
        <v>98</v>
      </c>
      <c r="V27" s="709" t="s">
        <v>17</v>
      </c>
      <c r="W27" s="710">
        <f>J27</f>
        <v>98</v>
      </c>
      <c r="X27" s="711"/>
      <c r="Y27" s="3509"/>
      <c r="Z27" s="55" t="str">
        <f>Q27</f>
        <v>公共配套设施</v>
      </c>
      <c r="AA27" s="1506">
        <f>D27/F27</f>
        <v>1.0204081632653061</v>
      </c>
      <c r="AB27" s="1506">
        <f>D27/H27</f>
        <v>1.0204081632653061</v>
      </c>
      <c r="AC27" s="1506">
        <f>D27/J27</f>
        <v>1.0204081632653061</v>
      </c>
    </row>
    <row r="28" spans="1:29" s="113" customFormat="1" ht="15">
      <c r="A28" s="604"/>
      <c r="B28" s="414"/>
      <c r="C28" s="405" t="s">
        <v>3186</v>
      </c>
      <c r="D28" s="406"/>
      <c r="E28" s="2059" t="s">
        <v>3187</v>
      </c>
      <c r="F28" s="406"/>
      <c r="G28" s="2059" t="s">
        <v>3187</v>
      </c>
      <c r="H28" s="406"/>
      <c r="I28" s="405" t="s">
        <v>3187</v>
      </c>
      <c r="J28" s="406"/>
      <c r="K28" s="627"/>
      <c r="L28" s="2915"/>
      <c r="M28" s="2916"/>
      <c r="N28" s="2916"/>
      <c r="O28" s="2970"/>
      <c r="P28" s="3509"/>
      <c r="Q28" s="1496"/>
      <c r="R28" s="709"/>
      <c r="S28" s="710"/>
      <c r="T28" s="709"/>
      <c r="U28" s="710"/>
      <c r="V28" s="709"/>
      <c r="W28" s="710"/>
      <c r="X28" s="711"/>
      <c r="Y28" s="3509"/>
      <c r="Z28" s="55"/>
      <c r="AA28" s="1506">
        <v>1</v>
      </c>
      <c r="AB28" s="1506">
        <v>1</v>
      </c>
      <c r="AC28" s="1506">
        <v>1</v>
      </c>
    </row>
    <row r="29" spans="1:29" s="113" customFormat="1" ht="28.5">
      <c r="A29" s="604"/>
      <c r="B29" s="1264" t="s">
        <v>2414</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15"/>
      <c r="M29" s="2916"/>
      <c r="N29" s="2916"/>
      <c r="O29" s="2970"/>
      <c r="P29" s="3509"/>
      <c r="Q29" s="1496" t="str">
        <f t="shared" ref="Q29" si="9">B29</f>
        <v>基础设施水平</v>
      </c>
      <c r="R29" s="709" t="s">
        <v>17</v>
      </c>
      <c r="S29" s="710">
        <f>F29</f>
        <v>100</v>
      </c>
      <c r="T29" s="709" t="s">
        <v>17</v>
      </c>
      <c r="U29" s="710">
        <f>H29</f>
        <v>100</v>
      </c>
      <c r="V29" s="709" t="s">
        <v>17</v>
      </c>
      <c r="W29" s="710">
        <f>J29</f>
        <v>100</v>
      </c>
      <c r="X29" s="711"/>
      <c r="Y29" s="3509"/>
      <c r="Z29" s="55" t="str">
        <f>Q29</f>
        <v>基础设施水平</v>
      </c>
      <c r="AA29" s="1506">
        <f>D29/F29</f>
        <v>1</v>
      </c>
      <c r="AB29" s="1506">
        <f>D29/H29</f>
        <v>1</v>
      </c>
      <c r="AC29" s="1506">
        <f>D29/J29</f>
        <v>1</v>
      </c>
    </row>
    <row r="30" spans="1:29" s="113" customFormat="1" ht="15">
      <c r="A30" s="604"/>
      <c r="B30" s="414"/>
      <c r="C30" s="2133" t="s">
        <v>3188</v>
      </c>
      <c r="D30" s="406"/>
      <c r="E30" s="2134" t="s">
        <v>3188</v>
      </c>
      <c r="F30" s="406"/>
      <c r="G30" s="2134" t="s">
        <v>3188</v>
      </c>
      <c r="H30" s="406"/>
      <c r="I30" s="2134" t="s">
        <v>3188</v>
      </c>
      <c r="J30" s="406"/>
      <c r="K30" s="627"/>
      <c r="L30" s="2915"/>
      <c r="M30" s="2916"/>
      <c r="N30" s="2916"/>
      <c r="O30" s="2970"/>
      <c r="P30" s="3509"/>
      <c r="Q30" s="1496"/>
      <c r="R30" s="709"/>
      <c r="S30" s="710"/>
      <c r="T30" s="709"/>
      <c r="U30" s="710"/>
      <c r="V30" s="709"/>
      <c r="W30" s="710"/>
      <c r="X30" s="711"/>
      <c r="Y30" s="3509"/>
      <c r="Z30" s="55"/>
      <c r="AA30" s="1506">
        <v>1</v>
      </c>
      <c r="AB30" s="1506">
        <v>1</v>
      </c>
      <c r="AC30" s="1506">
        <v>1</v>
      </c>
    </row>
    <row r="31" spans="1:29" ht="15" hidden="1">
      <c r="A31" s="386"/>
      <c r="B31" s="414" t="s">
        <v>2415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509"/>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509"/>
      <c r="Z31" s="1509" t="str">
        <f t="shared" ref="Z31:Z45" si="13">Q31</f>
        <v>临街状况</v>
      </c>
      <c r="AA31" s="1506">
        <f t="shared" si="3"/>
        <v>1</v>
      </c>
      <c r="AB31" s="1506">
        <f t="shared" si="4"/>
        <v>1</v>
      </c>
      <c r="AC31" s="1506">
        <f t="shared" si="5"/>
        <v>1</v>
      </c>
    </row>
    <row r="32" spans="1:29" ht="27" hidden="1">
      <c r="A32" s="386"/>
      <c r="B32" s="1264" t="s">
        <v>2450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509"/>
      <c r="Q32" s="1505" t="str">
        <f t="shared" si="8"/>
        <v>毗邻道路的类型与等级</v>
      </c>
      <c r="R32" s="713" t="s">
        <v>17</v>
      </c>
      <c r="S32" s="714">
        <f t="shared" si="10"/>
        <v>100</v>
      </c>
      <c r="T32" s="713" t="s">
        <v>17</v>
      </c>
      <c r="U32" s="714">
        <f t="shared" si="11"/>
        <v>100</v>
      </c>
      <c r="V32" s="713" t="s">
        <v>17</v>
      </c>
      <c r="W32" s="714">
        <f t="shared" si="12"/>
        <v>100</v>
      </c>
      <c r="X32" s="1508"/>
      <c r="Y32" s="3509"/>
      <c r="Z32" s="1509" t="str">
        <f t="shared" si="13"/>
        <v>毗邻道路的类型与等级</v>
      </c>
      <c r="AA32" s="1506">
        <f t="shared" si="3"/>
        <v>1</v>
      </c>
      <c r="AB32" s="1506">
        <f t="shared" si="4"/>
        <v>1</v>
      </c>
      <c r="AC32" s="1506">
        <f t="shared" si="5"/>
        <v>1</v>
      </c>
    </row>
    <row r="33" spans="1:29" ht="15" hidden="1">
      <c r="A33" s="386"/>
      <c r="B33" s="414"/>
      <c r="C33" s="405"/>
      <c r="D33" s="406"/>
      <c r="E33" s="2059"/>
      <c r="F33" s="406"/>
      <c r="G33" s="2059"/>
      <c r="H33" s="406"/>
      <c r="I33" s="405"/>
      <c r="J33" s="406"/>
      <c r="K33" s="569"/>
      <c r="L33" s="2920"/>
      <c r="M33" s="2914"/>
      <c r="N33" s="2914"/>
      <c r="O33" s="2972"/>
      <c r="P33" s="3509"/>
      <c r="Q33" s="1505"/>
      <c r="R33" s="713"/>
      <c r="S33" s="714"/>
      <c r="T33" s="713"/>
      <c r="U33" s="714"/>
      <c r="V33" s="713"/>
      <c r="W33" s="714"/>
      <c r="X33" s="1508"/>
      <c r="Y33" s="3509"/>
      <c r="Z33" s="1509"/>
      <c r="AA33" s="1506">
        <v>1</v>
      </c>
      <c r="AB33" s="1506">
        <v>1</v>
      </c>
      <c r="AC33" s="1506">
        <v>1</v>
      </c>
    </row>
    <row r="34" spans="1:29" ht="15.75" thickBot="1">
      <c r="A34" s="386"/>
      <c r="B34" s="380" t="s">
        <v>2509</v>
      </c>
      <c r="C34" s="3226" t="s">
        <v>3200</v>
      </c>
      <c r="D34" s="393">
        <v>100</v>
      </c>
      <c r="E34" s="589" t="s">
        <v>3189</v>
      </c>
      <c r="F34" s="393">
        <f>SUMIF(108:108,E34,109:109)-SUMIF(108:108,C34,109:109)+100</f>
        <v>100</v>
      </c>
      <c r="G34" s="589" t="s">
        <v>3189</v>
      </c>
      <c r="H34" s="393">
        <f>SUMIF(108:108,G34,109:109)-SUMIF(108:108,C34,109:109)+100</f>
        <v>100</v>
      </c>
      <c r="I34" s="572" t="s">
        <v>3196</v>
      </c>
      <c r="J34" s="393">
        <f>SUMIF(108:108,I34,109:109)-SUMIF(108:108,C34,109:109)+100</f>
        <v>98</v>
      </c>
      <c r="K34" s="3626">
        <v>2</v>
      </c>
      <c r="L34" s="2920"/>
      <c r="M34" s="2914"/>
      <c r="N34" s="2914"/>
      <c r="O34" s="2972"/>
      <c r="P34" s="3509"/>
      <c r="Q34" s="1505" t="str">
        <f t="shared" si="8"/>
        <v>土地级别</v>
      </c>
      <c r="R34" s="713" t="s">
        <v>17</v>
      </c>
      <c r="S34" s="714">
        <f t="shared" si="10"/>
        <v>100</v>
      </c>
      <c r="T34" s="713" t="s">
        <v>17</v>
      </c>
      <c r="U34" s="714">
        <f t="shared" si="11"/>
        <v>100</v>
      </c>
      <c r="V34" s="713" t="s">
        <v>17</v>
      </c>
      <c r="W34" s="714">
        <f t="shared" si="12"/>
        <v>98</v>
      </c>
      <c r="X34" s="1508"/>
      <c r="Y34" s="3509"/>
      <c r="Z34" s="1509" t="str">
        <f t="shared" si="13"/>
        <v>土地级别</v>
      </c>
      <c r="AA34" s="1506">
        <f t="shared" si="3"/>
        <v>1</v>
      </c>
      <c r="AB34" s="1506">
        <f t="shared" si="4"/>
        <v>1</v>
      </c>
      <c r="AC34" s="1506">
        <f t="shared" si="5"/>
        <v>1.0204081632653061</v>
      </c>
    </row>
    <row r="35" spans="1:29" ht="15" hidden="1">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509"/>
      <c r="Q35" s="1505">
        <f t="shared" si="8"/>
        <v>111</v>
      </c>
      <c r="R35" s="713" t="s">
        <v>17</v>
      </c>
      <c r="S35" s="714">
        <f t="shared" si="10"/>
        <v>100</v>
      </c>
      <c r="T35" s="713" t="s">
        <v>17</v>
      </c>
      <c r="U35" s="714">
        <f t="shared" si="11"/>
        <v>100</v>
      </c>
      <c r="V35" s="713" t="s">
        <v>17</v>
      </c>
      <c r="W35" s="714">
        <f t="shared" si="12"/>
        <v>100</v>
      </c>
      <c r="X35" s="1508"/>
      <c r="Y35" s="3509"/>
      <c r="Z35" s="1509">
        <f t="shared" si="13"/>
        <v>111</v>
      </c>
      <c r="AA35" s="1506">
        <f t="shared" si="3"/>
        <v>1</v>
      </c>
      <c r="AB35" s="1506">
        <f t="shared" si="4"/>
        <v>1</v>
      </c>
      <c r="AC35" s="1506">
        <f t="shared" si="5"/>
        <v>1</v>
      </c>
    </row>
    <row r="36" spans="1:29" ht="15" hidden="1">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534" t="s">
        <v>2324</v>
      </c>
      <c r="Q36" s="1505">
        <f t="shared" si="8"/>
        <v>111</v>
      </c>
      <c r="R36" s="713" t="s">
        <v>17</v>
      </c>
      <c r="S36" s="714">
        <f t="shared" si="10"/>
        <v>100</v>
      </c>
      <c r="T36" s="713" t="s">
        <v>17</v>
      </c>
      <c r="U36" s="714">
        <f t="shared" si="11"/>
        <v>100</v>
      </c>
      <c r="V36" s="713" t="s">
        <v>17</v>
      </c>
      <c r="W36" s="714">
        <f t="shared" si="12"/>
        <v>100</v>
      </c>
      <c r="X36" s="1508"/>
      <c r="Y36" s="3513" t="s">
        <v>2324</v>
      </c>
      <c r="Z36" s="1509">
        <f t="shared" si="13"/>
        <v>111</v>
      </c>
      <c r="AA36" s="1506">
        <f t="shared" si="3"/>
        <v>1</v>
      </c>
      <c r="AB36" s="1506">
        <f t="shared" si="4"/>
        <v>1</v>
      </c>
      <c r="AC36" s="1506">
        <f t="shared" si="5"/>
        <v>1</v>
      </c>
    </row>
    <row r="37" spans="1:29" s="429" customFormat="1" ht="15.75" hidden="1"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513"/>
      <c r="Q37" s="1505">
        <f t="shared" si="8"/>
        <v>111</v>
      </c>
      <c r="R37" s="716" t="s">
        <v>17</v>
      </c>
      <c r="S37" s="717">
        <f t="shared" si="10"/>
        <v>100</v>
      </c>
      <c r="T37" s="716" t="s">
        <v>17</v>
      </c>
      <c r="U37" s="717">
        <f t="shared" si="11"/>
        <v>100</v>
      </c>
      <c r="V37" s="716" t="s">
        <v>17</v>
      </c>
      <c r="W37" s="717">
        <f t="shared" si="12"/>
        <v>100</v>
      </c>
      <c r="X37" s="718"/>
      <c r="Y37" s="3513"/>
      <c r="Z37" s="719">
        <f t="shared" si="13"/>
        <v>111</v>
      </c>
      <c r="AA37" s="1506">
        <f t="shared" si="3"/>
        <v>1</v>
      </c>
      <c r="AB37" s="1506">
        <f t="shared" si="4"/>
        <v>1</v>
      </c>
      <c r="AC37" s="1506">
        <f t="shared" si="5"/>
        <v>1</v>
      </c>
    </row>
    <row r="38" spans="1:29" ht="15">
      <c r="A38" s="430" t="s">
        <v>2322</v>
      </c>
      <c r="B38" s="414" t="s">
        <v>2510</v>
      </c>
      <c r="C38" s="634">
        <v>113700.02</v>
      </c>
      <c r="D38" s="425">
        <v>100</v>
      </c>
      <c r="E38" s="634">
        <v>29750.73</v>
      </c>
      <c r="F38" s="425">
        <f>LOOKUP(E38,117:117,118:118)-LOOKUP(C38,117:117,118:118)+100</f>
        <v>98</v>
      </c>
      <c r="G38" s="634">
        <v>33194.400000000001</v>
      </c>
      <c r="H38" s="425">
        <f>LOOKUP(G38,117:117,118:118)-LOOKUP(C38,117:117,118:118)+100</f>
        <v>98</v>
      </c>
      <c r="I38" s="486">
        <v>21023.4</v>
      </c>
      <c r="J38" s="425">
        <f>LOOKUP(I38,117:117,118:118)-LOOKUP(C38,117:117,118:118)+100</f>
        <v>98</v>
      </c>
      <c r="K38" s="569"/>
      <c r="L38" s="2920"/>
      <c r="M38" s="2914"/>
      <c r="N38" s="2914"/>
      <c r="O38" s="2972"/>
      <c r="P38" s="3513"/>
      <c r="Q38" s="1505" t="str">
        <f>B38</f>
        <v>宗地面积</v>
      </c>
      <c r="R38" s="713" t="s">
        <v>17</v>
      </c>
      <c r="S38" s="714">
        <f t="shared" si="10"/>
        <v>98</v>
      </c>
      <c r="T38" s="713" t="s">
        <v>17</v>
      </c>
      <c r="U38" s="714">
        <f t="shared" si="11"/>
        <v>98</v>
      </c>
      <c r="V38" s="713" t="s">
        <v>17</v>
      </c>
      <c r="W38" s="714">
        <f t="shared" si="12"/>
        <v>98</v>
      </c>
      <c r="X38" s="1508"/>
      <c r="Y38" s="3513"/>
      <c r="Z38" s="1509" t="str">
        <f t="shared" si="13"/>
        <v>宗地面积</v>
      </c>
      <c r="AA38" s="1506">
        <f t="shared" si="3"/>
        <v>1.0204081632653061</v>
      </c>
      <c r="AB38" s="1506">
        <f t="shared" si="4"/>
        <v>1.0204081632653061</v>
      </c>
      <c r="AC38" s="1506">
        <f t="shared" si="5"/>
        <v>1.0204081632653061</v>
      </c>
    </row>
    <row r="39" spans="1:29" ht="15">
      <c r="A39" s="430"/>
      <c r="B39" s="380" t="s">
        <v>2511</v>
      </c>
      <c r="C39" s="2061" t="s">
        <v>3190</v>
      </c>
      <c r="D39" s="393">
        <v>100</v>
      </c>
      <c r="E39" s="2061" t="s">
        <v>3190</v>
      </c>
      <c r="F39" s="393">
        <f>SUMIF(119:119,E39,120:120)-SUMIF(119:119,C39,120:120)+100</f>
        <v>100</v>
      </c>
      <c r="G39" s="2061" t="s">
        <v>3190</v>
      </c>
      <c r="H39" s="393">
        <f>SUMIF(119:119,G39,120:120)-SUMIF(119:119,C39,120:120)+100</f>
        <v>100</v>
      </c>
      <c r="I39" s="2061" t="s">
        <v>3190</v>
      </c>
      <c r="J39" s="393">
        <f>SUMIF(119:119,I39,120:120)-SUMIF(119:119,C39,120:120)+100</f>
        <v>100</v>
      </c>
      <c r="K39" s="568">
        <v>1</v>
      </c>
      <c r="L39" s="2920"/>
      <c r="M39" s="2914"/>
      <c r="N39" s="2914"/>
      <c r="O39" s="2972"/>
      <c r="P39" s="3513"/>
      <c r="Q39" s="1505" t="str">
        <f t="shared" ref="Q39:Q45" si="14">B39</f>
        <v>宗地形状</v>
      </c>
      <c r="R39" s="713" t="s">
        <v>17</v>
      </c>
      <c r="S39" s="714">
        <f t="shared" si="10"/>
        <v>100</v>
      </c>
      <c r="T39" s="713" t="s">
        <v>17</v>
      </c>
      <c r="U39" s="714">
        <f t="shared" si="11"/>
        <v>100</v>
      </c>
      <c r="V39" s="713" t="s">
        <v>17</v>
      </c>
      <c r="W39" s="714">
        <f t="shared" si="12"/>
        <v>100</v>
      </c>
      <c r="X39" s="1508"/>
      <c r="Y39" s="3513"/>
      <c r="Z39" s="1509" t="str">
        <f t="shared" si="13"/>
        <v>宗地形状</v>
      </c>
      <c r="AA39" s="1506">
        <f t="shared" si="3"/>
        <v>1</v>
      </c>
      <c r="AB39" s="1506">
        <f t="shared" si="4"/>
        <v>1</v>
      </c>
      <c r="AC39" s="1506">
        <f t="shared" si="5"/>
        <v>1</v>
      </c>
    </row>
    <row r="40" spans="1:29" ht="15">
      <c r="A40" s="430"/>
      <c r="B40" s="380" t="s">
        <v>2512</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v>1</v>
      </c>
      <c r="L40" s="2920"/>
      <c r="M40" s="2914"/>
      <c r="N40" s="2914"/>
      <c r="O40" s="2972"/>
      <c r="P40" s="3513"/>
      <c r="Q40" s="1505" t="str">
        <f t="shared" si="14"/>
        <v>临街宽度及深度</v>
      </c>
      <c r="R40" s="713" t="s">
        <v>17</v>
      </c>
      <c r="S40" s="714">
        <f t="shared" si="10"/>
        <v>100</v>
      </c>
      <c r="T40" s="713" t="s">
        <v>17</v>
      </c>
      <c r="U40" s="714">
        <f t="shared" si="11"/>
        <v>100</v>
      </c>
      <c r="V40" s="713" t="s">
        <v>17</v>
      </c>
      <c r="W40" s="714">
        <f t="shared" si="12"/>
        <v>100</v>
      </c>
      <c r="X40" s="1508"/>
      <c r="Y40" s="3513"/>
      <c r="Z40" s="1509" t="str">
        <f t="shared" si="13"/>
        <v>临街宽度及深度</v>
      </c>
      <c r="AA40" s="1506">
        <f t="shared" si="3"/>
        <v>1</v>
      </c>
      <c r="AB40" s="1506">
        <f t="shared" si="4"/>
        <v>1</v>
      </c>
      <c r="AC40" s="1506">
        <f t="shared" si="5"/>
        <v>1</v>
      </c>
    </row>
    <row r="41" spans="1:29" s="113" customFormat="1" ht="15">
      <c r="A41" s="431"/>
      <c r="B41" s="380" t="s">
        <v>2513</v>
      </c>
      <c r="C41" s="2135" t="s">
        <v>3188</v>
      </c>
      <c r="D41" s="131">
        <v>100</v>
      </c>
      <c r="E41" s="2135" t="s">
        <v>3191</v>
      </c>
      <c r="F41" s="393">
        <f>SUMIF(123:123,E41,124:124)-SUMIF(123:123,C41,124:124)+100</f>
        <v>98</v>
      </c>
      <c r="G41" s="2135" t="s">
        <v>3191</v>
      </c>
      <c r="H41" s="393">
        <f>SUMIF(123:123,G41,124:124)-SUMIF(123:123,C41,124:124)+100</f>
        <v>98</v>
      </c>
      <c r="I41" s="2135" t="s">
        <v>3197</v>
      </c>
      <c r="J41" s="393">
        <f>SUMIF(123:123,I41,124:124)-SUMIF(123:123,C41,124:124)+100</f>
        <v>96</v>
      </c>
      <c r="K41" s="3626">
        <v>1</v>
      </c>
      <c r="L41" s="2915"/>
      <c r="M41" s="2916"/>
      <c r="N41" s="2916"/>
      <c r="O41" s="2970"/>
      <c r="P41" s="3513"/>
      <c r="Q41" s="1505" t="str">
        <f t="shared" si="14"/>
        <v>宗地开发程度</v>
      </c>
      <c r="R41" s="709" t="s">
        <v>17</v>
      </c>
      <c r="S41" s="710">
        <f t="shared" si="10"/>
        <v>98</v>
      </c>
      <c r="T41" s="709" t="s">
        <v>17</v>
      </c>
      <c r="U41" s="710">
        <f t="shared" si="11"/>
        <v>98</v>
      </c>
      <c r="V41" s="709" t="s">
        <v>17</v>
      </c>
      <c r="W41" s="710">
        <f t="shared" si="12"/>
        <v>96</v>
      </c>
      <c r="X41" s="711"/>
      <c r="Y41" s="3513"/>
      <c r="Z41" s="55" t="str">
        <f t="shared" si="13"/>
        <v>宗地开发程度</v>
      </c>
      <c r="AA41" s="712">
        <f t="shared" si="3"/>
        <v>1.0204081632653061</v>
      </c>
      <c r="AB41" s="712">
        <f t="shared" si="4"/>
        <v>1.0204081632653061</v>
      </c>
      <c r="AC41" s="712">
        <f t="shared" si="5"/>
        <v>1.0416666666666667</v>
      </c>
    </row>
    <row r="42" spans="1:29" ht="15.75" thickBot="1">
      <c r="A42" s="430"/>
      <c r="B42" s="380" t="s">
        <v>2514</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v>1</v>
      </c>
      <c r="L42" s="2920"/>
      <c r="M42" s="2914"/>
      <c r="N42" s="2914"/>
      <c r="O42" s="2972"/>
      <c r="P42" s="3513" t="s">
        <v>2324</v>
      </c>
      <c r="Q42" s="1505" t="str">
        <f t="shared" si="14"/>
        <v>工程地质条件</v>
      </c>
      <c r="R42" s="713" t="s">
        <v>17</v>
      </c>
      <c r="S42" s="714">
        <f t="shared" si="10"/>
        <v>100</v>
      </c>
      <c r="T42" s="713" t="s">
        <v>17</v>
      </c>
      <c r="U42" s="714">
        <f t="shared" si="11"/>
        <v>100</v>
      </c>
      <c r="V42" s="713" t="s">
        <v>17</v>
      </c>
      <c r="W42" s="714">
        <f t="shared" si="12"/>
        <v>100</v>
      </c>
      <c r="X42" s="1508"/>
      <c r="Y42" s="3513" t="s">
        <v>2324</v>
      </c>
      <c r="Z42" s="1509" t="str">
        <f t="shared" si="13"/>
        <v>工程地质条件</v>
      </c>
      <c r="AA42" s="1506">
        <f t="shared" si="3"/>
        <v>1</v>
      </c>
      <c r="AB42" s="1506">
        <f t="shared" si="4"/>
        <v>1</v>
      </c>
      <c r="AC42" s="1506">
        <f t="shared" si="5"/>
        <v>1</v>
      </c>
    </row>
    <row r="43" spans="1:29" ht="15" hidden="1">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513"/>
      <c r="Q43" s="1505">
        <f t="shared" si="14"/>
        <v>111</v>
      </c>
      <c r="R43" s="713" t="s">
        <v>17</v>
      </c>
      <c r="S43" s="714">
        <f t="shared" si="10"/>
        <v>100</v>
      </c>
      <c r="T43" s="713" t="s">
        <v>17</v>
      </c>
      <c r="U43" s="714">
        <f t="shared" si="11"/>
        <v>100</v>
      </c>
      <c r="V43" s="713" t="s">
        <v>17</v>
      </c>
      <c r="W43" s="714">
        <f t="shared" si="12"/>
        <v>100</v>
      </c>
      <c r="X43" s="1508"/>
      <c r="Y43" s="3513"/>
      <c r="Z43" s="1509">
        <f t="shared" si="13"/>
        <v>111</v>
      </c>
      <c r="AA43" s="1506">
        <f t="shared" si="3"/>
        <v>1</v>
      </c>
      <c r="AB43" s="1506">
        <f t="shared" si="4"/>
        <v>1</v>
      </c>
      <c r="AC43" s="1506">
        <f t="shared" si="5"/>
        <v>1</v>
      </c>
    </row>
    <row r="44" spans="1:29" ht="15" hidden="1">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513"/>
      <c r="Q44" s="1505">
        <f t="shared" si="14"/>
        <v>111</v>
      </c>
      <c r="R44" s="713" t="s">
        <v>17</v>
      </c>
      <c r="S44" s="714">
        <f t="shared" si="10"/>
        <v>100</v>
      </c>
      <c r="T44" s="713" t="s">
        <v>17</v>
      </c>
      <c r="U44" s="714">
        <f t="shared" si="11"/>
        <v>100</v>
      </c>
      <c r="V44" s="713" t="s">
        <v>17</v>
      </c>
      <c r="W44" s="714">
        <f t="shared" si="12"/>
        <v>100</v>
      </c>
      <c r="X44" s="1508"/>
      <c r="Y44" s="3513"/>
      <c r="Z44" s="1509">
        <f t="shared" si="13"/>
        <v>111</v>
      </c>
      <c r="AA44" s="1506">
        <f t="shared" si="3"/>
        <v>1</v>
      </c>
      <c r="AB44" s="1506">
        <f t="shared" si="4"/>
        <v>1</v>
      </c>
      <c r="AC44" s="1506">
        <f t="shared" si="5"/>
        <v>1</v>
      </c>
    </row>
    <row r="45" spans="1:29" s="429" customFormat="1" ht="15.75" hidden="1"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513"/>
      <c r="Q45" s="1505">
        <f t="shared" si="14"/>
        <v>111</v>
      </c>
      <c r="R45" s="716" t="s">
        <v>17</v>
      </c>
      <c r="S45" s="717">
        <f t="shared" si="10"/>
        <v>100</v>
      </c>
      <c r="T45" s="716" t="s">
        <v>17</v>
      </c>
      <c r="U45" s="717">
        <f t="shared" si="11"/>
        <v>100</v>
      </c>
      <c r="V45" s="716" t="s">
        <v>17</v>
      </c>
      <c r="W45" s="717">
        <f t="shared" si="12"/>
        <v>100</v>
      </c>
      <c r="X45" s="718"/>
      <c r="Y45" s="3513"/>
      <c r="Z45" s="719">
        <f t="shared" si="13"/>
        <v>111</v>
      </c>
      <c r="AA45" s="1506">
        <f t="shared" si="3"/>
        <v>1</v>
      </c>
      <c r="AB45" s="1506">
        <f t="shared" si="4"/>
        <v>1</v>
      </c>
      <c r="AC45" s="1506">
        <f t="shared" si="5"/>
        <v>1</v>
      </c>
    </row>
    <row r="46" spans="1:29" ht="15">
      <c r="A46" s="437" t="s">
        <v>2479</v>
      </c>
      <c r="B46" s="2137" t="s">
        <v>2515</v>
      </c>
      <c r="C46" s="637" t="s">
        <v>1</v>
      </c>
      <c r="D46" s="439"/>
      <c r="E46" s="440">
        <v>73912</v>
      </c>
      <c r="F46" s="441"/>
      <c r="G46" s="442">
        <v>67202</v>
      </c>
      <c r="H46" s="443"/>
      <c r="I46" s="440">
        <v>58228</v>
      </c>
      <c r="J46" s="443"/>
      <c r="K46" s="722"/>
      <c r="L46" s="2922"/>
      <c r="M46" s="2923"/>
      <c r="N46" s="2914"/>
      <c r="O46" s="2923"/>
      <c r="P46" s="3506" t="str">
        <f>A46</f>
        <v>成交单价</v>
      </c>
      <c r="Q46" s="3506"/>
      <c r="R46" s="3501">
        <f>E46</f>
        <v>73912</v>
      </c>
      <c r="S46" s="3501"/>
      <c r="T46" s="3501">
        <f>G46</f>
        <v>67202</v>
      </c>
      <c r="U46" s="3501"/>
      <c r="V46" s="3501">
        <f>I46</f>
        <v>58228</v>
      </c>
      <c r="W46" s="3501"/>
      <c r="X46" s="698"/>
      <c r="Y46" s="720"/>
      <c r="Z46" s="698"/>
      <c r="AA46" s="698"/>
      <c r="AB46" s="698"/>
      <c r="AC46" s="698"/>
    </row>
    <row r="47" spans="1:29" ht="15.75" thickBot="1">
      <c r="A47" s="444" t="s">
        <v>2428</v>
      </c>
      <c r="B47" s="638"/>
      <c r="C47" s="447">
        <f>R48</f>
        <v>79298</v>
      </c>
      <c r="D47" s="2507" t="s">
        <v>2819</v>
      </c>
      <c r="E47" s="447">
        <f>R47</f>
        <v>86463</v>
      </c>
      <c r="F47" s="2508"/>
      <c r="G47" s="446">
        <f>T47</f>
        <v>78614</v>
      </c>
      <c r="H47" s="2508"/>
      <c r="I47" s="447">
        <f>V47</f>
        <v>72817</v>
      </c>
      <c r="J47" s="2508"/>
      <c r="K47" s="2510">
        <f>F47+H47+J47</f>
        <v>0</v>
      </c>
      <c r="L47" s="2922"/>
      <c r="M47" s="2923"/>
      <c r="N47" s="2923"/>
      <c r="O47" s="2923"/>
      <c r="P47" s="3506" t="str">
        <f>A47</f>
        <v>比较价值（元/平方米）</v>
      </c>
      <c r="Q47" s="3506"/>
      <c r="R47" s="3537">
        <f>ROUND(PRODUCT(R46,AA7:AA45),0)</f>
        <v>86463</v>
      </c>
      <c r="S47" s="3537"/>
      <c r="T47" s="3537">
        <f>ROUND(PRODUCT(T46,AB7:AB45),0)</f>
        <v>78614</v>
      </c>
      <c r="U47" s="3537"/>
      <c r="V47" s="3537">
        <f>ROUND(PRODUCT(V46,AC7:AC45),0)</f>
        <v>72817</v>
      </c>
      <c r="W47" s="3537"/>
      <c r="X47" s="698"/>
      <c r="Y47" s="698"/>
      <c r="Z47" s="698"/>
      <c r="AA47" s="698"/>
      <c r="AB47" s="698"/>
      <c r="AC47" s="698"/>
    </row>
    <row r="48" spans="1:29" ht="15.75" thickBot="1">
      <c r="A48" s="448" t="s">
        <v>2516</v>
      </c>
      <c r="B48" s="449"/>
      <c r="C48" s="450">
        <f>R48</f>
        <v>79298</v>
      </c>
      <c r="D48" s="450"/>
      <c r="E48" s="450"/>
      <c r="F48" s="450"/>
      <c r="G48" s="450"/>
      <c r="H48" s="450"/>
      <c r="I48" s="450"/>
      <c r="J48" s="450"/>
      <c r="K48" s="723"/>
      <c r="L48" s="2922"/>
      <c r="M48" s="2923"/>
      <c r="N48" s="2923"/>
      <c r="O48" s="2923"/>
      <c r="P48" s="3503" t="str">
        <f>A48</f>
        <v>估价对象XX用房的比较价值（楼面单价，元/平方米）</v>
      </c>
      <c r="Q48" s="3504"/>
      <c r="R48" s="3538">
        <f>ROUND(IF(D47="简单平均",AVERAGE(R47:W47),R47*F47+T47*H47+V47*J47),0)</f>
        <v>79298</v>
      </c>
      <c r="S48" s="3538"/>
      <c r="T48" s="3538"/>
      <c r="U48" s="3538"/>
      <c r="V48" s="3538"/>
      <c r="W48" s="3538"/>
      <c r="X48" s="698"/>
      <c r="Y48" s="698"/>
      <c r="Z48" s="698"/>
      <c r="AA48" s="698"/>
      <c r="AB48" s="698"/>
      <c r="AC48" s="698"/>
    </row>
    <row r="49" spans="1:29">
      <c r="A49" s="2923"/>
      <c r="B49" s="2923"/>
      <c r="C49" s="3627"/>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2430</v>
      </c>
      <c r="D51" s="454"/>
      <c r="E51" s="455">
        <f>IF(E46&lt;E47,E47/E46-1,E46/E47-1)</f>
        <v>0.16981004437709712</v>
      </c>
      <c r="F51" s="456" t="str">
        <f>IF(OR(E51&gt;=0.3,E51&lt;=-0.3),"超过30%","")</f>
        <v/>
      </c>
      <c r="G51" s="455">
        <f>IF(G46&lt;G47,G47/G46-1,G46/G47-1)</f>
        <v>0.16981637451266329</v>
      </c>
      <c r="H51" s="456" t="str">
        <f>IF(OR(G51&gt;=0.3,G51&lt;=-0.3),"超过30%","")</f>
        <v/>
      </c>
      <c r="I51" s="455">
        <f>IF(I46&lt;I47,I47/I46-1,I46/I47-1)</f>
        <v>0.25054956378374671</v>
      </c>
      <c r="J51" s="456"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2431</v>
      </c>
      <c r="D52" s="457"/>
      <c r="E52" s="455">
        <f>IF(E47&lt;G47,G47/E47-1,E47/G47-1)</f>
        <v>9.9842267280636943E-2</v>
      </c>
      <c r="F52" s="456" t="str">
        <f>IF(OR(E52&gt;=0.2,E52&lt;=-0.2),"超过20%","")</f>
        <v/>
      </c>
      <c r="G52" s="455">
        <f>IF(G47&lt;I47,I47/G47-1,G47/I47-1)</f>
        <v>7.9610530507985722E-2</v>
      </c>
      <c r="H52" s="456" t="str">
        <f>IF(OR(G52&gt;=0.2,G52&lt;=-0.2),"超过20%","")</f>
        <v/>
      </c>
      <c r="I52" s="455">
        <f>IF(I47&lt;E47,E47/I47-1,I47/E47-1)</f>
        <v>0.18740129365395441</v>
      </c>
      <c r="J52" s="456"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2432</v>
      </c>
      <c r="D53" s="457"/>
      <c r="E53" s="455">
        <f>IF(E46&lt;G46,G46/E46-1,E46/G46-1)</f>
        <v>9.9848218803011868E-2</v>
      </c>
      <c r="F53" s="456" t="str">
        <f>IF(OR(E53&gt;=0.3,E53&lt;=-0.3),"超过30%","")</f>
        <v/>
      </c>
      <c r="G53" s="455">
        <f>IF(G46&lt;I46,I46/G46-1,G46/I46-1)</f>
        <v>0.1541182936044514</v>
      </c>
      <c r="H53" s="456" t="str">
        <f>IF(OR(G53&gt;=0.3,G53&lt;=-0.3),"超过30%","")</f>
        <v/>
      </c>
      <c r="I53" s="455">
        <f>IF(I46&lt;E46,E46/I46-1,I46/E46-1)</f>
        <v>0.26935494950882743</v>
      </c>
      <c r="J53" s="456"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2517</v>
      </c>
      <c r="B55" s="640" t="s">
        <v>2518</v>
      </c>
      <c r="C55" s="2138" t="s">
        <v>2519</v>
      </c>
      <c r="D55" s="2139" t="s">
        <v>2520</v>
      </c>
      <c r="E55" s="641" t="s">
        <v>2521</v>
      </c>
      <c r="F55" s="1020" t="s">
        <v>2522</v>
      </c>
      <c r="G55" s="3489" t="s">
        <v>2523</v>
      </c>
      <c r="H55" s="3539"/>
      <c r="I55" s="139"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2526</v>
      </c>
      <c r="B56" s="644">
        <f>C48</f>
        <v>79298</v>
      </c>
      <c r="C56" s="645">
        <v>1</v>
      </c>
      <c r="D56" s="1074">
        <v>1</v>
      </c>
      <c r="E56" s="645">
        <f>'数据-汇总表'!E8+'数据-汇总表'!E9</f>
        <v>33617.25</v>
      </c>
      <c r="F56" s="1016">
        <f t="shared" ref="F56:F65" si="15">ROUND(B56*E56/10000,0)</f>
        <v>266578</v>
      </c>
      <c r="G56" s="3488"/>
      <c r="H56" s="3506"/>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2527</v>
      </c>
      <c r="B57" s="223">
        <f>ROUND($C$48*C57*D57,0)</f>
        <v>13877</v>
      </c>
      <c r="C57" s="175">
        <f t="shared" ref="C57:C65" si="16">IF($C$55="北京市系数",I57,J57)</f>
        <v>0.7</v>
      </c>
      <c r="D57" s="1075">
        <v>0.25</v>
      </c>
      <c r="E57" s="649"/>
      <c r="F57" s="1016">
        <f t="shared" si="15"/>
        <v>0</v>
      </c>
      <c r="G57" s="3540" t="s">
        <v>2528</v>
      </c>
      <c r="H57" s="1017" t="str">
        <f>项目基本情况!B37</f>
        <v>四级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2529</v>
      </c>
      <c r="B58" s="223">
        <f t="shared" ref="B58:B65" si="17">ROUND($C$48*C58*D58,0)</f>
        <v>7930</v>
      </c>
      <c r="C58" s="175">
        <f t="shared" si="16"/>
        <v>0.4</v>
      </c>
      <c r="D58" s="1075">
        <v>0.25</v>
      </c>
      <c r="E58" s="649"/>
      <c r="F58" s="1016">
        <f t="shared" si="15"/>
        <v>0</v>
      </c>
      <c r="G58" s="3540"/>
      <c r="H58" s="1017" t="str">
        <f>项目基本情况!B37</f>
        <v>四级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2530</v>
      </c>
      <c r="B59" s="223">
        <f t="shared" si="17"/>
        <v>5551</v>
      </c>
      <c r="C59" s="175">
        <f t="shared" si="16"/>
        <v>0.28000000000000003</v>
      </c>
      <c r="D59" s="1075">
        <v>0.25</v>
      </c>
      <c r="E59" s="649"/>
      <c r="F59" s="1016">
        <f t="shared" si="15"/>
        <v>0</v>
      </c>
      <c r="G59" s="3540"/>
      <c r="H59" s="1017" t="str">
        <f>项目基本情况!B37</f>
        <v>四级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2531</v>
      </c>
      <c r="B60" s="223">
        <f t="shared" si="17"/>
        <v>4956</v>
      </c>
      <c r="C60" s="175">
        <f t="shared" si="16"/>
        <v>0.25</v>
      </c>
      <c r="D60" s="1075">
        <v>0.25</v>
      </c>
      <c r="E60" s="649"/>
      <c r="F60" s="1016">
        <f t="shared" si="15"/>
        <v>0</v>
      </c>
      <c r="G60" s="3540"/>
      <c r="H60" s="1017" t="str">
        <f>项目基本情况!B37</f>
        <v>四级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2532</v>
      </c>
      <c r="B61" s="223">
        <f t="shared" si="17"/>
        <v>4956</v>
      </c>
      <c r="C61" s="175">
        <f t="shared" si="16"/>
        <v>0.25</v>
      </c>
      <c r="D61" s="1075">
        <v>0.25</v>
      </c>
      <c r="E61" s="222">
        <f>'数据-汇总表'!E11</f>
        <v>0</v>
      </c>
      <c r="F61" s="1016">
        <f t="shared" si="15"/>
        <v>0</v>
      </c>
      <c r="G61" s="2142" t="s">
        <v>2533</v>
      </c>
      <c r="H61" s="1017" t="str">
        <f>项目基本情况!C37</f>
        <v>四级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2534</v>
      </c>
      <c r="B62" s="223">
        <f t="shared" si="17"/>
        <v>4956</v>
      </c>
      <c r="C62" s="175">
        <f t="shared" si="16"/>
        <v>0.25</v>
      </c>
      <c r="D62" s="1075">
        <v>0.25</v>
      </c>
      <c r="E62" s="222">
        <f>'数据-汇总表'!E12</f>
        <v>0</v>
      </c>
      <c r="F62" s="1016">
        <f t="shared" si="15"/>
        <v>0</v>
      </c>
      <c r="G62" s="1022" t="s">
        <v>2535</v>
      </c>
      <c r="H62" s="1017" t="str">
        <f>IF(G62="商业",项目基本情况!B37,IF(G62="办公",项目基本情况!C37,IF(G62="住宅",项目基本情况!D37,项目基本情况!E37)))</f>
        <v>四级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2536</v>
      </c>
      <c r="B63" s="223">
        <f t="shared" si="17"/>
        <v>3965</v>
      </c>
      <c r="C63" s="175">
        <f t="shared" si="16"/>
        <v>0.2</v>
      </c>
      <c r="D63" s="1075">
        <v>0.25</v>
      </c>
      <c r="E63" s="222">
        <f>'数据-汇总表'!E13</f>
        <v>0</v>
      </c>
      <c r="F63" s="1016">
        <f t="shared" si="15"/>
        <v>0</v>
      </c>
      <c r="G63" s="1022" t="s">
        <v>2537</v>
      </c>
      <c r="H63" s="1017" t="str">
        <f>IF(G63="商业",项目基本情况!B37,IF(G63="办公",项目基本情况!C37,IF(G63="住宅",项目基本情况!D37,项目基本情况!E37)))</f>
        <v>四级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2538</v>
      </c>
      <c r="B64" s="223">
        <f t="shared" si="17"/>
        <v>3965</v>
      </c>
      <c r="C64" s="175">
        <f t="shared" si="16"/>
        <v>0.2</v>
      </c>
      <c r="D64" s="1075">
        <v>0.25</v>
      </c>
      <c r="E64" s="222">
        <f>'数据-汇总表'!E14</f>
        <v>0</v>
      </c>
      <c r="F64" s="1016">
        <f t="shared" si="15"/>
        <v>0</v>
      </c>
      <c r="G64" s="2142" t="s">
        <v>2528</v>
      </c>
      <c r="H64" s="1017" t="str">
        <f>项目基本情况!B37</f>
        <v>四级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2539</v>
      </c>
      <c r="B65" s="223">
        <f t="shared" si="17"/>
        <v>3965</v>
      </c>
      <c r="C65" s="175">
        <f t="shared" si="16"/>
        <v>0.2</v>
      </c>
      <c r="D65" s="1075">
        <v>0.25</v>
      </c>
      <c r="E65" s="222">
        <f>'数据-汇总表'!E15</f>
        <v>0</v>
      </c>
      <c r="F65" s="1016">
        <f t="shared" si="15"/>
        <v>0</v>
      </c>
      <c r="G65" s="2143" t="s">
        <v>2533</v>
      </c>
      <c r="H65" s="1027" t="str">
        <f>项目基本情况!C37</f>
        <v>四级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2540</v>
      </c>
      <c r="B66" s="651" t="s">
        <v>28</v>
      </c>
      <c r="C66" s="651" t="s">
        <v>29</v>
      </c>
      <c r="D66" s="651" t="s">
        <v>997</v>
      </c>
      <c r="E66" s="651">
        <f>IF(B46="楼面地价",SUM(E56:E65),'数据-汇总表'!D3)</f>
        <v>33617.25</v>
      </c>
      <c r="F66" s="652">
        <f>IF(B46="楼面地价",SUM(F56:F65),ROUND(C48*E66/10000,0))</f>
        <v>266578</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3"/>
      <c r="Q68" s="2923"/>
      <c r="R68" s="2923"/>
      <c r="S68" s="2923"/>
      <c r="T68" s="2923"/>
      <c r="U68" s="2923"/>
      <c r="V68" s="2923"/>
      <c r="W68" s="2923"/>
      <c r="X68" s="2923"/>
      <c r="Y68" s="2923"/>
      <c r="Z68" s="2923"/>
      <c r="AA68" s="2923"/>
      <c r="AB68" s="2923"/>
      <c r="AC68" s="2923"/>
    </row>
    <row r="69" spans="1:29" ht="21.75" thickBot="1">
      <c r="A69" s="702" t="s">
        <v>2433</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2541</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3" t="str">
        <f>"北京市平均增长率"&amp;TEXT(SUMIF(基准地价修正!N21:N25,A71,基准地价修正!P21:P25),"0.00%")</f>
        <v>北京市平均增长率1.77%</v>
      </c>
      <c r="C71" s="559">
        <v>100</v>
      </c>
      <c r="D71" s="551">
        <v>99.5</v>
      </c>
      <c r="E71" s="551">
        <v>99</v>
      </c>
      <c r="F71" s="551">
        <v>98.5</v>
      </c>
      <c r="G71" s="551">
        <v>98</v>
      </c>
      <c r="H71" s="551">
        <v>97.5</v>
      </c>
      <c r="I71" s="551">
        <v>97</v>
      </c>
      <c r="J71" s="551">
        <v>96.5</v>
      </c>
      <c r="K71" s="551">
        <v>96</v>
      </c>
      <c r="L71" s="551">
        <v>95.5</v>
      </c>
      <c r="M71" s="551">
        <v>95</v>
      </c>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2344</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2309</v>
      </c>
      <c r="B73" s="466"/>
      <c r="C73" s="478" t="s">
        <v>2411</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2347</v>
      </c>
      <c r="B75" s="484" t="s">
        <v>2313</v>
      </c>
      <c r="C75" s="3227" t="s">
        <v>3201</v>
      </c>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v>100</v>
      </c>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2316</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2317</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v>0</v>
      </c>
      <c r="D80" s="505">
        <v>1</v>
      </c>
      <c r="E80" s="505">
        <v>2</v>
      </c>
      <c r="F80" s="505">
        <v>3</v>
      </c>
      <c r="G80" s="505">
        <v>4</v>
      </c>
      <c r="H80" s="505">
        <v>5</v>
      </c>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97</v>
      </c>
      <c r="E81" s="500">
        <f t="shared" si="21"/>
        <v>94</v>
      </c>
      <c r="F81" s="500">
        <f t="shared" si="21"/>
        <v>91</v>
      </c>
      <c r="G81" s="500">
        <f t="shared" si="21"/>
        <v>88</v>
      </c>
      <c r="H81" s="500">
        <f t="shared" si="21"/>
        <v>85</v>
      </c>
      <c r="I81" s="500">
        <f t="shared" si="21"/>
        <v>82</v>
      </c>
      <c r="J81" s="500">
        <f t="shared" si="21"/>
        <v>79</v>
      </c>
      <c r="K81" s="500">
        <f t="shared" si="21"/>
        <v>76</v>
      </c>
      <c r="L81" s="500">
        <f t="shared" si="21"/>
        <v>73</v>
      </c>
      <c r="M81" s="500">
        <f t="shared" si="21"/>
        <v>70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362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2318</v>
      </c>
      <c r="B88" s="484" t="s">
        <v>2355</v>
      </c>
      <c r="C88" s="529" t="s">
        <v>2356</v>
      </c>
      <c r="D88" s="529" t="s">
        <v>2357</v>
      </c>
      <c r="E88" s="529" t="s">
        <v>2358</v>
      </c>
      <c r="F88" s="529" t="s">
        <v>2359</v>
      </c>
      <c r="G88" s="529" t="s">
        <v>2360</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98</v>
      </c>
      <c r="E89" s="500">
        <f>D89-$K15</f>
        <v>96</v>
      </c>
      <c r="F89" s="500">
        <f>E89-$K15</f>
        <v>94</v>
      </c>
      <c r="G89" s="500">
        <f>F89-$K15</f>
        <v>92</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2543</v>
      </c>
      <c r="C90" s="534" t="s">
        <v>2356</v>
      </c>
      <c r="D90" s="534" t="s">
        <v>2357</v>
      </c>
      <c r="E90" s="534" t="s">
        <v>2358</v>
      </c>
      <c r="F90" s="534" t="s">
        <v>2359</v>
      </c>
      <c r="G90" s="534" t="s">
        <v>2360</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98</v>
      </c>
      <c r="E91" s="500">
        <f>D91-$K17</f>
        <v>96</v>
      </c>
      <c r="F91" s="500">
        <f>E91-$K17</f>
        <v>94</v>
      </c>
      <c r="G91" s="500">
        <f>F91-$K17</f>
        <v>92</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2456</v>
      </c>
      <c r="C92" s="534" t="s">
        <v>2356</v>
      </c>
      <c r="D92" s="534" t="s">
        <v>2357</v>
      </c>
      <c r="E92" s="534" t="s">
        <v>2358</v>
      </c>
      <c r="F92" s="534" t="s">
        <v>2359</v>
      </c>
      <c r="G92" s="534" t="s">
        <v>2360</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2361</v>
      </c>
      <c r="C94" s="534" t="s">
        <v>2356</v>
      </c>
      <c r="D94" s="534" t="s">
        <v>2357</v>
      </c>
      <c r="E94" s="534" t="s">
        <v>2358</v>
      </c>
      <c r="F94" s="534" t="s">
        <v>2359</v>
      </c>
      <c r="G94" s="534" t="s">
        <v>2360</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98</v>
      </c>
      <c r="E95" s="500">
        <f>D95-$K21</f>
        <v>96</v>
      </c>
      <c r="F95" s="500">
        <f>E95-$K21</f>
        <v>94</v>
      </c>
      <c r="G95" s="500">
        <f>F95-$K21</f>
        <v>92</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2544</v>
      </c>
      <c r="C96" s="534" t="s">
        <v>2356</v>
      </c>
      <c r="D96" s="534" t="s">
        <v>2357</v>
      </c>
      <c r="E96" s="534" t="s">
        <v>2358</v>
      </c>
      <c r="F96" s="534" t="s">
        <v>2359</v>
      </c>
      <c r="G96" s="534" t="s">
        <v>2360</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2545</v>
      </c>
      <c r="C98" s="529" t="s">
        <v>2356</v>
      </c>
      <c r="D98" s="529" t="s">
        <v>2357</v>
      </c>
      <c r="E98" s="529" t="s">
        <v>2358</v>
      </c>
      <c r="F98" s="529" t="s">
        <v>2359</v>
      </c>
      <c r="G98" s="529" t="s">
        <v>2360</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2413</v>
      </c>
      <c r="C100" s="529" t="s">
        <v>2356</v>
      </c>
      <c r="D100" s="529" t="s">
        <v>2357</v>
      </c>
      <c r="E100" s="529" t="s">
        <v>2358</v>
      </c>
      <c r="F100" s="529" t="s">
        <v>2359</v>
      </c>
      <c r="G100" s="529" t="s">
        <v>2360</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2414</v>
      </c>
      <c r="C102" s="615" t="s">
        <v>2434</v>
      </c>
      <c r="D102" s="615" t="s">
        <v>2435</v>
      </c>
      <c r="E102" s="615" t="s">
        <v>2436</v>
      </c>
      <c r="F102" s="615" t="s">
        <v>2437</v>
      </c>
      <c r="G102" s="615" t="s">
        <v>2438</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2546</v>
      </c>
      <c r="D104" s="495" t="s">
        <v>2547</v>
      </c>
      <c r="E104" s="495" t="s">
        <v>2548</v>
      </c>
      <c r="F104" s="495" t="s">
        <v>2549</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2450</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2509</v>
      </c>
      <c r="C108" s="3228" t="s">
        <v>3189</v>
      </c>
      <c r="D108" s="3228" t="s">
        <v>3196</v>
      </c>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98</v>
      </c>
      <c r="E109" s="500">
        <f t="shared" ref="E109:M109" si="24">D109-$K34</f>
        <v>96</v>
      </c>
      <c r="F109" s="500">
        <f t="shared" si="24"/>
        <v>94</v>
      </c>
      <c r="G109" s="500">
        <f t="shared" si="24"/>
        <v>92</v>
      </c>
      <c r="H109" s="500">
        <f t="shared" si="24"/>
        <v>90</v>
      </c>
      <c r="I109" s="500">
        <f t="shared" si="24"/>
        <v>88</v>
      </c>
      <c r="J109" s="500">
        <f t="shared" si="24"/>
        <v>86</v>
      </c>
      <c r="K109" s="500">
        <f t="shared" si="24"/>
        <v>84</v>
      </c>
      <c r="L109" s="500">
        <f t="shared" si="24"/>
        <v>82</v>
      </c>
      <c r="M109" s="500">
        <f t="shared" si="24"/>
        <v>80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ht="28.5">
      <c r="A116" s="483" t="s">
        <v>2322</v>
      </c>
      <c r="B116" s="484" t="s">
        <v>2550</v>
      </c>
      <c r="C116" s="485" t="str">
        <f>C117&amp;"(含)"&amp;"-"&amp;D117</f>
        <v>0(含)-50000</v>
      </c>
      <c r="D116" s="485" t="str">
        <f t="shared" ref="D116:M116" si="25">D117&amp;"(含)"&amp;"-"&amp;E117</f>
        <v>50000(含)-100000</v>
      </c>
      <c r="E116" s="485" t="str">
        <f t="shared" si="25"/>
        <v>100000(含)-150000</v>
      </c>
      <c r="F116" s="485" t="str">
        <f t="shared" si="25"/>
        <v>150000(含)-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v>0</v>
      </c>
      <c r="D117" s="551">
        <v>50000</v>
      </c>
      <c r="E117" s="551">
        <v>100000</v>
      </c>
      <c r="F117" s="551">
        <v>150000</v>
      </c>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v>100</v>
      </c>
      <c r="D118" s="547">
        <v>101</v>
      </c>
      <c r="E118" s="526">
        <v>102</v>
      </c>
      <c r="F118" s="547">
        <v>103</v>
      </c>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2551</v>
      </c>
      <c r="C119" s="3228" t="s">
        <v>3202</v>
      </c>
      <c r="D119" s="3228" t="s">
        <v>3190</v>
      </c>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2552</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2553</v>
      </c>
      <c r="C123" s="510" t="s">
        <v>3188</v>
      </c>
      <c r="D123" s="510" t="s">
        <v>3203</v>
      </c>
      <c r="E123" s="510" t="s">
        <v>3191</v>
      </c>
      <c r="F123" s="510" t="s">
        <v>3204</v>
      </c>
      <c r="G123" s="510" t="s">
        <v>3197</v>
      </c>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2554</v>
      </c>
      <c r="C125" s="3229" t="s">
        <v>3186</v>
      </c>
      <c r="D125" s="3229" t="s">
        <v>3187</v>
      </c>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E12" sqref="E12"/>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2221</v>
      </c>
      <c r="B1" s="1324"/>
      <c r="C1" s="1325"/>
      <c r="D1" s="1323"/>
      <c r="E1" s="3006"/>
      <c r="F1" s="3006"/>
      <c r="G1" s="2869"/>
      <c r="H1" s="3006"/>
      <c r="I1" s="3006"/>
      <c r="J1" s="3006"/>
      <c r="K1" s="3007">
        <f>MATCH(C1,'数据-取费表'!A6:A16,0)+5</f>
        <v>8</v>
      </c>
    </row>
    <row r="2" spans="1:33" ht="18" customHeight="1">
      <c r="A2" s="206" t="s">
        <v>2089</v>
      </c>
      <c r="B2" s="209">
        <f ca="1">C32</f>
        <v>275642</v>
      </c>
      <c r="C2" s="281" t="s">
        <v>2222</v>
      </c>
      <c r="D2" s="281"/>
      <c r="E2" s="3006"/>
      <c r="F2" s="3006"/>
      <c r="G2" s="3006"/>
      <c r="H2" s="3006"/>
      <c r="I2" s="3006"/>
      <c r="J2" s="3006"/>
      <c r="K2" s="3006"/>
    </row>
    <row r="3" spans="1:33" ht="18" customHeight="1" thickBot="1">
      <c r="A3" s="208" t="s">
        <v>2091</v>
      </c>
      <c r="B3" s="209">
        <f ca="1">ROUND(B2*10000/IF(C1="",'数据-汇总表'!E3,INDIRECT("'数据-取费表'!K"&amp;$K$1)),0)</f>
        <v>81994</v>
      </c>
      <c r="C3" s="281" t="s">
        <v>2223</v>
      </c>
      <c r="D3" s="281"/>
      <c r="E3" s="3006"/>
      <c r="F3" s="3006"/>
      <c r="G3" s="3006"/>
      <c r="H3" s="3006"/>
      <c r="I3" s="3006"/>
      <c r="J3" s="3006"/>
      <c r="K3" s="3006"/>
    </row>
    <row r="4" spans="1:33" s="892" customFormat="1" ht="16.5" customHeight="1">
      <c r="A4" s="889" t="s">
        <v>2224</v>
      </c>
      <c r="B4" s="890"/>
      <c r="C4" s="932">
        <f ca="1">SUM(C8:K8)</f>
        <v>368834</v>
      </c>
      <c r="D4" s="890"/>
      <c r="E4" s="890"/>
      <c r="F4" s="890"/>
      <c r="G4" s="890"/>
      <c r="H4" s="890"/>
      <c r="I4" s="890"/>
      <c r="J4" s="890"/>
      <c r="K4" s="891"/>
    </row>
    <row r="5" spans="1:33" s="896" customFormat="1" ht="15">
      <c r="A5" s="893" t="s">
        <v>2225</v>
      </c>
      <c r="B5" s="894" t="s">
        <v>2226</v>
      </c>
      <c r="C5" s="2015" t="s">
        <v>1283</v>
      </c>
      <c r="D5" s="2015" t="s">
        <v>3137</v>
      </c>
      <c r="E5" s="2015"/>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2227</v>
      </c>
      <c r="C6" s="898">
        <f ca="1">收益法!C43</f>
        <v>51267</v>
      </c>
      <c r="D6" s="898">
        <f>'比较法-住宅'!C49</f>
        <v>113673</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2228</v>
      </c>
      <c r="B7" s="135" t="s">
        <v>2229</v>
      </c>
      <c r="C7" s="282">
        <f>SUMIF('数据-汇总表'!$C19:$C33,假设开发法!C5,'数据-汇总表'!$E19:$E33)</f>
        <v>2131.7799999999997</v>
      </c>
      <c r="D7" s="282">
        <f>SUMIF('数据-汇总表'!$C19:$C33,假设开发法!D5,'数据-汇总表'!$E19:$E33)</f>
        <v>31485.47</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2230</v>
      </c>
      <c r="B8" s="168" t="s">
        <v>2231</v>
      </c>
      <c r="C8" s="933">
        <f ca="1">收益法!C40</f>
        <v>10929</v>
      </c>
      <c r="D8" s="933">
        <f>'比较法-住宅'!B2</f>
        <v>357905</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2232</v>
      </c>
      <c r="B9" s="890"/>
      <c r="C9" s="890"/>
      <c r="D9" s="890"/>
      <c r="E9" s="890"/>
      <c r="F9" s="890"/>
      <c r="G9" s="890"/>
      <c r="H9" s="890"/>
      <c r="I9" s="890"/>
      <c r="J9" s="890"/>
      <c r="K9" s="891"/>
    </row>
    <row r="10" spans="1:33" s="906" customFormat="1" ht="13.5" customHeight="1">
      <c r="A10" s="893" t="s">
        <v>2233</v>
      </c>
      <c r="B10" s="8" t="s">
        <v>2234</v>
      </c>
      <c r="C10" s="902" t="s">
        <v>2235</v>
      </c>
      <c r="D10" s="903" t="s">
        <v>2236</v>
      </c>
      <c r="E10" s="903" t="s">
        <v>2237</v>
      </c>
      <c r="F10" s="903" t="s">
        <v>2238</v>
      </c>
      <c r="G10" s="8"/>
      <c r="H10" s="904"/>
      <c r="I10" s="904"/>
      <c r="J10" s="904"/>
      <c r="K10" s="905"/>
    </row>
    <row r="11" spans="1:33" s="911" customFormat="1" ht="13.5" customHeight="1">
      <c r="A11" s="907" t="s">
        <v>1241</v>
      </c>
      <c r="B11" s="908" t="s">
        <v>2239</v>
      </c>
      <c r="C11" s="284">
        <f ca="1">IF(C1="",'数据-取费表'!P16,INDIRECT("'数据-取费表'!p"&amp;$K$1)+INDIRECT("'数据-取费表'!ar"&amp;$K$1))</f>
        <v>6864</v>
      </c>
      <c r="D11" s="909"/>
      <c r="E11" s="334"/>
      <c r="F11" s="910">
        <f ca="1">1-IF('数据-取费表'!B24=0,1,IF(C1="",'数据-取费表'!N16,INDIRECT("'数据-取费表'!n"&amp;$K$1)))</f>
        <v>0.64</v>
      </c>
      <c r="G11" s="8"/>
      <c r="H11" s="904"/>
      <c r="I11" s="904"/>
      <c r="J11" s="904"/>
      <c r="K11" s="905"/>
    </row>
    <row r="12" spans="1:33" s="911" customFormat="1" ht="13.5" customHeight="1">
      <c r="A12" s="907" t="s">
        <v>1242</v>
      </c>
      <c r="B12" s="908" t="s">
        <v>2240</v>
      </c>
      <c r="C12" s="24">
        <f ca="1">ROUND(C11*F12,0)</f>
        <v>206</v>
      </c>
      <c r="D12" s="909"/>
      <c r="E12" s="334"/>
      <c r="F12" s="912">
        <f>'数据-取费表'!B33</f>
        <v>0.03</v>
      </c>
      <c r="G12" s="8" t="s">
        <v>2241</v>
      </c>
      <c r="H12" s="904"/>
      <c r="I12" s="904"/>
      <c r="J12" s="904"/>
      <c r="K12" s="905"/>
    </row>
    <row r="13" spans="1:33" s="911" customFormat="1" ht="13.5" customHeight="1">
      <c r="A13" s="907" t="s">
        <v>1243</v>
      </c>
      <c r="B13" s="908" t="s">
        <v>2242</v>
      </c>
      <c r="C13" s="24">
        <f ca="1">ROUND(IF(C1="",SUMIF('数据-取费表'!C:C,"住宅",'数据-取费表'!P:P)*F13,IF(INDIRECT("'数据-取费表'!c"&amp;$K$1)="住宅",INDIRECT("'数据-取费表'!P"&amp;$K$1)*F13,0)),0)</f>
        <v>302</v>
      </c>
      <c r="D13" s="954"/>
      <c r="E13" s="334"/>
      <c r="F13" s="912">
        <f>'数据-取费表'!B34</f>
        <v>0.05</v>
      </c>
      <c r="G13" s="8" t="s">
        <v>2243</v>
      </c>
      <c r="H13" s="904"/>
      <c r="I13" s="904"/>
      <c r="J13" s="904"/>
      <c r="K13" s="905"/>
    </row>
    <row r="14" spans="1:33" s="913" customFormat="1" ht="13.5" customHeight="1">
      <c r="A14" s="907" t="s">
        <v>1244</v>
      </c>
      <c r="B14" s="908" t="s">
        <v>2244</v>
      </c>
      <c r="C14" s="24">
        <f ca="1">ROUND(D14*E14*F11/10000,0)</f>
        <v>430</v>
      </c>
      <c r="D14" s="954">
        <f ca="1">IF(C1="",'数据-汇总表'!E3,INDIRECT("'数据-取费表'!K"&amp;$K$1)+INDIRECT("'数据-取费表'!S"&amp;$K$1))</f>
        <v>33617.25</v>
      </c>
      <c r="E14" s="24">
        <f>'数据-取费表'!B35</f>
        <v>200</v>
      </c>
      <c r="F14" s="912"/>
      <c r="G14" s="8" t="s">
        <v>2245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2246</v>
      </c>
      <c r="C15" s="919">
        <f ca="1">ROUND(C11*F15,0)</f>
        <v>103</v>
      </c>
      <c r="D15" s="914"/>
      <c r="E15" s="919"/>
      <c r="F15" s="920">
        <f>'数据-取费表'!B36</f>
        <v>1.4999999999999999E-2</v>
      </c>
      <c r="G15" s="135" t="s">
        <v>2247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2248</v>
      </c>
      <c r="C16" s="919">
        <f ca="1">SUM(C11:C15)</f>
        <v>7905</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2249</v>
      </c>
      <c r="C17" s="24">
        <f ca="1">ROUND(D17*E17/10000,0)</f>
        <v>0</v>
      </c>
      <c r="D17" s="954">
        <f ca="1">D14</f>
        <v>33617.25</v>
      </c>
      <c r="E17" s="24">
        <f>'数据-取费表'!B32</f>
        <v>0</v>
      </c>
      <c r="F17" s="914"/>
      <c r="G17" s="135" t="s">
        <v>2250</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2251</v>
      </c>
      <c r="C18" s="24">
        <f ca="1">C19+C20-IF(C1="",'数据-取费表'!B29,IF(G18="已全部缴纳",C19+C20,H18))</f>
        <v>0</v>
      </c>
      <c r="D18" s="954"/>
      <c r="E18" s="24"/>
      <c r="F18" s="912"/>
      <c r="G18" s="2017"/>
      <c r="H18" s="1320"/>
      <c r="I18" s="2018" t="s">
        <v>2252</v>
      </c>
      <c r="J18" s="915"/>
      <c r="K18" s="916"/>
    </row>
    <row r="19" spans="1:33" s="911" customFormat="1" ht="13.5" customHeight="1">
      <c r="A19" s="907" t="s">
        <v>805</v>
      </c>
      <c r="B19" s="908" t="s">
        <v>2253</v>
      </c>
      <c r="C19" s="24">
        <f ca="1">ROUND(D19*E19/10000,0)</f>
        <v>504</v>
      </c>
      <c r="D19" s="954">
        <f ca="1">IF(C1="",'数据-汇总表'!E5,IF(INDIRECT("'数据-取费表'!c"&amp;$K$1)="住宅",INDIRECT("'数据-取费表'!k"&amp;$K$1),0))</f>
        <v>31485.47</v>
      </c>
      <c r="E19" s="24">
        <f>'数据-取费表'!B27</f>
        <v>160</v>
      </c>
      <c r="F19" s="912"/>
      <c r="G19" s="15"/>
      <c r="H19" s="1322"/>
      <c r="I19" s="917"/>
      <c r="J19" s="917"/>
      <c r="K19" s="918"/>
    </row>
    <row r="20" spans="1:33" s="911" customFormat="1" ht="13.5" customHeight="1">
      <c r="A20" s="907" t="s">
        <v>806</v>
      </c>
      <c r="B20" s="908" t="s">
        <v>2254</v>
      </c>
      <c r="C20" s="24">
        <f ca="1">ROUND(D20*E20/10000,0)</f>
        <v>43</v>
      </c>
      <c r="D20" s="954">
        <f ca="1">IF(C1="",'数据-汇总表'!E6,IF(INDIRECT("'数据-取费表'!c"&amp;$K$1)="住宅",INDIRECT("'数据-取费表'!s"&amp;$K$1),INDIRECT("'数据-取费表'!k"&amp;$K$1)+INDIRECT("'数据-取费表'!s"&amp;$K$1)))</f>
        <v>2131.7799999999988</v>
      </c>
      <c r="E20" s="24">
        <f>'数据-取费表'!B28</f>
        <v>200</v>
      </c>
      <c r="F20" s="912"/>
      <c r="G20" s="15"/>
      <c r="H20" s="917"/>
      <c r="I20" s="917"/>
      <c r="J20" s="917"/>
      <c r="K20" s="918"/>
    </row>
    <row r="21" spans="1:33" s="911" customFormat="1" ht="13.5" customHeight="1">
      <c r="A21" s="897" t="s">
        <v>802</v>
      </c>
      <c r="B21" s="921" t="s">
        <v>2255</v>
      </c>
      <c r="C21" s="922">
        <f ca="1">C16+C17+C18</f>
        <v>7905</v>
      </c>
      <c r="D21" s="923"/>
      <c r="E21" s="286"/>
      <c r="F21" s="286"/>
      <c r="G21" s="135" t="s">
        <v>2256</v>
      </c>
      <c r="H21" s="915"/>
      <c r="I21" s="915"/>
      <c r="J21" s="915"/>
      <c r="K21" s="916"/>
    </row>
    <row r="22" spans="1:33" s="911" customFormat="1" ht="13.5" customHeight="1">
      <c r="A22" s="897" t="s">
        <v>2228</v>
      </c>
      <c r="B22" s="921" t="s">
        <v>2257</v>
      </c>
      <c r="C22" s="922">
        <f ca="1">ROUND(C21*F22,0)</f>
        <v>158</v>
      </c>
      <c r="D22" s="286"/>
      <c r="E22" s="286"/>
      <c r="F22" s="924">
        <f>'数据-取费表'!B37</f>
        <v>0.02</v>
      </c>
      <c r="G22" s="8" t="s">
        <v>2258</v>
      </c>
      <c r="H22" s="904"/>
      <c r="I22" s="904"/>
      <c r="J22" s="904"/>
      <c r="K22" s="905"/>
    </row>
    <row r="23" spans="1:33" s="911" customFormat="1" ht="13.5" customHeight="1">
      <c r="A23" s="897" t="s">
        <v>2230</v>
      </c>
      <c r="B23" s="921" t="s">
        <v>2259</v>
      </c>
      <c r="C23" s="922">
        <f ca="1">ROUND(C4*F23*F11,0)</f>
        <v>4721</v>
      </c>
      <c r="D23" s="286"/>
      <c r="E23" s="286"/>
      <c r="F23" s="924">
        <f>'数据-取费表'!B38</f>
        <v>0.02</v>
      </c>
      <c r="G23" s="8" t="s">
        <v>2260</v>
      </c>
      <c r="H23" s="904"/>
      <c r="I23" s="904"/>
      <c r="J23" s="904"/>
      <c r="K23" s="905"/>
    </row>
    <row r="24" spans="1:33" s="911" customFormat="1" ht="13.5" customHeight="1">
      <c r="A24" s="897" t="s">
        <v>2261</v>
      </c>
      <c r="B24" s="921" t="s">
        <v>2262</v>
      </c>
      <c r="C24" s="285">
        <f>ROUND(F24/(1+'数据-取费表'!C42),4)</f>
        <v>2.9000000000000001E-2</v>
      </c>
      <c r="D24" s="286" t="s">
        <v>15</v>
      </c>
      <c r="E24" s="286"/>
      <c r="F24" s="924">
        <f>IF(项目基本情况!B8="出让",0,'数据-取费表'!B48+'数据-取费表'!B49)</f>
        <v>3.0499999999999999E-2</v>
      </c>
      <c r="G24" s="8" t="s">
        <v>2263</v>
      </c>
      <c r="H24" s="926"/>
      <c r="I24" s="926"/>
      <c r="J24" s="926"/>
      <c r="K24" s="927"/>
    </row>
    <row r="25" spans="1:33" s="911" customFormat="1" ht="13.5" customHeight="1">
      <c r="A25" s="897" t="s">
        <v>2264</v>
      </c>
      <c r="B25" s="923" t="s">
        <v>2265</v>
      </c>
      <c r="C25" s="1237">
        <f ca="1">C27</f>
        <v>410</v>
      </c>
      <c r="D25" s="285">
        <f ca="1">C26</f>
        <v>6.7100000000000007E-2</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2266</v>
      </c>
      <c r="C26" s="1238">
        <f ca="1">ROUND(IF('数据-取费表'!B22&lt;=1,(1+C24)*F25*'数据-取费表'!B24,(1+C24)*(POWER((1+F25),'数据-取费表'!B24)-1)),4)</f>
        <v>6.7100000000000007E-2</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2267</v>
      </c>
      <c r="C27" s="1239">
        <f ca="1">ROUND(IF('数据-取费表'!B22&lt;=1,(C21+C22+C23)*F25*'数据-取费表'!B24/2,(C21+C22+C23)*(POWER((1+F25),'数据-取费表'!B24/2)-1)),0)</f>
        <v>410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2268</v>
      </c>
      <c r="B28" s="2020" t="s">
        <v>2269</v>
      </c>
      <c r="C28" s="292">
        <f ca="1">C30</f>
        <v>1918</v>
      </c>
      <c r="D28" s="285">
        <f ca="1">C29</f>
        <v>0.1158</v>
      </c>
      <c r="E28" s="287" t="s">
        <v>15</v>
      </c>
      <c r="F28" s="293">
        <f ca="1">IF(C1="",'数据-取费表'!Q16,INDIRECT("'数据-取费表'!q"&amp;$K$1))</f>
        <v>0.15</v>
      </c>
      <c r="G28" s="925"/>
      <c r="H28" s="926"/>
      <c r="I28" s="926"/>
      <c r="J28" s="926"/>
      <c r="K28" s="927"/>
    </row>
    <row r="29" spans="1:33" s="296" customFormat="1" ht="13.5" customHeight="1">
      <c r="A29" s="907" t="s">
        <v>803</v>
      </c>
      <c r="B29" s="930" t="s">
        <v>2270</v>
      </c>
      <c r="C29" s="289">
        <f ca="1">ROUND((1+C24)*F28*'数据-取费表'!B24/'数据-取费表'!B20,4)</f>
        <v>0.1158</v>
      </c>
      <c r="D29" s="289"/>
      <c r="E29" s="290"/>
      <c r="F29" s="295"/>
      <c r="G29" s="135" t="s">
        <v>2271</v>
      </c>
      <c r="H29" s="915"/>
      <c r="I29" s="915"/>
      <c r="J29" s="915"/>
      <c r="K29" s="916"/>
    </row>
    <row r="30" spans="1:33" s="296" customFormat="1" ht="13.5" customHeight="1">
      <c r="A30" s="907" t="s">
        <v>804</v>
      </c>
      <c r="B30" s="930" t="s">
        <v>2272</v>
      </c>
      <c r="C30" s="297">
        <f ca="1">ROUND((C21+C22+C23)*F28,0)</f>
        <v>1918</v>
      </c>
      <c r="D30" s="289"/>
      <c r="E30" s="290"/>
      <c r="F30" s="295"/>
      <c r="G30" s="135"/>
      <c r="H30" s="915"/>
      <c r="I30" s="915"/>
      <c r="J30" s="915"/>
      <c r="K30" s="916"/>
    </row>
    <row r="31" spans="1:33" s="911" customFormat="1" ht="13.5" customHeight="1" thickBot="1">
      <c r="A31" s="2021" t="s">
        <v>2273</v>
      </c>
      <c r="B31" s="941" t="s">
        <v>2274</v>
      </c>
      <c r="C31" s="942">
        <f ca="1">ROUND(C4*F31/(1+'数据-取费表'!C42),0)</f>
        <v>19671</v>
      </c>
      <c r="D31" s="943"/>
      <c r="E31" s="944"/>
      <c r="F31" s="945">
        <f>'数据-取费表'!B41</f>
        <v>5.6000000000000001E-2</v>
      </c>
      <c r="G31" s="946" t="s">
        <v>2275</v>
      </c>
      <c r="H31" s="947"/>
      <c r="I31" s="947"/>
      <c r="J31" s="947"/>
      <c r="K31" s="948"/>
    </row>
    <row r="32" spans="1:33" s="906" customFormat="1" ht="13.5" customHeight="1" thickBot="1">
      <c r="A32" s="936" t="s">
        <v>2276</v>
      </c>
      <c r="B32" s="937"/>
      <c r="C32" s="938">
        <f ca="1">ROUND((C4-C21-C22-C23-C25-C28-C31)/(1+C24+D25+D28),0)</f>
        <v>275642</v>
      </c>
      <c r="D32" s="937"/>
      <c r="E32" s="937"/>
      <c r="F32" s="937"/>
      <c r="G32" s="939" t="s">
        <v>2277</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F3" sqref="F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1283</v>
      </c>
      <c r="D1" s="1515" t="s">
        <v>3177</v>
      </c>
      <c r="E1" s="1516" t="s">
        <v>1292</v>
      </c>
      <c r="F1" s="1192">
        <f ca="1">J53</f>
        <v>37.450000000000003</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10929</v>
      </c>
      <c r="C2" s="1540" t="s">
        <v>1421</v>
      </c>
      <c r="D2" s="1540"/>
      <c r="E2" s="1541"/>
      <c r="F2" s="1542"/>
      <c r="G2" s="2904"/>
      <c r="H2" s="2893"/>
      <c r="I2" s="2893"/>
      <c r="J2" s="2893"/>
      <c r="K2" s="2894"/>
      <c r="L2" s="2893"/>
      <c r="M2" s="2893"/>
    </row>
    <row r="3" spans="1:37" ht="18" customHeight="1" thickBot="1">
      <c r="A3" s="1543" t="s">
        <v>1422</v>
      </c>
      <c r="B3" s="1544">
        <f ca="1">IF(ISERROR(B2*10000/F43),0,ROUND(B2*10000/F43,0))</f>
        <v>51267</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596</v>
      </c>
      <c r="D5" s="1517" t="s">
        <v>1307</v>
      </c>
      <c r="E5" s="1202"/>
      <c r="F5" s="1203"/>
      <c r="G5" s="1537"/>
      <c r="H5" s="304">
        <v>1</v>
      </c>
      <c r="I5" s="305" t="s">
        <v>1306</v>
      </c>
      <c r="J5" s="1201">
        <f ca="1">J6+J10+J12</f>
        <v>0</v>
      </c>
      <c r="K5" s="1517" t="s">
        <v>1307</v>
      </c>
      <c r="L5" s="1202"/>
      <c r="M5" s="1203"/>
    </row>
    <row r="6" spans="1:37" ht="18" customHeight="1">
      <c r="A6" s="1200" t="s">
        <v>1003</v>
      </c>
      <c r="B6" s="3447" t="s">
        <v>1308</v>
      </c>
      <c r="C6" s="1205">
        <f ca="1">ROUND(F6*F8*F7*(1-F9)/10000,0)</f>
        <v>595</v>
      </c>
      <c r="D6" s="159" t="s">
        <v>2789</v>
      </c>
      <c r="E6" s="307" t="s">
        <v>1310</v>
      </c>
      <c r="F6" s="308">
        <f ca="1">INDIRECT("'数据-取费表'!u"&amp;$G$1)</f>
        <v>8.5</v>
      </c>
      <c r="G6" s="1537"/>
      <c r="H6" s="1200" t="s">
        <v>1003</v>
      </c>
      <c r="I6" s="3447" t="s">
        <v>1308</v>
      </c>
      <c r="J6" s="306">
        <f ca="1">ROUND(M6*M8*M7*(1-M9)/10000,0)</f>
        <v>0</v>
      </c>
      <c r="K6" s="159" t="s">
        <v>2788</v>
      </c>
      <c r="L6" s="307" t="s">
        <v>1310</v>
      </c>
      <c r="M6" s="308">
        <f ca="1">INDIRECT("'数据-取费表'!z"&amp;$G$1)</f>
        <v>0</v>
      </c>
    </row>
    <row r="7" spans="1:37" ht="18" customHeight="1">
      <c r="A7" s="1204"/>
      <c r="B7" s="3448"/>
      <c r="C7" s="1206"/>
      <c r="D7" s="312"/>
      <c r="E7" s="1207" t="s">
        <v>1311</v>
      </c>
      <c r="F7" s="308">
        <f ca="1">IF(INDIRECT("'数据-取费表'!ah"&amp;$G$1)="",INDIRECT("'数据-取费表'!k"&amp;$G$1),INDIRECT("'数据-取费表'!ah"&amp;$G$1))</f>
        <v>2131.7799999999997</v>
      </c>
      <c r="G7" s="1537"/>
      <c r="H7" s="309"/>
      <c r="I7" s="3448"/>
      <c r="J7" s="311"/>
      <c r="K7" s="312"/>
      <c r="L7" s="307" t="s">
        <v>1311</v>
      </c>
      <c r="M7" s="308">
        <f ca="1">F7</f>
        <v>2131.7799999999997</v>
      </c>
    </row>
    <row r="8" spans="1:37" ht="18" customHeight="1">
      <c r="A8" s="309"/>
      <c r="B8" s="3448"/>
      <c r="C8" s="311"/>
      <c r="D8" s="312"/>
      <c r="E8" s="307" t="s">
        <v>1312</v>
      </c>
      <c r="F8" s="308">
        <f ca="1">INDIRECT("'数据-取费表'!ai"&amp;$G$1)</f>
        <v>365</v>
      </c>
      <c r="G8" s="1537"/>
      <c r="H8" s="309"/>
      <c r="I8" s="3448"/>
      <c r="J8" s="311"/>
      <c r="K8" s="312"/>
      <c r="L8" s="307" t="s">
        <v>1312</v>
      </c>
      <c r="M8" s="308">
        <f ca="1">INDIRECT("'数据-取费表'!ai"&amp;$G$1)</f>
        <v>365</v>
      </c>
    </row>
    <row r="9" spans="1:37" ht="18" customHeight="1">
      <c r="A9" s="309"/>
      <c r="B9" s="3449"/>
      <c r="C9" s="311"/>
      <c r="D9" s="312"/>
      <c r="E9" s="307" t="s">
        <v>1313</v>
      </c>
      <c r="F9" s="317">
        <f ca="1">INDIRECT("'数据-取费表'!w"&amp;$G$1)</f>
        <v>0.1</v>
      </c>
      <c r="G9" s="1537"/>
      <c r="H9" s="309"/>
      <c r="I9" s="3449"/>
      <c r="J9" s="311"/>
      <c r="K9" s="312"/>
      <c r="L9" s="318" t="s">
        <v>1313</v>
      </c>
      <c r="M9" s="319">
        <f ca="1">INDIRECT("'数据-取费表'!ab"&amp;$G$1)</f>
        <v>0</v>
      </c>
    </row>
    <row r="10" spans="1:37" ht="18" customHeight="1">
      <c r="A10" s="1200" t="s">
        <v>1007</v>
      </c>
      <c r="B10" s="1518" t="s">
        <v>1314</v>
      </c>
      <c r="C10" s="321">
        <f ca="1">ROUND(IF(F10="押一",C6/12*F11,IF(F10="押二",C6/12*2*F11,IF(F10="押三",C6/12*3*F11,C11*F11))),0)</f>
        <v>1</v>
      </c>
      <c r="D10" s="1519" t="s">
        <v>2797</v>
      </c>
      <c r="E10" s="318" t="s">
        <v>1315</v>
      </c>
      <c r="F10" s="1247" t="s">
        <v>3178</v>
      </c>
      <c r="G10" s="1537"/>
      <c r="H10" s="1200" t="s">
        <v>1007</v>
      </c>
      <c r="I10" s="1518" t="s">
        <v>1314</v>
      </c>
      <c r="J10" s="306">
        <f ca="1">ROUND(IF(M10="押一",J6/12*M11,IF(M10="押二",J6/12*2*M11,IF(M10="押三",J6/12*3*M11,J11*M11))),0)</f>
        <v>0</v>
      </c>
      <c r="K10" s="1519" t="s">
        <v>2796</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1741</v>
      </c>
      <c r="D13" s="1212" t="s">
        <v>1320</v>
      </c>
      <c r="E13" s="1212" t="s">
        <v>1321</v>
      </c>
      <c r="F13" s="1213">
        <f ca="1">INDIRECT("'数据-取费表'!y"&amp;$G$1)</f>
        <v>1</v>
      </c>
      <c r="G13" s="1537"/>
      <c r="H13" s="1210">
        <v>2</v>
      </c>
      <c r="I13" s="1211" t="s">
        <v>1319</v>
      </c>
      <c r="J13" s="1199">
        <f ca="1">ROUND(J14*J15,0)</f>
        <v>1741</v>
      </c>
      <c r="K13" s="1218" t="s">
        <v>1320</v>
      </c>
      <c r="L13" s="1545"/>
      <c r="M13" s="1546"/>
    </row>
    <row r="14" spans="1:37" ht="18" customHeight="1">
      <c r="A14" s="1112" t="s">
        <v>1002</v>
      </c>
      <c r="B14" s="307" t="s">
        <v>1322</v>
      </c>
      <c r="C14" s="323">
        <f ca="1">INDIRECT("'数据-取费表'!m"&amp;$G$1)+INDIRECT("'数据-取费表'!t"&amp;$G$1)</f>
        <v>1279</v>
      </c>
      <c r="D14" s="1498" t="s">
        <v>1323</v>
      </c>
      <c r="E14" s="1495"/>
      <c r="F14" s="324"/>
      <c r="G14" s="1537"/>
      <c r="H14" s="1112" t="s">
        <v>1003</v>
      </c>
      <c r="I14" s="307" t="s">
        <v>1324</v>
      </c>
      <c r="J14" s="24">
        <f ca="1">C29</f>
        <v>1741</v>
      </c>
      <c r="K14" s="15"/>
      <c r="L14" s="915"/>
      <c r="M14" s="916"/>
    </row>
    <row r="15" spans="1:37" s="1550" customFormat="1" ht="18" customHeight="1" thickBot="1">
      <c r="A15" s="1112" t="s">
        <v>1004</v>
      </c>
      <c r="B15" s="307" t="s">
        <v>1325</v>
      </c>
      <c r="C15" s="24">
        <f ca="1">ROUND(C14*F15,0)</f>
        <v>38</v>
      </c>
      <c r="D15" s="325" t="s">
        <v>1326</v>
      </c>
      <c r="E15" s="325" t="s">
        <v>1327</v>
      </c>
      <c r="F15" s="326">
        <f>'数据-取费表'!B33</f>
        <v>0.03</v>
      </c>
      <c r="G15" s="1549"/>
      <c r="H15" s="1220" t="s">
        <v>1007</v>
      </c>
      <c r="I15" s="1221" t="s">
        <v>1321</v>
      </c>
      <c r="J15" s="1230">
        <f ca="1">INDIRECT("'数据-取费表'!ad"&amp;$G$1)</f>
        <v>1</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44</v>
      </c>
      <c r="K16" s="1218" t="s">
        <v>1330</v>
      </c>
      <c r="L16" s="1219"/>
      <c r="M16" s="1203"/>
    </row>
    <row r="17" spans="1:37" s="1550" customFormat="1" ht="18" customHeight="1">
      <c r="A17" s="1112" t="s">
        <v>1295</v>
      </c>
      <c r="B17" s="307" t="s">
        <v>1331</v>
      </c>
      <c r="C17" s="24">
        <f ca="1">ROUND(F17*(F43+INDIRECT("'数据-取费表'!S"&amp;$G$1))/10000,0)</f>
        <v>43</v>
      </c>
      <c r="D17" s="307" t="s">
        <v>1332</v>
      </c>
      <c r="E17" s="307" t="s">
        <v>1333</v>
      </c>
      <c r="F17" s="26">
        <f>'数据-取费表'!B35</f>
        <v>200</v>
      </c>
      <c r="G17" s="1549"/>
      <c r="H17" s="1112" t="s">
        <v>1003</v>
      </c>
      <c r="I17" s="307" t="s">
        <v>1334</v>
      </c>
      <c r="J17" s="2503">
        <f ca="1">ROUND(IF(AND(项目基本情况!B11="自然人",项目基本情况!B10="北京市"),J6*M17/(1+'数据-取费表'!C42),J18+J19+J20),0)</f>
        <v>15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19</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1379</v>
      </c>
      <c r="D19" s="135" t="s">
        <v>1341</v>
      </c>
      <c r="E19" s="1513"/>
      <c r="F19" s="26"/>
      <c r="G19" s="1537"/>
      <c r="H19" s="1112" t="s">
        <v>1004</v>
      </c>
      <c r="I19" s="307" t="s">
        <v>1342</v>
      </c>
      <c r="J19" s="24">
        <f ca="1">IF(K19="按租金收入计税",ROUND(J6*M19/(1+'数据-取费表'!C42),2),ROUND(C29*M19*0.7,2))</f>
        <v>14.62</v>
      </c>
      <c r="K19" s="1523" t="s">
        <v>1343</v>
      </c>
      <c r="L19" s="307" t="s">
        <v>1327</v>
      </c>
      <c r="M19" s="327">
        <f>IF(K19="按租金收入计税",'数据-取费表'!B51,'数据-取费表'!B50)</f>
        <v>1.2E-2</v>
      </c>
    </row>
    <row r="20" spans="1:37" s="1550" customFormat="1" ht="18" customHeight="1">
      <c r="A20" s="1112" t="s">
        <v>1007</v>
      </c>
      <c r="B20" s="307" t="s">
        <v>1344</v>
      </c>
      <c r="C20" s="24">
        <f ca="1">ROUND(C19*F20,0)</f>
        <v>28</v>
      </c>
      <c r="D20" s="328" t="s">
        <v>1345</v>
      </c>
      <c r="E20" s="307" t="s">
        <v>1327</v>
      </c>
      <c r="F20" s="327">
        <f>'数据-取费表'!B37</f>
        <v>0.02</v>
      </c>
      <c r="G20" s="1549"/>
      <c r="H20" s="1112" t="s">
        <v>1294</v>
      </c>
      <c r="I20" s="159" t="s">
        <v>1346</v>
      </c>
      <c r="J20" s="25">
        <f ca="1">ROUND(M20*M21/10000,2)</f>
        <v>0.64</v>
      </c>
      <c r="K20" s="329" t="s">
        <v>1347</v>
      </c>
      <c r="L20" s="307" t="s">
        <v>1348</v>
      </c>
      <c r="M20" s="330">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534.12</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26.1</v>
      </c>
      <c r="K22" s="1497" t="s">
        <v>1355</v>
      </c>
      <c r="L22" s="307" t="s">
        <v>1327</v>
      </c>
      <c r="M22" s="333">
        <f ca="1">INDIRECT("'数据-取费表'!Ak"&amp;$G$1)</f>
        <v>1.4999999999999999E-2</v>
      </c>
    </row>
    <row r="23" spans="1:37" s="1550" customFormat="1" ht="18" customHeight="1">
      <c r="A23" s="1112" t="s">
        <v>1002</v>
      </c>
      <c r="B23" s="307" t="s">
        <v>1356</v>
      </c>
      <c r="C23" s="24">
        <f ca="1">IF('数据-取费表'!B22&lt;=1,ROUND(C19*F24*F23/2,0)+ROUND(C20*F24*F23/2,0),ROUND(C19*(POWER((1+F24),F23/2)-1),0)+ROUND(C20*(POWER((1+F24),F23/2)-1),0))</f>
        <v>60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2.6</v>
      </c>
      <c r="K23" s="1497" t="s">
        <v>1359</v>
      </c>
      <c r="L23" s="307" t="s">
        <v>1360</v>
      </c>
      <c r="M23" s="335">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5" t="s">
        <v>1367</v>
      </c>
      <c r="E25" s="1513"/>
      <c r="F25" s="26"/>
      <c r="G25" s="1537"/>
      <c r="H25" s="1210" t="s">
        <v>999</v>
      </c>
      <c r="I25" s="1225" t="s">
        <v>1368</v>
      </c>
      <c r="J25" s="315">
        <f ca="1">J5-J16</f>
        <v>-44</v>
      </c>
      <c r="K25" s="1226" t="s">
        <v>1369</v>
      </c>
      <c r="L25" s="1227"/>
      <c r="M25" s="1228"/>
    </row>
    <row r="26" spans="1:37">
      <c r="A26" s="1112" t="s">
        <v>1002</v>
      </c>
      <c r="B26" s="307" t="s">
        <v>1370</v>
      </c>
      <c r="C26" s="24">
        <f ca="1">ROUND((C19+C20)*F26,0)</f>
        <v>141</v>
      </c>
      <c r="D26" s="328" t="s">
        <v>1371</v>
      </c>
      <c r="E26" s="318" t="s">
        <v>1372</v>
      </c>
      <c r="F26" s="317">
        <f ca="1">INDIRECT("'数据-取费表'!q"&amp;$G$1)</f>
        <v>0.1</v>
      </c>
      <c r="G26" s="1537"/>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2E-3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5.33E-2</v>
      </c>
      <c r="D28" s="328" t="s">
        <v>1381</v>
      </c>
      <c r="E28" s="307" t="s">
        <v>1327</v>
      </c>
      <c r="F28" s="327">
        <f>'数据-取费表'!B41</f>
        <v>5.6000000000000001E-2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1741</v>
      </c>
      <c r="D29" s="1223"/>
      <c r="E29" s="1221"/>
      <c r="F29" s="1224"/>
      <c r="G29" s="1549"/>
      <c r="H29" s="339" t="s">
        <v>1001</v>
      </c>
      <c r="I29" s="340" t="s">
        <v>1384</v>
      </c>
      <c r="J29" s="341">
        <f ca="1">ROUND(J26/(1+F40)^F41,0)</f>
        <v>0</v>
      </c>
      <c r="K29" s="342" t="s">
        <v>1385</v>
      </c>
      <c r="L29" s="343"/>
      <c r="M29" s="344">
        <f ca="1">INDIRECT("'数据-取费表'!k"&amp;$G$1)</f>
        <v>2131.7799999999997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135</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100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2" t="s">
        <v>1002</v>
      </c>
      <c r="B32" s="307" t="s">
        <v>1338</v>
      </c>
      <c r="C32" s="24">
        <f ca="1">IF(项目基本情况!B11="自然人","——",ROUND(C6*F32/(1+'数据-取费表'!C42),2))</f>
        <v>31.73</v>
      </c>
      <c r="D32" s="1497" t="s">
        <v>1339</v>
      </c>
      <c r="E32" s="307" t="s">
        <v>1327</v>
      </c>
      <c r="F32" s="336">
        <f>'数据-取费表'!B41</f>
        <v>5.6000000000000001E-2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68</v>
      </c>
      <c r="D33" s="1523" t="s">
        <v>3179</v>
      </c>
      <c r="E33" s="307" t="s">
        <v>1327</v>
      </c>
      <c r="F33" s="327">
        <f>IF(D33="按票据","——",IF(D33="按租金收入计税",'数据-取费表'!B51,'数据-取费表'!B50))</f>
        <v>0.12</v>
      </c>
      <c r="G33" s="1537"/>
      <c r="H33" s="2898"/>
      <c r="I33" s="1551"/>
      <c r="J33" s="1552"/>
      <c r="K33" s="2899"/>
      <c r="L33" s="2898"/>
      <c r="M33" s="2898"/>
    </row>
    <row r="34" spans="1:18" ht="18" customHeight="1">
      <c r="A34" s="1200" t="s">
        <v>1294</v>
      </c>
      <c r="B34" s="159" t="s">
        <v>1346</v>
      </c>
      <c r="C34" s="25">
        <f ca="1">IF(项目基本情况!B11="自然人","——",ROUND(F34*F35/10000,2))</f>
        <v>0.64</v>
      </c>
      <c r="D34" s="329" t="s">
        <v>1347</v>
      </c>
      <c r="E34" s="307" t="s">
        <v>1348</v>
      </c>
      <c r="F34" s="330">
        <f>'数据-取费表'!B52</f>
        <v>12</v>
      </c>
      <c r="G34" s="1537"/>
      <c r="H34" s="2895"/>
      <c r="I34" s="1551"/>
      <c r="J34" s="1552"/>
      <c r="K34" s="2900"/>
      <c r="L34" s="2901"/>
      <c r="M34" s="2901"/>
    </row>
    <row r="35" spans="1:18" ht="18" customHeight="1">
      <c r="A35" s="1234"/>
      <c r="B35" s="1232"/>
      <c r="C35" s="29"/>
      <c r="D35" s="332"/>
      <c r="E35" s="307" t="s">
        <v>1352</v>
      </c>
      <c r="F35" s="308">
        <f ca="1">INDIRECT("'数据-取费表'!r"&amp;$G$1)</f>
        <v>534.12</v>
      </c>
      <c r="G35" s="1537"/>
      <c r="H35" s="2895"/>
      <c r="I35" s="1551"/>
      <c r="J35" s="1552"/>
      <c r="K35" s="2899"/>
      <c r="L35" s="2898"/>
      <c r="M35" s="2898"/>
    </row>
    <row r="36" spans="1:18" ht="18" customHeight="1">
      <c r="A36" s="1233" t="s">
        <v>1007</v>
      </c>
      <c r="B36" s="307" t="s">
        <v>1354</v>
      </c>
      <c r="C36" s="24">
        <f ca="1">ROUND(C29*F36,1)</f>
        <v>26.1</v>
      </c>
      <c r="D36" s="1497" t="s">
        <v>1387</v>
      </c>
      <c r="E36" s="307" t="s">
        <v>1327</v>
      </c>
      <c r="F36" s="333">
        <f ca="1">INDIRECT("'数据-取费表'!Ak"&amp;$G$1)</f>
        <v>1.4999999999999999E-2</v>
      </c>
      <c r="G36" s="1537"/>
      <c r="H36" s="2898"/>
      <c r="I36" s="1551"/>
      <c r="J36" s="1552"/>
      <c r="K36" s="2739"/>
      <c r="L36" s="2898"/>
      <c r="M36" s="2898"/>
    </row>
    <row r="37" spans="1:18" ht="18" customHeight="1">
      <c r="A37" s="1112" t="s">
        <v>1043</v>
      </c>
      <c r="B37" s="307" t="s">
        <v>1358</v>
      </c>
      <c r="C37" s="24">
        <f ca="1">ROUND(C13*F37,1)</f>
        <v>2.6</v>
      </c>
      <c r="D37" s="1497" t="s">
        <v>1359</v>
      </c>
      <c r="E37" s="307" t="s">
        <v>1360</v>
      </c>
      <c r="F37" s="335">
        <f ca="1">INDIRECT("'数据-取费表'!Al"&amp;$G$1)</f>
        <v>1.5E-3</v>
      </c>
      <c r="G37" s="1537"/>
      <c r="H37" s="2898"/>
      <c r="I37" s="1551"/>
      <c r="J37" s="1552"/>
      <c r="K37" s="2739"/>
      <c r="L37" s="2898"/>
      <c r="M37" s="2898"/>
    </row>
    <row r="38" spans="1:18" ht="18" customHeight="1" thickBot="1">
      <c r="A38" s="1220" t="s">
        <v>1298</v>
      </c>
      <c r="B38" s="1221" t="s">
        <v>1344</v>
      </c>
      <c r="C38" s="1222">
        <f ca="1">ROUND(C5*F38,1)</f>
        <v>6</v>
      </c>
      <c r="D38" s="1223" t="s">
        <v>1364</v>
      </c>
      <c r="E38" s="1221" t="s">
        <v>1360</v>
      </c>
      <c r="F38" s="1217">
        <f ca="1">INDIRECT("'数据-取费表'!Am"&amp;$G$1)</f>
        <v>0.01</v>
      </c>
      <c r="G38" s="1537"/>
      <c r="H38" s="2898"/>
      <c r="I38" s="1551"/>
      <c r="J38" s="1552"/>
      <c r="K38" s="2902"/>
      <c r="L38" s="2898"/>
      <c r="M38" s="2898"/>
    </row>
    <row r="39" spans="1:18" ht="24.6" customHeight="1" thickTop="1">
      <c r="A39" s="1210" t="s">
        <v>999</v>
      </c>
      <c r="B39" s="1225" t="s">
        <v>1388</v>
      </c>
      <c r="C39" s="315">
        <f ca="1">C5-C30</f>
        <v>461</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10929</v>
      </c>
      <c r="D40" s="329" t="s">
        <v>1374</v>
      </c>
      <c r="E40" s="307" t="s">
        <v>1375</v>
      </c>
      <c r="F40" s="317">
        <f ca="1">INDIRECT("'数据-取费表'!I"&amp;$G$1)</f>
        <v>5.5E-2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37.450000000000003</v>
      </c>
      <c r="G41" s="1537"/>
      <c r="H41" s="1324"/>
      <c r="I41" s="1551"/>
      <c r="J41" s="1552"/>
      <c r="K41" s="2739"/>
      <c r="L41" s="1324"/>
      <c r="M41" s="1324"/>
    </row>
    <row r="42" spans="1:18" ht="18" customHeight="1">
      <c r="A42" s="313"/>
      <c r="B42" s="314"/>
      <c r="C42" s="315"/>
      <c r="D42" s="332"/>
      <c r="E42" s="307" t="s">
        <v>1382</v>
      </c>
      <c r="F42" s="317">
        <f ca="1">INDIRECT("'数据-取费表'!v"&amp;$G$1)</f>
        <v>0.03</v>
      </c>
      <c r="G42" s="1537"/>
      <c r="H42" s="1324"/>
      <c r="I42" s="1551"/>
      <c r="J42" s="1552"/>
      <c r="K42" s="2739"/>
      <c r="L42" s="1324"/>
      <c r="M42" s="1324"/>
    </row>
    <row r="43" spans="1:18" ht="18" customHeight="1" thickBot="1">
      <c r="A43" s="339" t="s">
        <v>1001</v>
      </c>
      <c r="B43" s="340" t="s">
        <v>1392</v>
      </c>
      <c r="C43" s="341">
        <f ca="1">ROUND(C40*10000/F43,0)</f>
        <v>51267</v>
      </c>
      <c r="D43" s="342" t="s">
        <v>1393</v>
      </c>
      <c r="E43" s="343" t="s">
        <v>1394</v>
      </c>
      <c r="F43" s="344">
        <f ca="1">INDIRECT("'数据-取费表'!k"&amp;$G$1)</f>
        <v>2131.7799999999997</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-13698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3180</v>
      </c>
      <c r="K47" s="1569" t="s">
        <v>1432</v>
      </c>
      <c r="L47" s="1570">
        <f ca="1">INDIRECT("'数据-取费表'!d"&amp;$G$1)</f>
        <v>40</v>
      </c>
      <c r="M47" s="1533" t="str">
        <f>IF(ISNUMBER(FIND("住宅",C1)),"住宅","非住宅")</f>
        <v>非住宅</v>
      </c>
      <c r="O47" s="1571" t="s">
        <v>1008</v>
      </c>
      <c r="P47" s="1572" t="s">
        <v>1433</v>
      </c>
      <c r="Q47" s="1573">
        <f ca="1">C40+J29</f>
        <v>10929</v>
      </c>
      <c r="R47" s="1573" t="s">
        <v>1434</v>
      </c>
    </row>
    <row r="48" spans="1:18" s="1537" customFormat="1" ht="28.5" thickBot="1">
      <c r="A48" s="1241" t="s">
        <v>1044</v>
      </c>
      <c r="B48" s="305" t="s">
        <v>1306</v>
      </c>
      <c r="C48" s="1512">
        <f ca="1">C49+C53+C55</f>
        <v>0</v>
      </c>
      <c r="D48" s="1243"/>
      <c r="E48" s="1244"/>
      <c r="F48" s="1092"/>
      <c r="G48" s="730"/>
      <c r="H48" s="731"/>
      <c r="I48" s="1574" t="s">
        <v>1435</v>
      </c>
      <c r="J48" s="1575" t="s">
        <v>3181</v>
      </c>
      <c r="K48" s="1576" t="s">
        <v>1436</v>
      </c>
      <c r="L48" s="1577">
        <f ca="1">INDIRECT("'数据-取费表'!f"&amp;$G$1)</f>
        <v>38.950000000000003</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2790</v>
      </c>
      <c r="E49" s="1525" t="s">
        <v>1396</v>
      </c>
      <c r="F49" s="1190"/>
      <c r="G49" s="1578"/>
      <c r="H49" s="731"/>
      <c r="I49" s="1574" t="s">
        <v>1439</v>
      </c>
      <c r="J49" s="1579">
        <v>2023</v>
      </c>
      <c r="K49" s="1576" t="s">
        <v>1440</v>
      </c>
      <c r="L49" s="1580"/>
      <c r="O49" s="1581" t="s">
        <v>1010</v>
      </c>
      <c r="P49" s="1572" t="s">
        <v>1441</v>
      </c>
      <c r="Q49" s="1573">
        <f ca="1">C29</f>
        <v>1741</v>
      </c>
      <c r="R49" s="1573" t="s">
        <v>1434</v>
      </c>
    </row>
    <row r="50" spans="1:18" s="1537" customFormat="1" ht="13.5" thickBot="1">
      <c r="A50" s="1106"/>
      <c r="B50" s="1109"/>
      <c r="C50" s="1249"/>
      <c r="D50" s="1083"/>
      <c r="E50" s="1186" t="s">
        <v>1311</v>
      </c>
      <c r="F50" s="1187">
        <f ca="1">F7</f>
        <v>2131.7799999999997</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61</v>
      </c>
      <c r="K51" s="1587" t="s">
        <v>1446</v>
      </c>
      <c r="L51" s="1588">
        <f ca="1">ROUND(-PV(INDIRECT("'数据-取费表'!h"&amp;$G$1),J51,(C39-C13*C76),0),0)</f>
        <v>6437</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37.450000000000003</v>
      </c>
      <c r="R52" s="1573" t="s">
        <v>1451</v>
      </c>
    </row>
    <row r="53" spans="1:18" s="1537" customFormat="1" ht="24.75" thickBot="1">
      <c r="A53" s="1285" t="s">
        <v>1046</v>
      </c>
      <c r="B53" s="1526" t="s">
        <v>1314</v>
      </c>
      <c r="C53" s="321">
        <f ca="1">ROUND(IF(F53="押一",C49/12*F11,IF(F53="押二",C49/12*2*F11,IF(F53="押三",C49/12*3*F11,C54*F11))),0)</f>
        <v>0</v>
      </c>
      <c r="D53" s="1519" t="s">
        <v>2796</v>
      </c>
      <c r="E53" s="318" t="s">
        <v>1315</v>
      </c>
      <c r="F53" s="1247"/>
      <c r="I53" s="1592" t="s">
        <v>1452</v>
      </c>
      <c r="J53" s="2355">
        <f ca="1">IF(M47="住宅",IF(D1="——",MAX(J51,L48),MAX(J51,L48-'数据-取费表'!B24)),IF(D1="——",MIN(J51,L48),MIN(J51,L48-'数据-取费表'!B24)))</f>
        <v>37.450000000000003</v>
      </c>
      <c r="K53" s="3445" t="s">
        <v>1453</v>
      </c>
      <c r="L53" s="3446"/>
      <c r="O53" s="1571" t="s">
        <v>1014</v>
      </c>
      <c r="P53" s="1572" t="s">
        <v>1454</v>
      </c>
      <c r="Q53" s="1573">
        <f ca="1">Q47+Q48</f>
        <v>10929</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1741</v>
      </c>
      <c r="D56" s="1600"/>
      <c r="E56" s="1601"/>
      <c r="F56" s="1593"/>
      <c r="I56" s="1602" t="s">
        <v>1459</v>
      </c>
      <c r="J56" s="1603" t="s">
        <v>3139</v>
      </c>
      <c r="K56" s="1574" t="s">
        <v>1460</v>
      </c>
      <c r="L56" s="1577" t="str">
        <f ca="1">IF(L48&lt;J51,"——",L48-J53)</f>
        <v>——</v>
      </c>
      <c r="O56" s="1571" t="s">
        <v>1008</v>
      </c>
      <c r="P56" s="1572" t="s">
        <v>1433</v>
      </c>
      <c r="Q56" s="1573">
        <f ca="1">C40+J29</f>
        <v>10929</v>
      </c>
      <c r="R56" s="1573" t="s">
        <v>1434</v>
      </c>
    </row>
    <row r="57" spans="1:18" s="1537" customFormat="1" ht="24.75" thickBot="1">
      <c r="A57" s="1604"/>
      <c r="B57" s="1080" t="s">
        <v>1383</v>
      </c>
      <c r="C57" s="243">
        <f ca="1">C29</f>
        <v>1741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176</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147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146.24</v>
      </c>
      <c r="D61" s="1523" t="s">
        <v>1343</v>
      </c>
      <c r="E61" s="1080" t="s">
        <v>1399</v>
      </c>
      <c r="F61" s="327">
        <f t="shared" si="0"/>
        <v>0.12</v>
      </c>
      <c r="I61" s="1614"/>
      <c r="J61" s="1614"/>
      <c r="K61" s="1614"/>
      <c r="L61" s="1614"/>
      <c r="O61" s="1581" t="s">
        <v>1013</v>
      </c>
      <c r="P61" s="1572" t="str">
        <f>K59</f>
        <v>续建工期及建筑物耐用年限下的土地年期修正系数Kn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0.64</v>
      </c>
      <c r="D62" s="1095" t="s">
        <v>1402</v>
      </c>
      <c r="E62" s="1080" t="s">
        <v>1403</v>
      </c>
      <c r="F62" s="330">
        <f t="shared" si="0"/>
        <v>12</v>
      </c>
      <c r="I62" s="1615" t="s">
        <v>1475</v>
      </c>
      <c r="J62" s="1616" t="s">
        <v>1476</v>
      </c>
      <c r="K62" s="1616" t="s">
        <v>1477</v>
      </c>
      <c r="L62" s="1616" t="s">
        <v>1478</v>
      </c>
      <c r="M62" s="1617" t="s">
        <v>1479</v>
      </c>
      <c r="O62" s="1571" t="s">
        <v>1014</v>
      </c>
      <c r="P62" s="1572" t="s">
        <v>1480</v>
      </c>
      <c r="Q62" s="1573">
        <f ca="1">Q56+Q57</f>
        <v>10929</v>
      </c>
      <c r="R62" s="1573" t="s">
        <v>1015</v>
      </c>
    </row>
    <row r="63" spans="1:18" s="1537" customFormat="1" ht="13.5" thickBot="1">
      <c r="A63" s="331"/>
      <c r="B63" s="1086"/>
      <c r="C63" s="29"/>
      <c r="D63" s="1096"/>
      <c r="E63" s="1080" t="s">
        <v>1404</v>
      </c>
      <c r="F63" s="308">
        <f t="shared" ca="1" si="0"/>
        <v>534.12</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26.1</v>
      </c>
      <c r="D64" s="1094" t="s">
        <v>1407</v>
      </c>
      <c r="E64" s="1080" t="s">
        <v>1399</v>
      </c>
      <c r="F64" s="333">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2.6</v>
      </c>
      <c r="D65" s="1094" t="s">
        <v>1359</v>
      </c>
      <c r="E65" s="1080" t="s">
        <v>1360</v>
      </c>
      <c r="F65" s="335">
        <f t="shared" ca="1" si="0"/>
        <v>1.5E-3</v>
      </c>
      <c r="I65" s="1615" t="s">
        <v>1484</v>
      </c>
      <c r="J65" s="1616">
        <v>40</v>
      </c>
      <c r="K65" s="1616">
        <v>30</v>
      </c>
      <c r="L65" s="1616">
        <v>50</v>
      </c>
      <c r="M65" s="1618">
        <v>0.02</v>
      </c>
      <c r="O65" s="1571" t="s">
        <v>1008</v>
      </c>
      <c r="P65" s="1572" t="s">
        <v>1485</v>
      </c>
      <c r="Q65" s="1573">
        <f ca="1">C40+J29</f>
        <v>10929</v>
      </c>
      <c r="R65" s="1573" t="s">
        <v>1434</v>
      </c>
    </row>
    <row r="66" spans="1:18" s="1537" customFormat="1" ht="16.5" thickBot="1">
      <c r="A66" s="1112" t="s">
        <v>1409</v>
      </c>
      <c r="B66" s="1080" t="s">
        <v>1344</v>
      </c>
      <c r="C66" s="24">
        <f ca="1">ROUND(C48*F66,1)</f>
        <v>0</v>
      </c>
      <c r="D66" s="1094" t="s">
        <v>1410</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-176</v>
      </c>
      <c r="D67" s="1093" t="s">
        <v>1369</v>
      </c>
      <c r="E67" s="1098"/>
      <c r="F67" s="1099"/>
      <c r="O67" s="1581" t="s">
        <v>1010</v>
      </c>
      <c r="P67" s="1572" t="s">
        <v>1467</v>
      </c>
      <c r="Q67" s="1619">
        <f ca="1">L51</f>
        <v>6437</v>
      </c>
      <c r="R67" s="1573" t="s">
        <v>1487</v>
      </c>
    </row>
    <row r="68" spans="1:18" s="1537" customFormat="1" ht="16.5" thickBot="1">
      <c r="A68" s="1077" t="s">
        <v>1000</v>
      </c>
      <c r="B68" s="1078" t="s">
        <v>1390</v>
      </c>
      <c r="C68" s="306">
        <f ca="1">ROUND(C67*(1-((1+F70)/(1+F68))^F69)/(F68-F70),0)</f>
        <v>-2769</v>
      </c>
      <c r="D68" s="1095" t="s">
        <v>1374</v>
      </c>
      <c r="E68" s="1080" t="s">
        <v>1375</v>
      </c>
      <c r="F68" s="317">
        <f ca="1">F40</f>
        <v>5.5E-2</v>
      </c>
      <c r="O68" s="1581" t="s">
        <v>1011</v>
      </c>
      <c r="P68" s="1620" t="s">
        <v>1488</v>
      </c>
      <c r="Q68" s="1573">
        <f ca="1">ROUND(Q69-Q70*Q71,0)</f>
        <v>339</v>
      </c>
      <c r="R68" s="1573" t="s">
        <v>1019</v>
      </c>
    </row>
    <row r="69" spans="1:18" s="1537" customFormat="1" ht="13.5" thickBot="1">
      <c r="A69" s="1081"/>
      <c r="B69" s="1082"/>
      <c r="C69" s="311"/>
      <c r="D69" s="1100" t="s">
        <v>1378</v>
      </c>
      <c r="E69" s="1080" t="s">
        <v>1379</v>
      </c>
      <c r="F69" s="338">
        <f ca="1">F41</f>
        <v>37.450000000000003</v>
      </c>
      <c r="O69" s="1581" t="s">
        <v>1016</v>
      </c>
      <c r="P69" s="1620" t="s">
        <v>1489</v>
      </c>
      <c r="Q69" s="1573">
        <f ca="1">C39</f>
        <v>461</v>
      </c>
      <c r="R69" s="1573" t="s">
        <v>1434</v>
      </c>
    </row>
    <row r="70" spans="1:18" s="1537" customFormat="1" ht="13.5" thickBot="1">
      <c r="A70" s="1084"/>
      <c r="B70" s="1085"/>
      <c r="C70" s="315"/>
      <c r="D70" s="1096"/>
      <c r="E70" s="1080" t="s">
        <v>1382</v>
      </c>
      <c r="F70" s="1184"/>
      <c r="O70" s="1581" t="s">
        <v>1017</v>
      </c>
      <c r="P70" s="1620" t="s">
        <v>1490</v>
      </c>
      <c r="Q70" s="1573">
        <f ca="1">C13</f>
        <v>1741</v>
      </c>
      <c r="R70" s="1573" t="s">
        <v>1434</v>
      </c>
    </row>
    <row r="71" spans="1:18" s="1537" customFormat="1" ht="13.5" thickBot="1">
      <c r="A71" s="1101" t="s">
        <v>1001</v>
      </c>
      <c r="B71" s="1102" t="s">
        <v>1392</v>
      </c>
      <c r="C71" s="341">
        <f ca="1">ROUND(C68*10000/F71,0)</f>
        <v>-12989</v>
      </c>
      <c r="D71" s="1103" t="s">
        <v>1393</v>
      </c>
      <c r="E71" s="1104" t="s">
        <v>1394</v>
      </c>
      <c r="F71" s="344">
        <f ca="1">F43</f>
        <v>2131.7799999999997</v>
      </c>
      <c r="O71" s="1581" t="s">
        <v>1018</v>
      </c>
      <c r="P71" s="1620" t="s">
        <v>1491</v>
      </c>
      <c r="Q71" s="1584">
        <f ca="1">C76</f>
        <v>7.0000000000000007E-2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续建工期及建筑物耐用年限下的土地年期修正系数Kn</v>
      </c>
      <c r="Q74" s="1573" t="e">
        <f ca="1">L59</f>
        <v>#DIV/0!</v>
      </c>
      <c r="R74" s="1573" t="s">
        <v>1474</v>
      </c>
    </row>
    <row r="75" spans="1:18" ht="13.5" thickBot="1">
      <c r="A75" s="1537"/>
      <c r="B75" s="345" t="s">
        <v>1411</v>
      </c>
      <c r="C75" s="346">
        <f ca="1">ROUND(C13*C76,0)</f>
        <v>122</v>
      </c>
      <c r="D75" s="1537"/>
      <c r="E75" s="1537"/>
      <c r="F75" s="1537"/>
      <c r="K75" s="1555"/>
      <c r="L75" s="1537"/>
      <c r="O75" s="1571" t="s">
        <v>1014</v>
      </c>
      <c r="P75" s="1572" t="s">
        <v>1454</v>
      </c>
      <c r="Q75" s="1573">
        <f ca="1">Q65+Q66</f>
        <v>10929</v>
      </c>
      <c r="R75" s="1573" t="s">
        <v>1015</v>
      </c>
    </row>
    <row r="76" spans="1:18">
      <c r="B76" s="347" t="s">
        <v>1412</v>
      </c>
      <c r="C76" s="348">
        <f ca="1">INDIRECT("'数据-取费表'!j"&amp;$G$1)</f>
        <v>7.0000000000000007E-2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0.73499999999999999</v>
      </c>
    </row>
    <row r="80" spans="1:18">
      <c r="B80" s="345" t="s">
        <v>1416</v>
      </c>
      <c r="C80" s="279">
        <f ca="1">ROUND(C75/C39,3)</f>
        <v>0.26500000000000001</v>
      </c>
    </row>
    <row r="81" spans="2:3">
      <c r="B81" s="275" t="s">
        <v>1417</v>
      </c>
      <c r="C81" s="243"/>
    </row>
    <row r="82" spans="2:3">
      <c r="B82" s="278" t="s">
        <v>1418</v>
      </c>
      <c r="C82" s="280">
        <f ca="1">1-C83</f>
        <v>0.84099999999999997</v>
      </c>
    </row>
    <row r="83" spans="2:3">
      <c r="B83" s="278" t="s">
        <v>1419</v>
      </c>
      <c r="C83" s="279">
        <f ca="1">ROUND(C13/C40,3)</f>
        <v>0.159</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-1.5</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47" t="s">
        <v>1308</v>
      </c>
      <c r="C6" s="1205">
        <f ca="1">ROUND(F6*F8*F7*(1-F9),0)</f>
        <v>0</v>
      </c>
      <c r="D6" s="159" t="s">
        <v>2786</v>
      </c>
      <c r="E6" s="307" t="s">
        <v>1310</v>
      </c>
      <c r="F6" s="308">
        <f ca="1">INDIRECT("'数据-取费表'!u"&amp;$G$1)</f>
        <v>0</v>
      </c>
      <c r="G6" s="1537"/>
      <c r="H6" s="1200" t="s">
        <v>1003</v>
      </c>
      <c r="I6" s="3447" t="s">
        <v>1308</v>
      </c>
      <c r="J6" s="306">
        <f ca="1">ROUND(M6*M8*M7*(1-M9),0)</f>
        <v>0</v>
      </c>
      <c r="K6" s="1529" t="s">
        <v>2787</v>
      </c>
      <c r="L6" s="307" t="s">
        <v>1310</v>
      </c>
      <c r="M6" s="308">
        <f ca="1">INDIRECT("'数据-取费表'!z"&amp;$G$1)</f>
        <v>0</v>
      </c>
    </row>
    <row r="7" spans="1:37" ht="18" customHeight="1">
      <c r="A7" s="1204"/>
      <c r="B7" s="3448"/>
      <c r="C7" s="1206"/>
      <c r="D7" s="312"/>
      <c r="E7" s="1207" t="s">
        <v>1311</v>
      </c>
      <c r="F7" s="308">
        <f ca="1">IF(INDIRECT("'数据-取费表'!ah"&amp;$G$1)="",INDIRECT("'数据-取费表'!k"&amp;$G$1),INDIRECT("'数据-取费表'!ah"&amp;$G$1))</f>
        <v>0</v>
      </c>
      <c r="G7" s="1537"/>
      <c r="H7" s="309"/>
      <c r="I7" s="3448"/>
      <c r="J7" s="311"/>
      <c r="K7" s="312"/>
      <c r="L7" s="307" t="s">
        <v>1311</v>
      </c>
      <c r="M7" s="308">
        <f ca="1">F7</f>
        <v>0</v>
      </c>
    </row>
    <row r="8" spans="1:37" ht="18" customHeight="1">
      <c r="A8" s="309"/>
      <c r="B8" s="3448"/>
      <c r="C8" s="311"/>
      <c r="D8" s="312"/>
      <c r="E8" s="307" t="s">
        <v>1312</v>
      </c>
      <c r="F8" s="308">
        <f ca="1">INDIRECT("'数据-取费表'!ai"&amp;$G$1)</f>
        <v>0</v>
      </c>
      <c r="G8" s="1537"/>
      <c r="H8" s="309"/>
      <c r="I8" s="3448"/>
      <c r="J8" s="311"/>
      <c r="K8" s="312"/>
      <c r="L8" s="307" t="s">
        <v>1312</v>
      </c>
      <c r="M8" s="308">
        <f ca="1">INDIRECT("'数据-取费表'!ai"&amp;$G$1)</f>
        <v>0</v>
      </c>
    </row>
    <row r="9" spans="1:37" ht="18" customHeight="1">
      <c r="A9" s="309"/>
      <c r="B9" s="3449"/>
      <c r="C9" s="311"/>
      <c r="D9" s="312"/>
      <c r="E9" s="307" t="s">
        <v>1313</v>
      </c>
      <c r="F9" s="317">
        <f ca="1">INDIRECT("'数据-取费表'!w"&amp;$G$1)</f>
        <v>0</v>
      </c>
      <c r="G9" s="1537"/>
      <c r="H9" s="309"/>
      <c r="I9" s="3449"/>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c r="G10" s="1537"/>
      <c r="H10" s="1200" t="s">
        <v>1007</v>
      </c>
      <c r="I10" s="1518" t="s">
        <v>1314</v>
      </c>
      <c r="J10" s="306">
        <f ca="1">ROUND(IF(M10="押一",J6/12*M11,IF(M10="押二",J6/12*2*M11,IF(M10="押三",J6/12*3*M11,J11*M11))),0)</f>
        <v>0</v>
      </c>
      <c r="K10" s="1530" t="s">
        <v>2798</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5"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5"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5.33E-2</v>
      </c>
      <c r="D28" s="328" t="s">
        <v>1381</v>
      </c>
      <c r="E28" s="307" t="s">
        <v>1327</v>
      </c>
      <c r="F28" s="327">
        <f>'数据-取费表'!B41</f>
        <v>5.6000000000000001E-2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5.6000000000000001E-2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12</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t="e">
        <f ca="1">ROUND(C39*(1-((1+F42)/(1+F40))^F41)/(F40-F42),0)</f>
        <v>#DIV/0!</v>
      </c>
      <c r="D40" s="329" t="s">
        <v>1374</v>
      </c>
      <c r="E40" s="307" t="s">
        <v>1375</v>
      </c>
      <c r="F40" s="317">
        <f ca="1">INDIRECT("'数据-取费表'!I"&amp;$G$1)</f>
        <v>0</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-1.5</v>
      </c>
      <c r="R52" s="1573" t="s">
        <v>1451</v>
      </c>
    </row>
    <row r="53" spans="1:18" s="1537" customFormat="1" ht="30.75" customHeight="1" thickBot="1">
      <c r="A53" s="1242" t="s">
        <v>1046</v>
      </c>
      <c r="B53" s="328" t="s">
        <v>1314</v>
      </c>
      <c r="C53" s="321">
        <f ca="1">ROUND(IF(F53="押一",C49/12*F11,IF(F53="押二",C49/12*2*F11,IF(F53="押三",C49/12*3*F11,C54*F11))),0)</f>
        <v>0</v>
      </c>
      <c r="D53" s="1519" t="s">
        <v>2799</v>
      </c>
      <c r="E53" s="318" t="s">
        <v>1315</v>
      </c>
      <c r="F53" s="1247"/>
      <c r="I53" s="1592" t="s">
        <v>1452</v>
      </c>
      <c r="J53" s="2355">
        <f ca="1">IF(M47="住宅",IF(D1="——",MAX(J51,L48),MAX(J51,L48-'数据-取费表'!B24)),IF(D1="——",MIN(J51,L48),MIN(J51,L48-'数据-取费表'!B24)))</f>
        <v>-1.5</v>
      </c>
      <c r="K53" s="3445" t="s">
        <v>1453</v>
      </c>
      <c r="L53" s="3446"/>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3">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12</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t="e">
        <f ca="1">ROUND(C67*(1-((1+F70)/(1+F68))^F69)/(F68-F70),0)</f>
        <v>#DIV/0!</v>
      </c>
      <c r="D68" s="1095" t="s">
        <v>1374</v>
      </c>
      <c r="E68" s="1080" t="s">
        <v>1375</v>
      </c>
      <c r="F68" s="317">
        <f ca="1">F40</f>
        <v>0</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0</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0</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50" t="s">
        <v>3006</v>
      </c>
      <c r="K2" s="3451"/>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52" t="s">
        <v>3016</v>
      </c>
      <c r="K3" s="3453"/>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52" t="s">
        <v>3018</v>
      </c>
      <c r="K4" s="3453"/>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54" t="s">
        <v>3022</v>
      </c>
      <c r="B6" s="3455"/>
      <c r="C6" s="3456"/>
      <c r="D6" s="3070"/>
      <c r="E6" s="3071"/>
      <c r="F6" s="3072"/>
      <c r="G6" s="3073"/>
      <c r="H6" s="3048"/>
      <c r="I6" s="3049"/>
      <c r="J6" s="3457">
        <v>1</v>
      </c>
      <c r="K6" s="3458"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57"/>
      <c r="K7" s="3459"/>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61" t="s">
        <v>3036</v>
      </c>
      <c r="C8" s="3462"/>
      <c r="D8" s="3089" t="s">
        <v>3037</v>
      </c>
      <c r="E8" s="3090" t="s">
        <v>3038</v>
      </c>
      <c r="F8" s="3091" t="s">
        <v>3039</v>
      </c>
      <c r="G8" s="3092"/>
      <c r="H8" s="3048"/>
      <c r="I8" s="3049"/>
      <c r="J8" s="3457"/>
      <c r="K8" s="3459"/>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61" t="s">
        <v>3042</v>
      </c>
      <c r="C9" s="3462"/>
      <c r="D9" s="3089">
        <f>ROUND(D6*E9,0)</f>
        <v>0</v>
      </c>
      <c r="E9" s="3093"/>
      <c r="F9" s="3094" t="s">
        <v>3043</v>
      </c>
      <c r="G9" s="3073"/>
      <c r="H9" s="3048"/>
      <c r="I9" s="3049"/>
      <c r="J9" s="3457"/>
      <c r="K9" s="3459"/>
      <c r="L9" s="3083" t="s">
        <v>3044</v>
      </c>
      <c r="M9" s="3084"/>
      <c r="N9" s="3060"/>
      <c r="O9" s="3085"/>
      <c r="P9" s="3085"/>
      <c r="Q9" s="3086">
        <v>365</v>
      </c>
      <c r="R9" s="3087">
        <f t="shared" si="0"/>
        <v>0</v>
      </c>
      <c r="S9" s="3041"/>
      <c r="T9" s="3041"/>
      <c r="U9" s="3041"/>
      <c r="V9" s="3049"/>
    </row>
    <row r="10" spans="1:22" s="3053" customFormat="1" ht="13.15" customHeight="1">
      <c r="A10" s="3088">
        <v>2</v>
      </c>
      <c r="B10" s="3461" t="s">
        <v>3045</v>
      </c>
      <c r="C10" s="3462"/>
      <c r="D10" s="3089">
        <f>ROUND(D6*E10,0)</f>
        <v>0</v>
      </c>
      <c r="E10" s="3093"/>
      <c r="F10" s="3094" t="s">
        <v>3046</v>
      </c>
      <c r="G10" s="3073"/>
      <c r="H10" s="3048"/>
      <c r="I10" s="3049"/>
      <c r="J10" s="3457"/>
      <c r="K10" s="3459"/>
      <c r="L10" s="3083" t="s">
        <v>3047</v>
      </c>
      <c r="M10" s="3084"/>
      <c r="N10" s="3060"/>
      <c r="O10" s="3085"/>
      <c r="P10" s="3085"/>
      <c r="Q10" s="3086">
        <v>365</v>
      </c>
      <c r="R10" s="3087">
        <f t="shared" si="0"/>
        <v>0</v>
      </c>
      <c r="S10" s="3041"/>
      <c r="T10" s="3041"/>
      <c r="U10" s="3041"/>
      <c r="V10" s="3049"/>
    </row>
    <row r="11" spans="1:22" s="3053" customFormat="1" ht="13.15" customHeight="1">
      <c r="A11" s="3088">
        <v>3</v>
      </c>
      <c r="B11" s="3461" t="s">
        <v>3048</v>
      </c>
      <c r="C11" s="3462"/>
      <c r="D11" s="3089">
        <f>D12+D14+D15+D16</f>
        <v>0</v>
      </c>
      <c r="E11" s="3095" t="e">
        <f>D11/D6</f>
        <v>#DIV/0!</v>
      </c>
      <c r="F11" s="3091"/>
      <c r="G11" s="3092"/>
      <c r="H11" s="3048"/>
      <c r="I11" s="3049"/>
      <c r="J11" s="3457"/>
      <c r="K11" s="3459"/>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63" t="s">
        <v>3051</v>
      </c>
      <c r="C12" s="3464"/>
      <c r="D12" s="3097">
        <f>ROUND(D13*1.2%*(1-30%),0)</f>
        <v>0</v>
      </c>
      <c r="E12" s="3098">
        <v>1.2E-2</v>
      </c>
      <c r="F12" s="3091" t="s">
        <v>3052</v>
      </c>
      <c r="G12" s="3092"/>
      <c r="H12" s="3048"/>
      <c r="I12" s="3049"/>
      <c r="J12" s="3457"/>
      <c r="K12" s="3459"/>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57"/>
      <c r="K13" s="3459"/>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63" t="s">
        <v>3057</v>
      </c>
      <c r="C14" s="3464"/>
      <c r="D14" s="3097">
        <f>ROUND(E14*B5/10000,0)</f>
        <v>0</v>
      </c>
      <c r="E14" s="3086"/>
      <c r="F14" s="3091" t="s">
        <v>3058</v>
      </c>
      <c r="G14" s="3092"/>
      <c r="H14" s="3048"/>
      <c r="I14" s="3049"/>
      <c r="J14" s="3457"/>
      <c r="K14" s="3460"/>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63" t="s">
        <v>3061</v>
      </c>
      <c r="C15" s="3464"/>
      <c r="D15" s="3097">
        <f>ROUND(D6*E15,0)</f>
        <v>0</v>
      </c>
      <c r="E15" s="3098">
        <v>5.5E-2</v>
      </c>
      <c r="F15" s="3091" t="s">
        <v>3062</v>
      </c>
      <c r="G15" s="3073"/>
      <c r="H15" s="3048"/>
      <c r="I15" s="3049"/>
      <c r="J15" s="3457">
        <v>2</v>
      </c>
      <c r="K15" s="3458"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63" t="s">
        <v>3070</v>
      </c>
      <c r="C16" s="3464"/>
      <c r="D16" s="3108">
        <f>D6*E16</f>
        <v>0</v>
      </c>
      <c r="E16" s="3109"/>
      <c r="F16" s="3094" t="s">
        <v>3071</v>
      </c>
      <c r="G16" s="3073"/>
      <c r="H16" s="3048"/>
      <c r="I16" s="3049"/>
      <c r="J16" s="3457"/>
      <c r="K16" s="3459"/>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65" t="s">
        <v>3073</v>
      </c>
      <c r="C17" s="3466"/>
      <c r="D17" s="3111">
        <f>ROUND(D6*E17,0)</f>
        <v>0</v>
      </c>
      <c r="E17" s="3112"/>
      <c r="F17" s="3113" t="s">
        <v>3074</v>
      </c>
      <c r="G17" s="3073"/>
      <c r="H17" s="3048"/>
      <c r="I17" s="3049"/>
      <c r="J17" s="3457"/>
      <c r="K17" s="3459"/>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57"/>
      <c r="K18" s="3459"/>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57"/>
      <c r="K19" s="3460"/>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57">
        <v>3</v>
      </c>
      <c r="K20" s="3458"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57"/>
      <c r="K21" s="3459"/>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57"/>
      <c r="K22" s="3459"/>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57"/>
      <c r="K23" s="3459"/>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57"/>
      <c r="K24" s="3460"/>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67">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6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50" t="s">
        <v>3006</v>
      </c>
      <c r="K32" s="3451"/>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52" t="s">
        <v>3016</v>
      </c>
      <c r="K33" s="3453"/>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52" t="s">
        <v>3018</v>
      </c>
      <c r="K34" s="3453"/>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57">
        <v>1</v>
      </c>
      <c r="K36" s="3458"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57"/>
      <c r="K37" s="3459"/>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57"/>
      <c r="K38" s="3459"/>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57"/>
      <c r="K39" s="3459"/>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57"/>
      <c r="K40" s="3460"/>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67">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6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2285</v>
      </c>
      <c r="B1" s="2023"/>
      <c r="C1" s="2023"/>
      <c r="D1" s="2023"/>
      <c r="E1" s="2024"/>
      <c r="F1" s="2905"/>
      <c r="G1" s="1643"/>
      <c r="H1" s="1643"/>
      <c r="I1" s="1643"/>
      <c r="J1" s="1643"/>
      <c r="K1" s="1643"/>
      <c r="L1" s="1643"/>
      <c r="M1" s="1643"/>
      <c r="N1" s="1643"/>
      <c r="O1" s="1643"/>
      <c r="P1" s="1643"/>
      <c r="Q1" s="1643"/>
      <c r="R1" s="1643"/>
      <c r="S1" s="1643"/>
    </row>
    <row r="2" spans="1:22" ht="15.75">
      <c r="A2" s="2025" t="s">
        <v>2089</v>
      </c>
      <c r="B2" s="2026">
        <f ca="1">SUMIF(B6:B13,"&lt;&gt;#ref!",B6:B13)</f>
        <v>10929</v>
      </c>
      <c r="C2" s="2027" t="s">
        <v>2278</v>
      </c>
      <c r="D2" s="2028" t="s">
        <v>2279</v>
      </c>
      <c r="E2" s="2802">
        <f>SUM(E6:E13)</f>
        <v>2131.7799999999997</v>
      </c>
      <c r="F2" s="2905"/>
      <c r="G2" s="1643"/>
      <c r="H2" s="1643"/>
      <c r="I2" s="1643"/>
      <c r="J2" s="1643"/>
      <c r="K2" s="1643"/>
      <c r="L2" s="1643"/>
      <c r="M2" s="1643"/>
      <c r="N2" s="1643"/>
      <c r="O2" s="1643"/>
      <c r="P2" s="1643"/>
      <c r="Q2" s="1643"/>
      <c r="R2" s="1643"/>
      <c r="S2" s="1643"/>
    </row>
    <row r="3" spans="1:22" ht="15.75">
      <c r="A3" s="2025" t="s">
        <v>1300</v>
      </c>
      <c r="B3" s="2796">
        <f ca="1">ROUND(B2*10000/E2,0)</f>
        <v>51267</v>
      </c>
      <c r="C3" s="2027" t="s">
        <v>2286</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2280</v>
      </c>
      <c r="B5" s="3469" t="s">
        <v>2281</v>
      </c>
      <c r="C5" s="3470"/>
      <c r="D5" s="2906"/>
      <c r="E5" s="2029" t="s">
        <v>2282</v>
      </c>
      <c r="F5" s="2030" t="s">
        <v>2283</v>
      </c>
      <c r="G5" s="1643"/>
      <c r="H5" s="1643"/>
      <c r="I5" s="1643"/>
      <c r="J5" s="1643"/>
      <c r="K5" s="1643"/>
      <c r="L5" s="1643"/>
      <c r="M5" s="1643"/>
      <c r="N5" s="1643"/>
      <c r="O5" s="1643"/>
      <c r="P5" s="1643"/>
      <c r="Q5" s="1643"/>
      <c r="R5" s="1643"/>
      <c r="S5" s="1643"/>
    </row>
    <row r="6" spans="1:22">
      <c r="A6" s="2799" t="str">
        <f>'数据-取费表'!AN6</f>
        <v>收益法</v>
      </c>
      <c r="B6" s="2797">
        <f ca="1">IF(F6="是",'数据-取费表'!AO6,0)</f>
        <v>10929</v>
      </c>
      <c r="C6" s="2027" t="s">
        <v>2278</v>
      </c>
      <c r="D6" s="2907"/>
      <c r="E6" s="2801">
        <f>IF(OR(A6=0,F6="否"),0,'数据-取费表'!K6+'数据-取费表'!S6)</f>
        <v>2131.7799999999997</v>
      </c>
      <c r="F6" s="2031" t="s">
        <v>2284</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2278</v>
      </c>
      <c r="D7" s="2907"/>
      <c r="E7" s="2801">
        <f>IF(OR(A7=0,F7="否"),0,'数据-取费表'!K7+'数据-取费表'!S7)</f>
        <v>0</v>
      </c>
      <c r="F7" s="2031" t="s">
        <v>2284</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2278</v>
      </c>
      <c r="D8" s="2907"/>
      <c r="E8" s="2801">
        <f>IF(OR(A8=0,F8="否"),0,'数据-取费表'!K8+'数据-取费表'!S8)</f>
        <v>0</v>
      </c>
      <c r="F8" s="2031" t="s">
        <v>2284</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2278</v>
      </c>
      <c r="D9" s="2907"/>
      <c r="E9" s="2801">
        <f>IF(OR(A9=0,F9="否"),0,'数据-取费表'!K9+'数据-取费表'!S9)</f>
        <v>0</v>
      </c>
      <c r="F9" s="2031" t="s">
        <v>2284</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2278</v>
      </c>
      <c r="D10" s="2907"/>
      <c r="E10" s="2801">
        <f>IF(OR(A10=0,F10="否"),0,'数据-取费表'!K10+'数据-取费表'!S10)</f>
        <v>0</v>
      </c>
      <c r="F10" s="2031" t="s">
        <v>2284</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2278</v>
      </c>
      <c r="D11" s="2907"/>
      <c r="E11" s="2801">
        <f>IF(OR(A11=0,F11="否"),0,'数据-取费表'!K11+'数据-取费表'!S11)</f>
        <v>0</v>
      </c>
      <c r="F11" s="2031" t="s">
        <v>2284</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2278</v>
      </c>
      <c r="D12" s="2907"/>
      <c r="E12" s="2801">
        <f>IF(OR(A12=0,F12="否"),0,'数据-取费表'!K12+'数据-取费表'!S12)</f>
        <v>0</v>
      </c>
      <c r="F12" s="2031" t="s">
        <v>2284</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2" zoomScaleNormal="60" zoomScaleSheetLayoutView="100" workbookViewId="0">
      <selection activeCell="D51" sqref="D5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2287</v>
      </c>
      <c r="B1" s="2033" t="s">
        <v>2288</v>
      </c>
      <c r="C1" s="1377" t="s">
        <v>2289</v>
      </c>
      <c r="D1" s="1364" t="s">
        <v>3137</v>
      </c>
      <c r="E1" s="2513"/>
      <c r="F1" s="2034" t="s">
        <v>2290</v>
      </c>
      <c r="G1" s="1374" t="s">
        <v>2291</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f>IF(C2="——",ROUND(C49*D3/10000,0),ROUND(C49*D3/10000,0)-D2)</f>
        <v>357905</v>
      </c>
      <c r="C2" s="2036" t="s">
        <v>70</v>
      </c>
      <c r="D2" s="1246" t="e">
        <f ca="1">SUMIF(INDIRECT("'"&amp;F2&amp;"'"&amp;"!A:A"),"承租人权益价值",INDIRECT("'"&amp;F2&amp;"'"&amp;"!c:c"))</f>
        <v>#REF!</v>
      </c>
      <c r="E2" s="2037" t="s">
        <v>2292</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f>IF(C2="——",C49,ROUND(B2*10000/D3,0))</f>
        <v>113673</v>
      </c>
      <c r="C3" s="359" t="s">
        <v>2293</v>
      </c>
      <c r="D3" s="358">
        <f>IF(D1="",'数据-汇总表'!E3,SUMIF('数据-汇总表'!$C19:$C33,D1,'数据-汇总表'!$E19:$E33))</f>
        <v>31485.47</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2294</v>
      </c>
      <c r="B4" s="361"/>
      <c r="C4" s="3489" t="s">
        <v>2295</v>
      </c>
      <c r="D4" s="3490"/>
      <c r="E4" s="3491" t="s">
        <v>2296</v>
      </c>
      <c r="F4" s="3492"/>
      <c r="G4" s="3489" t="s">
        <v>2297</v>
      </c>
      <c r="H4" s="3490"/>
      <c r="I4" s="3489" t="s">
        <v>2298</v>
      </c>
      <c r="J4" s="3490"/>
      <c r="K4" s="2044" t="s">
        <v>2299</v>
      </c>
      <c r="L4" s="2913"/>
      <c r="M4" s="2914"/>
      <c r="N4" s="2914"/>
      <c r="O4" s="2914"/>
      <c r="P4" s="3493" t="s">
        <v>2300</v>
      </c>
      <c r="Q4" s="3494"/>
      <c r="R4" s="3476" t="s">
        <v>2296</v>
      </c>
      <c r="S4" s="3477"/>
      <c r="T4" s="3476" t="s">
        <v>2297</v>
      </c>
      <c r="U4" s="3477"/>
      <c r="V4" s="3501" t="s">
        <v>2298</v>
      </c>
      <c r="W4" s="3501"/>
      <c r="X4" s="1508"/>
      <c r="Y4" s="3476" t="s">
        <v>2300</v>
      </c>
      <c r="Z4" s="3477"/>
      <c r="AA4" s="3471" t="s">
        <v>2296</v>
      </c>
      <c r="AB4" s="3471" t="s">
        <v>2297</v>
      </c>
      <c r="AC4" s="3471" t="s">
        <v>2298</v>
      </c>
    </row>
    <row r="5" spans="1:29" ht="15" customHeight="1">
      <c r="A5" s="363"/>
      <c r="B5" s="364"/>
      <c r="C5" s="3482" t="s">
        <v>2301</v>
      </c>
      <c r="D5" s="3483"/>
      <c r="E5" s="3480" t="s">
        <v>3230</v>
      </c>
      <c r="F5" s="3481"/>
      <c r="G5" s="3480" t="s">
        <v>3231</v>
      </c>
      <c r="H5" s="3481"/>
      <c r="I5" s="3480" t="s">
        <v>3232</v>
      </c>
      <c r="J5" s="3481"/>
      <c r="K5" s="2045"/>
      <c r="L5" s="2913"/>
      <c r="M5" s="2914"/>
      <c r="N5" s="2914"/>
      <c r="O5" s="2914"/>
      <c r="P5" s="3495"/>
      <c r="Q5" s="3496"/>
      <c r="R5" s="3478"/>
      <c r="S5" s="3479"/>
      <c r="T5" s="3478"/>
      <c r="U5" s="3479"/>
      <c r="V5" s="3501"/>
      <c r="W5" s="3501"/>
      <c r="X5" s="1508"/>
      <c r="Y5" s="3478"/>
      <c r="Z5" s="3479"/>
      <c r="AA5" s="3472"/>
      <c r="AB5" s="3472"/>
      <c r="AC5" s="3472"/>
    </row>
    <row r="6" spans="1:29" ht="15.75" thickBot="1">
      <c r="A6" s="365"/>
      <c r="B6" s="366"/>
      <c r="C6" s="3484" t="s">
        <v>2305</v>
      </c>
      <c r="D6" s="3485"/>
      <c r="E6" s="3486" t="s">
        <v>2305</v>
      </c>
      <c r="F6" s="3487"/>
      <c r="G6" s="3484" t="s">
        <v>2305</v>
      </c>
      <c r="H6" s="3485"/>
      <c r="I6" s="3484" t="s">
        <v>2305</v>
      </c>
      <c r="J6" s="3485"/>
      <c r="K6" s="2045" t="s">
        <v>2306</v>
      </c>
      <c r="L6" s="2913"/>
      <c r="M6" s="2914"/>
      <c r="N6" s="2914"/>
      <c r="O6" s="2914"/>
      <c r="P6" s="3497"/>
      <c r="Q6" s="3498"/>
      <c r="R6" s="3478"/>
      <c r="S6" s="3479"/>
      <c r="T6" s="3499"/>
      <c r="U6" s="3500"/>
      <c r="V6" s="3501"/>
      <c r="W6" s="3501"/>
      <c r="X6" s="1508"/>
      <c r="Y6" s="3499"/>
      <c r="Z6" s="3500"/>
      <c r="AA6" s="3473"/>
      <c r="AB6" s="3473"/>
      <c r="AC6" s="3473"/>
    </row>
    <row r="7" spans="1:29" s="113" customFormat="1" ht="15.75" thickBot="1">
      <c r="A7" s="367" t="s">
        <v>2307</v>
      </c>
      <c r="B7" s="368"/>
      <c r="C7" s="369">
        <f>'数据-取费表'!B2</f>
        <v>44575</v>
      </c>
      <c r="D7" s="370">
        <v>100</v>
      </c>
      <c r="E7" s="371">
        <v>44579</v>
      </c>
      <c r="F7" s="372">
        <f>SUMIF(58:58,YEAR(E7)&amp;"-"&amp;MONTH(E7),59:59)</f>
        <v>100</v>
      </c>
      <c r="G7" s="371">
        <f>E7</f>
        <v>44579</v>
      </c>
      <c r="H7" s="370">
        <f>SUMIF(58:58,YEAR(G7)&amp;"-"&amp;MONTH(G7),59:59)</f>
        <v>100</v>
      </c>
      <c r="I7" s="371">
        <f>G7</f>
        <v>44579</v>
      </c>
      <c r="J7" s="370">
        <f>SUMIF(58:58,YEAR(I7)&amp;"-"&amp;MONTH(I7),59:59)</f>
        <v>100</v>
      </c>
      <c r="K7" s="2046"/>
      <c r="L7" s="2915"/>
      <c r="M7" s="2916"/>
      <c r="N7" s="2916"/>
      <c r="O7" s="2916"/>
      <c r="P7" s="3474" t="s">
        <v>2308</v>
      </c>
      <c r="Q7" s="3502"/>
      <c r="R7" s="709" t="s">
        <v>23</v>
      </c>
      <c r="S7" s="710">
        <f t="shared" ref="S7:S15" si="0">F7</f>
        <v>100</v>
      </c>
      <c r="T7" s="709" t="s">
        <v>23</v>
      </c>
      <c r="U7" s="710">
        <f t="shared" ref="U7:U15" si="1">H7</f>
        <v>100</v>
      </c>
      <c r="V7" s="709" t="s">
        <v>23</v>
      </c>
      <c r="W7" s="710">
        <f t="shared" ref="W7:W15" si="2">J7</f>
        <v>100</v>
      </c>
      <c r="X7" s="711"/>
      <c r="Y7" s="3474" t="s">
        <v>2308</v>
      </c>
      <c r="Z7" s="3475"/>
      <c r="AA7" s="712">
        <f>D7/F7</f>
        <v>1</v>
      </c>
      <c r="AB7" s="712">
        <f>D7/H7</f>
        <v>1</v>
      </c>
      <c r="AC7" s="712">
        <f>D7/J7</f>
        <v>1</v>
      </c>
    </row>
    <row r="8" spans="1:29" s="113" customFormat="1" ht="15.75" thickBot="1">
      <c r="A8" s="367" t="s">
        <v>2309</v>
      </c>
      <c r="B8" s="368"/>
      <c r="C8" s="373" t="s">
        <v>2310</v>
      </c>
      <c r="D8" s="370">
        <v>100</v>
      </c>
      <c r="E8" s="2047" t="s">
        <v>3185</v>
      </c>
      <c r="F8" s="372">
        <f>SUMIF(61:61,E8,62:62)-SUMIF(61:61,C8,62:62)+100</f>
        <v>100</v>
      </c>
      <c r="G8" s="373" t="s">
        <v>3185</v>
      </c>
      <c r="H8" s="370">
        <f>SUMIF(61:61,G8,62:62)-SUMIF(61:61,C8,62:62)+100</f>
        <v>100</v>
      </c>
      <c r="I8" s="2047" t="s">
        <v>3185</v>
      </c>
      <c r="J8" s="370">
        <f>SUMIF(61:61,I8,62:62)-SUMIF(61:61,C8,62:62)+100</f>
        <v>100</v>
      </c>
      <c r="K8" s="2046"/>
      <c r="L8" s="2915"/>
      <c r="M8" s="2916"/>
      <c r="N8" s="2916"/>
      <c r="O8" s="2916"/>
      <c r="P8" s="3474" t="s">
        <v>2311</v>
      </c>
      <c r="Q8" s="3475"/>
      <c r="R8" s="709" t="s">
        <v>23</v>
      </c>
      <c r="S8" s="710">
        <f t="shared" si="0"/>
        <v>100</v>
      </c>
      <c r="T8" s="709" t="s">
        <v>23</v>
      </c>
      <c r="U8" s="710">
        <f t="shared" si="1"/>
        <v>100</v>
      </c>
      <c r="V8" s="709" t="s">
        <v>23</v>
      </c>
      <c r="W8" s="710">
        <f t="shared" si="2"/>
        <v>100</v>
      </c>
      <c r="X8" s="711"/>
      <c r="Y8" s="3474" t="s">
        <v>2311</v>
      </c>
      <c r="Z8" s="3475"/>
      <c r="AA8" s="712">
        <f t="shared" ref="AA8:AA19" si="3">D8/F8</f>
        <v>1</v>
      </c>
      <c r="AB8" s="712">
        <f t="shared" ref="AB8:AB19" si="4">D8/H8</f>
        <v>1</v>
      </c>
      <c r="AC8" s="712">
        <f t="shared" ref="AC8:AC19" si="5">D8/J8</f>
        <v>1</v>
      </c>
    </row>
    <row r="9" spans="1:29" s="113" customFormat="1">
      <c r="A9" s="374" t="s">
        <v>2312</v>
      </c>
      <c r="B9" s="67" t="s">
        <v>2313</v>
      </c>
      <c r="C9" s="3231" t="s">
        <v>3218</v>
      </c>
      <c r="D9" s="130">
        <v>100</v>
      </c>
      <c r="E9" s="376" t="s">
        <v>3137</v>
      </c>
      <c r="F9" s="377">
        <f>SUMIF(63:63,E9,64:64)-SUMIF(63:63,C9,64:64)+100</f>
        <v>100</v>
      </c>
      <c r="G9" s="378" t="s">
        <v>3137</v>
      </c>
      <c r="H9" s="130">
        <f>SUMIF(63:63,G9,64:64)-SUMIF(63:63,C9,64:64)+100</f>
        <v>100</v>
      </c>
      <c r="I9" s="378" t="s">
        <v>3137</v>
      </c>
      <c r="J9" s="130">
        <f>SUMIF(63:63,I9,64:64)-SUMIF(63:63,C9,64:64)+100</f>
        <v>100</v>
      </c>
      <c r="K9" s="2046"/>
      <c r="L9" s="2915"/>
      <c r="M9" s="2916"/>
      <c r="N9" s="2916"/>
      <c r="O9" s="2916"/>
      <c r="P9" s="3488"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712">
        <f t="shared" si="5"/>
        <v>1</v>
      </c>
    </row>
    <row r="10" spans="1:29" s="385" customFormat="1" ht="27">
      <c r="A10" s="379"/>
      <c r="B10" s="380" t="s">
        <v>2316</v>
      </c>
      <c r="C10" s="381" t="s">
        <v>3210</v>
      </c>
      <c r="D10" s="131">
        <v>100</v>
      </c>
      <c r="E10" s="382" t="s">
        <v>3210</v>
      </c>
      <c r="F10" s="383">
        <f>SUMIF(65:65,E10,66:66)-SUMIF(65:65,C10,66:66)+100</f>
        <v>100</v>
      </c>
      <c r="G10" s="381" t="s">
        <v>3210</v>
      </c>
      <c r="H10" s="131">
        <f>SUMIF(65:65,G10,66:66)-SUMIF(65:65,C10,66:66)+100</f>
        <v>100</v>
      </c>
      <c r="I10" s="381" t="s">
        <v>3210</v>
      </c>
      <c r="J10" s="131">
        <f>SUMIF(65:65,I10,66:66)-SUMIF(65:65,C10,66:66)+100</f>
        <v>100</v>
      </c>
      <c r="K10" s="384">
        <v>1</v>
      </c>
      <c r="L10" s="2917"/>
      <c r="M10" s="2918"/>
      <c r="N10" s="2918"/>
      <c r="O10" s="2918"/>
      <c r="P10" s="3488"/>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75" thickBot="1">
      <c r="A11" s="386"/>
      <c r="B11" s="380" t="s">
        <v>2317</v>
      </c>
      <c r="C11" s="387">
        <v>2.4</v>
      </c>
      <c r="D11" s="131">
        <v>100</v>
      </c>
      <c r="E11" s="388">
        <v>1.52</v>
      </c>
      <c r="F11" s="383">
        <f>LOOKUP(E11,68:68,69:69)-LOOKUP(C11,68:68,69:69)+100</f>
        <v>103</v>
      </c>
      <c r="G11" s="387">
        <v>2.82</v>
      </c>
      <c r="H11" s="131">
        <f>LOOKUP(G11,68:68,69:69)-LOOKUP(C11,68:68,69:69)+100</f>
        <v>100</v>
      </c>
      <c r="I11" s="387">
        <v>2.8</v>
      </c>
      <c r="J11" s="131">
        <f>LOOKUP(I11,68:68,69:69)-LOOKUP(C11,68:68,69:69)+100</f>
        <v>100</v>
      </c>
      <c r="K11" s="384">
        <v>3</v>
      </c>
      <c r="L11" s="2919"/>
      <c r="M11" s="2914"/>
      <c r="N11" s="2914"/>
      <c r="O11" s="2914"/>
      <c r="P11" s="3488"/>
      <c r="Q11" s="1496" t="str">
        <f t="shared" si="6"/>
        <v>容积率</v>
      </c>
      <c r="R11" s="709" t="s">
        <v>21</v>
      </c>
      <c r="S11" s="710">
        <f t="shared" si="0"/>
        <v>103</v>
      </c>
      <c r="T11" s="709" t="s">
        <v>21</v>
      </c>
      <c r="U11" s="710">
        <f t="shared" si="1"/>
        <v>100</v>
      </c>
      <c r="V11" s="709" t="s">
        <v>21</v>
      </c>
      <c r="W11" s="710">
        <f t="shared" si="2"/>
        <v>100</v>
      </c>
      <c r="X11" s="711"/>
      <c r="Y11" s="3418"/>
      <c r="Z11" s="55" t="str">
        <f t="shared" si="7"/>
        <v>容积率</v>
      </c>
      <c r="AA11" s="712">
        <f t="shared" si="3"/>
        <v>0.970873786407767</v>
      </c>
      <c r="AB11" s="712">
        <f t="shared" si="4"/>
        <v>1</v>
      </c>
      <c r="AC11" s="712">
        <f t="shared" si="5"/>
        <v>1</v>
      </c>
    </row>
    <row r="12" spans="1:29" s="113" customFormat="1" ht="15" hidden="1">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5"/>
      <c r="M12" s="2916"/>
      <c r="N12" s="2916"/>
      <c r="O12" s="2916"/>
      <c r="P12" s="3488"/>
      <c r="Q12" s="1496">
        <f t="shared" si="6"/>
        <v>111</v>
      </c>
      <c r="R12" s="709" t="s">
        <v>21</v>
      </c>
      <c r="S12" s="710">
        <f t="shared" si="0"/>
        <v>100</v>
      </c>
      <c r="T12" s="709" t="s">
        <v>21</v>
      </c>
      <c r="U12" s="710">
        <f t="shared" si="1"/>
        <v>100</v>
      </c>
      <c r="V12" s="709" t="s">
        <v>21</v>
      </c>
      <c r="W12" s="710">
        <f t="shared" si="2"/>
        <v>100</v>
      </c>
      <c r="X12" s="711"/>
      <c r="Y12" s="3418"/>
      <c r="Z12" s="55">
        <f t="shared" si="7"/>
        <v>111</v>
      </c>
      <c r="AA12" s="712">
        <f>D12/F12</f>
        <v>1</v>
      </c>
      <c r="AB12" s="712">
        <f>D12/H12</f>
        <v>1</v>
      </c>
      <c r="AC12" s="712">
        <f>D12/J12</f>
        <v>1</v>
      </c>
    </row>
    <row r="13" spans="1:29" ht="15" hidden="1">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488"/>
      <c r="Q13" s="1496">
        <f t="shared" si="6"/>
        <v>111</v>
      </c>
      <c r="R13" s="709" t="s">
        <v>21</v>
      </c>
      <c r="S13" s="710">
        <f t="shared" si="0"/>
        <v>100</v>
      </c>
      <c r="T13" s="709" t="s">
        <v>21</v>
      </c>
      <c r="U13" s="710">
        <f t="shared" si="1"/>
        <v>100</v>
      </c>
      <c r="V13" s="709" t="s">
        <v>21</v>
      </c>
      <c r="W13" s="710">
        <f t="shared" si="2"/>
        <v>100</v>
      </c>
      <c r="X13" s="711"/>
      <c r="Y13" s="3418"/>
      <c r="Z13" s="55">
        <f t="shared" si="7"/>
        <v>111</v>
      </c>
      <c r="AA13" s="712">
        <f t="shared" si="3"/>
        <v>1</v>
      </c>
      <c r="AB13" s="712">
        <f t="shared" si="4"/>
        <v>1</v>
      </c>
      <c r="AC13" s="712">
        <f t="shared" si="5"/>
        <v>1</v>
      </c>
    </row>
    <row r="14" spans="1:29" ht="15.75" hidden="1"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488"/>
      <c r="Q14" s="1496">
        <f t="shared" si="6"/>
        <v>111</v>
      </c>
      <c r="R14" s="709" t="s">
        <v>21</v>
      </c>
      <c r="S14" s="710">
        <f t="shared" si="0"/>
        <v>100</v>
      </c>
      <c r="T14" s="709" t="s">
        <v>21</v>
      </c>
      <c r="U14" s="710">
        <f t="shared" si="1"/>
        <v>100</v>
      </c>
      <c r="V14" s="709" t="s">
        <v>21</v>
      </c>
      <c r="W14" s="710">
        <f t="shared" si="2"/>
        <v>100</v>
      </c>
      <c r="X14" s="711"/>
      <c r="Y14" s="3418"/>
      <c r="Z14" s="55">
        <f t="shared" si="7"/>
        <v>111</v>
      </c>
      <c r="AA14" s="712">
        <f t="shared" si="3"/>
        <v>1</v>
      </c>
      <c r="AB14" s="712">
        <f t="shared" si="4"/>
        <v>1</v>
      </c>
      <c r="AC14" s="712">
        <f t="shared" si="5"/>
        <v>1</v>
      </c>
    </row>
    <row r="15" spans="1:29" ht="99.75">
      <c r="A15" s="398" t="s">
        <v>2318</v>
      </c>
      <c r="B15" s="65" t="s">
        <v>1884</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3</v>
      </c>
      <c r="L15" s="2920"/>
      <c r="M15" s="2914"/>
      <c r="N15" s="2914"/>
      <c r="O15" s="2914"/>
      <c r="P15" s="3515" t="s">
        <v>2319</v>
      </c>
      <c r="Q15" s="1505" t="str">
        <f t="shared" si="6"/>
        <v>居住社区成熟度</v>
      </c>
      <c r="R15" s="713" t="s">
        <v>21</v>
      </c>
      <c r="S15" s="714">
        <f t="shared" si="0"/>
        <v>100</v>
      </c>
      <c r="T15" s="713" t="s">
        <v>21</v>
      </c>
      <c r="U15" s="714">
        <f t="shared" si="1"/>
        <v>100</v>
      </c>
      <c r="V15" s="713" t="s">
        <v>21</v>
      </c>
      <c r="W15" s="714">
        <f t="shared" si="2"/>
        <v>100</v>
      </c>
      <c r="X15" s="1508"/>
      <c r="Y15" s="3508" t="s">
        <v>2319</v>
      </c>
      <c r="Z15" s="1509" t="str">
        <f t="shared" si="7"/>
        <v>居住社区成熟度</v>
      </c>
      <c r="AA15" s="1506">
        <f t="shared" si="3"/>
        <v>1</v>
      </c>
      <c r="AB15" s="1506">
        <f t="shared" si="4"/>
        <v>1</v>
      </c>
      <c r="AC15" s="1506">
        <f t="shared" si="5"/>
        <v>1</v>
      </c>
    </row>
    <row r="16" spans="1:29" ht="15">
      <c r="A16" s="386"/>
      <c r="B16" s="404"/>
      <c r="C16" s="405" t="s">
        <v>3186</v>
      </c>
      <c r="D16" s="406"/>
      <c r="E16" s="2052" t="s">
        <v>3186</v>
      </c>
      <c r="F16" s="406"/>
      <c r="G16" s="2053" t="s">
        <v>3186</v>
      </c>
      <c r="H16" s="408"/>
      <c r="I16" s="2053" t="s">
        <v>3186</v>
      </c>
      <c r="J16" s="406"/>
      <c r="K16" s="2054"/>
      <c r="L16" s="2920"/>
      <c r="M16" s="2914"/>
      <c r="N16" s="2914"/>
      <c r="O16" s="2914"/>
      <c r="P16" s="3516"/>
      <c r="Q16" s="1505"/>
      <c r="R16" s="713"/>
      <c r="S16" s="714"/>
      <c r="T16" s="713"/>
      <c r="U16" s="714"/>
      <c r="V16" s="713"/>
      <c r="W16" s="714"/>
      <c r="X16" s="1508"/>
      <c r="Y16" s="3509"/>
      <c r="Z16" s="1509"/>
      <c r="AA16" s="1506">
        <v>1</v>
      </c>
      <c r="AB16" s="1506">
        <v>1</v>
      </c>
      <c r="AC16" s="1506">
        <v>1</v>
      </c>
    </row>
    <row r="17" spans="1:29" ht="85.5">
      <c r="A17" s="386"/>
      <c r="B17" s="409" t="s">
        <v>1886</v>
      </c>
      <c r="C17" s="2055" t="str">
        <f>估价对象房地状况!C6</f>
        <v>估价对象周边道路状况、公共交通通达情况、停车便捷程度，综合评价交通便捷度较好</v>
      </c>
      <c r="D17" s="408">
        <v>100</v>
      </c>
      <c r="E17" s="412"/>
      <c r="F17" s="408">
        <f>SUMIF(78:78,E18,79:79)-SUMIF(78:78,C18,79:79)+100</f>
        <v>97</v>
      </c>
      <c r="G17" s="410"/>
      <c r="H17" s="413">
        <f>SUMIF(78:78,G18,79:79)-SUMIF(78:78,C18,79:79)+100</f>
        <v>97</v>
      </c>
      <c r="I17" s="410"/>
      <c r="J17" s="413">
        <f>SUMIF(78:78,I18,79:79)-SUMIF(78:78,C18,79:79)+100</f>
        <v>97</v>
      </c>
      <c r="K17" s="403">
        <v>3</v>
      </c>
      <c r="L17" s="2920"/>
      <c r="M17" s="2914"/>
      <c r="N17" s="2914"/>
      <c r="O17" s="2914"/>
      <c r="P17" s="3516"/>
      <c r="Q17" s="1505" t="str">
        <f>B17</f>
        <v>交通便捷度</v>
      </c>
      <c r="R17" s="713" t="s">
        <v>21</v>
      </c>
      <c r="S17" s="714">
        <f>F17</f>
        <v>97</v>
      </c>
      <c r="T17" s="713" t="s">
        <v>21</v>
      </c>
      <c r="U17" s="714">
        <f>H17</f>
        <v>97</v>
      </c>
      <c r="V17" s="713" t="s">
        <v>21</v>
      </c>
      <c r="W17" s="714">
        <f>J17</f>
        <v>97</v>
      </c>
      <c r="X17" s="1508"/>
      <c r="Y17" s="3509"/>
      <c r="Z17" s="1509" t="str">
        <f>Q17</f>
        <v>交通便捷度</v>
      </c>
      <c r="AA17" s="1506">
        <f t="shared" si="3"/>
        <v>1.0309278350515463</v>
      </c>
      <c r="AB17" s="1506">
        <f t="shared" si="4"/>
        <v>1.0309278350515463</v>
      </c>
      <c r="AC17" s="1506">
        <f t="shared" si="5"/>
        <v>1.0309278350515463</v>
      </c>
    </row>
    <row r="18" spans="1:29" ht="15">
      <c r="A18" s="386"/>
      <c r="B18" s="414"/>
      <c r="C18" s="2056" t="s">
        <v>3186</v>
      </c>
      <c r="D18" s="408"/>
      <c r="E18" s="2057" t="s">
        <v>3187</v>
      </c>
      <c r="F18" s="408"/>
      <c r="G18" s="2058" t="s">
        <v>3187</v>
      </c>
      <c r="H18" s="406"/>
      <c r="I18" s="2058" t="s">
        <v>3187</v>
      </c>
      <c r="J18" s="406"/>
      <c r="K18" s="2054"/>
      <c r="L18" s="2920"/>
      <c r="M18" s="2914"/>
      <c r="N18" s="2914"/>
      <c r="O18" s="2914"/>
      <c r="P18" s="3516"/>
      <c r="Q18" s="1505"/>
      <c r="R18" s="713"/>
      <c r="S18" s="714"/>
      <c r="T18" s="713"/>
      <c r="U18" s="714"/>
      <c r="V18" s="713"/>
      <c r="W18" s="714"/>
      <c r="X18" s="1508"/>
      <c r="Y18" s="3509"/>
      <c r="Z18" s="1509"/>
      <c r="AA18" s="1506">
        <v>1</v>
      </c>
      <c r="AB18" s="1506">
        <v>1</v>
      </c>
      <c r="AC18" s="1506">
        <v>1</v>
      </c>
    </row>
    <row r="19" spans="1:29" ht="42.75">
      <c r="A19" s="386"/>
      <c r="B19" s="409" t="s">
        <v>1885</v>
      </c>
      <c r="C19" s="2055" t="str">
        <f>估价对象房地状况!C7</f>
        <v>估价对象所在区域公共配套设施齐备情况</v>
      </c>
      <c r="D19" s="413">
        <v>100</v>
      </c>
      <c r="E19" s="417"/>
      <c r="F19" s="413">
        <f>SUMIF(80:80,E20,81:81)-SUMIF(80:80,C20,81:81)+100</f>
        <v>97</v>
      </c>
      <c r="G19" s="415"/>
      <c r="H19" s="408">
        <f>SUMIF(80:80,G20,81:81)-SUMIF(80:80,C20,81:81)+100</f>
        <v>100</v>
      </c>
      <c r="I19" s="415"/>
      <c r="J19" s="408">
        <f>SUMIF(80:80,I20,81:81)-SUMIF(80:80,C20,81:81)+100</f>
        <v>97</v>
      </c>
      <c r="K19" s="403">
        <v>3</v>
      </c>
      <c r="L19" s="2920"/>
      <c r="M19" s="2914"/>
      <c r="N19" s="2914"/>
      <c r="O19" s="2914"/>
      <c r="P19" s="3516"/>
      <c r="Q19" s="1505" t="str">
        <f>B19</f>
        <v>公共配套设施</v>
      </c>
      <c r="R19" s="713" t="s">
        <v>21</v>
      </c>
      <c r="S19" s="714">
        <f>F19</f>
        <v>97</v>
      </c>
      <c r="T19" s="713" t="s">
        <v>21</v>
      </c>
      <c r="U19" s="714">
        <f>H19</f>
        <v>100</v>
      </c>
      <c r="V19" s="713" t="s">
        <v>21</v>
      </c>
      <c r="W19" s="714">
        <f>J19</f>
        <v>97</v>
      </c>
      <c r="X19" s="1508"/>
      <c r="Y19" s="3509"/>
      <c r="Z19" s="1509" t="str">
        <f>Q19</f>
        <v>公共配套设施</v>
      </c>
      <c r="AA19" s="1506">
        <f t="shared" si="3"/>
        <v>1.0309278350515463</v>
      </c>
      <c r="AB19" s="1506">
        <f t="shared" si="4"/>
        <v>1</v>
      </c>
      <c r="AC19" s="1506">
        <f t="shared" si="5"/>
        <v>1.0309278350515463</v>
      </c>
    </row>
    <row r="20" spans="1:29" ht="15">
      <c r="A20" s="386"/>
      <c r="B20" s="414"/>
      <c r="C20" s="405" t="s">
        <v>3186</v>
      </c>
      <c r="D20" s="406"/>
      <c r="E20" s="2052" t="s">
        <v>3187</v>
      </c>
      <c r="F20" s="406"/>
      <c r="G20" s="2053" t="s">
        <v>3186</v>
      </c>
      <c r="H20" s="406"/>
      <c r="I20" s="2053" t="s">
        <v>3187</v>
      </c>
      <c r="J20" s="406"/>
      <c r="K20" s="2054"/>
      <c r="L20" s="2920"/>
      <c r="M20" s="2914"/>
      <c r="N20" s="2914"/>
      <c r="O20" s="2914"/>
      <c r="P20" s="3516"/>
      <c r="Q20" s="1505"/>
      <c r="R20" s="713"/>
      <c r="S20" s="714"/>
      <c r="T20" s="713"/>
      <c r="U20" s="714"/>
      <c r="V20" s="713"/>
      <c r="W20" s="714"/>
      <c r="X20" s="1508"/>
      <c r="Y20" s="3509"/>
      <c r="Z20" s="1509"/>
      <c r="AA20" s="1506">
        <v>1</v>
      </c>
      <c r="AB20" s="1506">
        <v>1</v>
      </c>
      <c r="AC20" s="1506">
        <v>1</v>
      </c>
    </row>
    <row r="21" spans="1:29" ht="28.5">
      <c r="A21" s="386"/>
      <c r="B21" s="1264" t="s">
        <v>1887</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3</v>
      </c>
      <c r="L21" s="2920"/>
      <c r="M21" s="2914"/>
      <c r="N21" s="2914"/>
      <c r="O21" s="2914"/>
      <c r="P21" s="3516"/>
      <c r="Q21" s="1505" t="str">
        <f>B21</f>
        <v>基础设施水平</v>
      </c>
      <c r="R21" s="713" t="s">
        <v>17</v>
      </c>
      <c r="S21" s="714">
        <f>F21</f>
        <v>100</v>
      </c>
      <c r="T21" s="713" t="s">
        <v>17</v>
      </c>
      <c r="U21" s="714">
        <f>H21</f>
        <v>100</v>
      </c>
      <c r="V21" s="713" t="s">
        <v>17</v>
      </c>
      <c r="W21" s="714">
        <f>J21</f>
        <v>100</v>
      </c>
      <c r="X21" s="1508"/>
      <c r="Y21" s="3509"/>
      <c r="Z21" s="1509" t="str">
        <f>Q21</f>
        <v>基础设施水平</v>
      </c>
      <c r="AA21" s="1506">
        <f t="shared" ref="AA21" si="8">D21/F21</f>
        <v>1</v>
      </c>
      <c r="AB21" s="1506">
        <f t="shared" ref="AB21" si="9">D21/H21</f>
        <v>1</v>
      </c>
      <c r="AC21" s="1506">
        <f t="shared" ref="AC21" si="10">D21/J21</f>
        <v>1</v>
      </c>
    </row>
    <row r="22" spans="1:29" ht="15">
      <c r="A22" s="386"/>
      <c r="B22" s="1264"/>
      <c r="C22" s="2056" t="s">
        <v>3188</v>
      </c>
      <c r="D22" s="406"/>
      <c r="E22" s="405" t="s">
        <v>3188</v>
      </c>
      <c r="F22" s="406"/>
      <c r="G22" s="2059" t="s">
        <v>3188</v>
      </c>
      <c r="H22" s="406"/>
      <c r="I22" s="405" t="s">
        <v>3188</v>
      </c>
      <c r="J22" s="406"/>
      <c r="K22" s="2060"/>
      <c r="L22" s="2920"/>
      <c r="M22" s="2914"/>
      <c r="N22" s="2914"/>
      <c r="O22" s="2914"/>
      <c r="P22" s="3516"/>
      <c r="Q22" s="1505"/>
      <c r="R22" s="713"/>
      <c r="S22" s="714"/>
      <c r="T22" s="713"/>
      <c r="U22" s="714"/>
      <c r="V22" s="713"/>
      <c r="W22" s="714"/>
      <c r="X22" s="1508"/>
      <c r="Y22" s="3509"/>
      <c r="Z22" s="1509"/>
      <c r="AA22" s="1506">
        <v>1</v>
      </c>
      <c r="AB22" s="1506">
        <v>1</v>
      </c>
      <c r="AC22" s="1506">
        <v>1</v>
      </c>
    </row>
    <row r="23" spans="1:29" ht="57">
      <c r="A23" s="386"/>
      <c r="B23" s="409" t="s">
        <v>1888</v>
      </c>
      <c r="C23" s="2055" t="str">
        <f>估价对象房地状况!C9</f>
        <v>区域自然环境：；人文环境；综合评价环境状况一般</v>
      </c>
      <c r="D23" s="408">
        <v>100</v>
      </c>
      <c r="E23" s="412"/>
      <c r="F23" s="408">
        <f>SUMIF(84:84,E24,85:85)-SUMIF(84:84,C24,85:85)+100</f>
        <v>100</v>
      </c>
      <c r="G23" s="410"/>
      <c r="H23" s="408">
        <f>SUMIF(84:84,G24,85:85)-SUMIF(84:84,C24,85:85)+100</f>
        <v>97</v>
      </c>
      <c r="I23" s="410"/>
      <c r="J23" s="408">
        <f>SUMIF(84:84,I24,85:85)-SUMIF(84:84,C24,85:85)+100</f>
        <v>97</v>
      </c>
      <c r="K23" s="403">
        <v>3</v>
      </c>
      <c r="L23" s="2920"/>
      <c r="M23" s="2914"/>
      <c r="N23" s="2914"/>
      <c r="O23" s="2914"/>
      <c r="P23" s="3516"/>
      <c r="Q23" s="1505" t="str">
        <f>B23</f>
        <v>自然及人文环境</v>
      </c>
      <c r="R23" s="713" t="s">
        <v>21</v>
      </c>
      <c r="S23" s="714">
        <f>F23</f>
        <v>100</v>
      </c>
      <c r="T23" s="713" t="s">
        <v>21</v>
      </c>
      <c r="U23" s="714">
        <f>H23</f>
        <v>97</v>
      </c>
      <c r="V23" s="713" t="s">
        <v>21</v>
      </c>
      <c r="W23" s="714">
        <f>J23</f>
        <v>97</v>
      </c>
      <c r="X23" s="1508"/>
      <c r="Y23" s="3509"/>
      <c r="Z23" s="1509" t="str">
        <f>Q23</f>
        <v>自然及人文环境</v>
      </c>
      <c r="AA23" s="1506">
        <f>D23/F23</f>
        <v>1</v>
      </c>
      <c r="AB23" s="1506">
        <f>D23/H23</f>
        <v>1.0309278350515463</v>
      </c>
      <c r="AC23" s="1506">
        <f>D23/J23</f>
        <v>1.0309278350515463</v>
      </c>
    </row>
    <row r="24" spans="1:29" ht="15">
      <c r="A24" s="386"/>
      <c r="B24" s="414"/>
      <c r="C24" s="405" t="s">
        <v>3186</v>
      </c>
      <c r="D24" s="406"/>
      <c r="E24" s="2052" t="s">
        <v>3186</v>
      </c>
      <c r="F24" s="406"/>
      <c r="G24" s="2053" t="s">
        <v>3187</v>
      </c>
      <c r="H24" s="406"/>
      <c r="I24" s="2053" t="s">
        <v>3187</v>
      </c>
      <c r="J24" s="406"/>
      <c r="K24" s="2054"/>
      <c r="L24" s="2920"/>
      <c r="M24" s="2914"/>
      <c r="N24" s="2914"/>
      <c r="O24" s="2914"/>
      <c r="P24" s="3516"/>
      <c r="Q24" s="1505"/>
      <c r="R24" s="713"/>
      <c r="S24" s="714"/>
      <c r="T24" s="713"/>
      <c r="U24" s="714"/>
      <c r="V24" s="713"/>
      <c r="W24" s="714"/>
      <c r="X24" s="1508"/>
      <c r="Y24" s="3509"/>
      <c r="Z24" s="1509"/>
      <c r="AA24" s="1506">
        <v>1</v>
      </c>
      <c r="AB24" s="1506">
        <v>1</v>
      </c>
      <c r="AC24" s="1506">
        <v>1</v>
      </c>
    </row>
    <row r="25" spans="1:29" ht="15" hidden="1">
      <c r="A25" s="386"/>
      <c r="B25" s="380" t="s">
        <v>2320</v>
      </c>
      <c r="C25" s="418"/>
      <c r="D25" s="393">
        <v>100</v>
      </c>
      <c r="E25" s="2061"/>
      <c r="F25" s="393">
        <f>SUMIF(86:86,E25,87:87)-SUMIF(86:86,C25,87:87)+100</f>
        <v>100</v>
      </c>
      <c r="G25" s="2062"/>
      <c r="H25" s="393">
        <f>SUMIF(86:86,G25,87:87)-SUMIF(86:86,C25,87:87)+100</f>
        <v>100</v>
      </c>
      <c r="I25" s="2062"/>
      <c r="J25" s="393">
        <f>SUMIF(86:86,I25,87:87)-SUMIF(86:86,C25,87:87)+100</f>
        <v>100</v>
      </c>
      <c r="K25" s="384">
        <v>2</v>
      </c>
      <c r="L25" s="2920"/>
      <c r="M25" s="2914"/>
      <c r="N25" s="2914"/>
      <c r="O25" s="2914"/>
      <c r="P25" s="3516"/>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509"/>
      <c r="Z25" s="1509" t="str">
        <f>Q25</f>
        <v>楼层-1</v>
      </c>
      <c r="AA25" s="1506">
        <f t="shared" ref="AA25:AA46" si="15">D25/F25</f>
        <v>1</v>
      </c>
      <c r="AB25" s="1506">
        <f t="shared" ref="AB25:AB46" si="16">D25/H25</f>
        <v>1</v>
      </c>
      <c r="AC25" s="1506">
        <f t="shared" ref="AC25:AC46" si="17">D25/J25</f>
        <v>1</v>
      </c>
    </row>
    <row r="26" spans="1:29" ht="15" hidden="1">
      <c r="A26" s="386"/>
      <c r="B26" s="380" t="s">
        <v>2321</v>
      </c>
      <c r="C26" s="418"/>
      <c r="D26" s="393">
        <v>100</v>
      </c>
      <c r="E26" s="2061"/>
      <c r="F26" s="393">
        <f>SUMIF(88:88,E26,89:89)-SUMIF(88:88,C26,89:89)+100</f>
        <v>100</v>
      </c>
      <c r="G26" s="2062"/>
      <c r="H26" s="393">
        <f>SUMIF(88:88,G26,89:89)-SUMIF(88:88,C26,89:89)+100</f>
        <v>100</v>
      </c>
      <c r="I26" s="2062"/>
      <c r="J26" s="393">
        <f>SUMIF(88:88,I26,89:89)-SUMIF(88:88,C26,89:89)+100</f>
        <v>100</v>
      </c>
      <c r="K26" s="384">
        <v>2</v>
      </c>
      <c r="L26" s="2920"/>
      <c r="M26" s="2914"/>
      <c r="N26" s="2914"/>
      <c r="O26" s="2914"/>
      <c r="P26" s="3516"/>
      <c r="Q26" s="1505" t="str">
        <f t="shared" si="11"/>
        <v>朝向</v>
      </c>
      <c r="R26" s="713" t="s">
        <v>21</v>
      </c>
      <c r="S26" s="714">
        <f t="shared" si="12"/>
        <v>100</v>
      </c>
      <c r="T26" s="713" t="s">
        <v>21</v>
      </c>
      <c r="U26" s="714">
        <f t="shared" si="13"/>
        <v>100</v>
      </c>
      <c r="V26" s="713" t="s">
        <v>21</v>
      </c>
      <c r="W26" s="714">
        <f t="shared" si="14"/>
        <v>100</v>
      </c>
      <c r="X26" s="1508"/>
      <c r="Y26" s="3509"/>
      <c r="Z26" s="1509" t="str">
        <f>Q26</f>
        <v>朝向</v>
      </c>
      <c r="AA26" s="1506">
        <f t="shared" si="15"/>
        <v>1</v>
      </c>
      <c r="AB26" s="1506">
        <f t="shared" si="16"/>
        <v>1</v>
      </c>
      <c r="AC26" s="1506">
        <f t="shared" si="17"/>
        <v>1</v>
      </c>
    </row>
    <row r="27" spans="1:29" s="113" customFormat="1" ht="15.75" thickBot="1">
      <c r="A27" s="389"/>
      <c r="B27" s="3242" t="s">
        <v>3220</v>
      </c>
      <c r="C27" s="3629" t="s">
        <v>3221</v>
      </c>
      <c r="D27" s="420">
        <v>100</v>
      </c>
      <c r="E27" s="423" t="s">
        <v>3211</v>
      </c>
      <c r="F27" s="420">
        <f>SUMIF(90:90,E27,91:91)-SUMIF(90:90,C27,91:91)+100</f>
        <v>103</v>
      </c>
      <c r="G27" s="421" t="s">
        <v>3211</v>
      </c>
      <c r="H27" s="420">
        <f>SUMIF(90:90,G27,91:91)-SUMIF(90:90,C27,91:91)+100</f>
        <v>103</v>
      </c>
      <c r="I27" s="421" t="s">
        <v>3211</v>
      </c>
      <c r="J27" s="420">
        <f>SUMIF(90:90,I27,91:91)-SUMIF(90:90,C27,91:91)+100</f>
        <v>103</v>
      </c>
      <c r="K27" s="2049"/>
      <c r="L27" s="2915"/>
      <c r="M27" s="2916"/>
      <c r="N27" s="2916"/>
      <c r="O27" s="2916"/>
      <c r="P27" s="3516"/>
      <c r="Q27" s="1496" t="str">
        <f t="shared" si="11"/>
        <v>楼层</v>
      </c>
      <c r="R27" s="709" t="s">
        <v>21</v>
      </c>
      <c r="S27" s="710">
        <f t="shared" si="12"/>
        <v>103</v>
      </c>
      <c r="T27" s="709" t="s">
        <v>21</v>
      </c>
      <c r="U27" s="710">
        <f t="shared" si="13"/>
        <v>103</v>
      </c>
      <c r="V27" s="709" t="s">
        <v>21</v>
      </c>
      <c r="W27" s="710">
        <f t="shared" si="14"/>
        <v>103</v>
      </c>
      <c r="X27" s="711"/>
      <c r="Y27" s="3509"/>
      <c r="Z27" s="55" t="str">
        <f>Q27</f>
        <v>楼层</v>
      </c>
      <c r="AA27" s="1506">
        <f t="shared" si="15"/>
        <v>0.970873786407767</v>
      </c>
      <c r="AB27" s="1506">
        <f t="shared" si="16"/>
        <v>0.970873786407767</v>
      </c>
      <c r="AC27" s="1506">
        <f t="shared" si="17"/>
        <v>0.970873786407767</v>
      </c>
    </row>
    <row r="28" spans="1:29" ht="15" hidden="1">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16"/>
      <c r="Q28" s="1505">
        <f t="shared" si="11"/>
        <v>111</v>
      </c>
      <c r="R28" s="713" t="s">
        <v>21</v>
      </c>
      <c r="S28" s="714">
        <f t="shared" si="12"/>
        <v>100</v>
      </c>
      <c r="T28" s="713" t="s">
        <v>21</v>
      </c>
      <c r="U28" s="714">
        <f t="shared" si="13"/>
        <v>100</v>
      </c>
      <c r="V28" s="713" t="s">
        <v>21</v>
      </c>
      <c r="W28" s="714">
        <f t="shared" si="14"/>
        <v>100</v>
      </c>
      <c r="X28" s="1508"/>
      <c r="Y28" s="3509"/>
      <c r="Z28" s="1509">
        <f t="shared" ref="Z28:Z46" si="18">Q28</f>
        <v>111</v>
      </c>
      <c r="AA28" s="1506">
        <f t="shared" si="15"/>
        <v>1</v>
      </c>
      <c r="AB28" s="1506">
        <f t="shared" si="16"/>
        <v>1</v>
      </c>
      <c r="AC28" s="1506">
        <f t="shared" si="17"/>
        <v>1</v>
      </c>
    </row>
    <row r="29" spans="1:29" ht="15" hidden="1">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16"/>
      <c r="Q29" s="1505">
        <f t="shared" si="11"/>
        <v>111</v>
      </c>
      <c r="R29" s="713" t="s">
        <v>21</v>
      </c>
      <c r="S29" s="714">
        <f t="shared" si="12"/>
        <v>100</v>
      </c>
      <c r="T29" s="713" t="s">
        <v>21</v>
      </c>
      <c r="U29" s="714">
        <f t="shared" si="13"/>
        <v>100</v>
      </c>
      <c r="V29" s="713" t="s">
        <v>21</v>
      </c>
      <c r="W29" s="714">
        <f t="shared" si="14"/>
        <v>100</v>
      </c>
      <c r="X29" s="1508"/>
      <c r="Y29" s="3509"/>
      <c r="Z29" s="1509">
        <f t="shared" si="18"/>
        <v>111</v>
      </c>
      <c r="AA29" s="1506">
        <f t="shared" si="15"/>
        <v>1</v>
      </c>
      <c r="AB29" s="1506">
        <f t="shared" si="16"/>
        <v>1</v>
      </c>
      <c r="AC29" s="1506">
        <f t="shared" si="17"/>
        <v>1</v>
      </c>
    </row>
    <row r="30" spans="1:29" ht="15" hidden="1">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16"/>
      <c r="Q30" s="1505">
        <f t="shared" si="11"/>
        <v>111</v>
      </c>
      <c r="R30" s="713" t="s">
        <v>21</v>
      </c>
      <c r="S30" s="714">
        <f t="shared" si="12"/>
        <v>100</v>
      </c>
      <c r="T30" s="713" t="s">
        <v>21</v>
      </c>
      <c r="U30" s="714">
        <f t="shared" si="13"/>
        <v>100</v>
      </c>
      <c r="V30" s="713" t="s">
        <v>21</v>
      </c>
      <c r="W30" s="714">
        <f t="shared" si="14"/>
        <v>100</v>
      </c>
      <c r="X30" s="1508"/>
      <c r="Y30" s="3509"/>
      <c r="Z30" s="1509">
        <f t="shared" si="18"/>
        <v>111</v>
      </c>
      <c r="AA30" s="1506">
        <f t="shared" si="15"/>
        <v>1</v>
      </c>
      <c r="AB30" s="1506">
        <f t="shared" si="16"/>
        <v>1</v>
      </c>
      <c r="AC30" s="1506">
        <f t="shared" si="17"/>
        <v>1</v>
      </c>
    </row>
    <row r="31" spans="1:29" ht="15.75" hidden="1"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16"/>
      <c r="Q31" s="1505">
        <f t="shared" si="11"/>
        <v>111</v>
      </c>
      <c r="R31" s="713" t="s">
        <v>21</v>
      </c>
      <c r="S31" s="714">
        <f t="shared" si="12"/>
        <v>100</v>
      </c>
      <c r="T31" s="713" t="s">
        <v>21</v>
      </c>
      <c r="U31" s="714">
        <f t="shared" si="13"/>
        <v>100</v>
      </c>
      <c r="V31" s="713" t="s">
        <v>21</v>
      </c>
      <c r="W31" s="714">
        <f t="shared" si="14"/>
        <v>100</v>
      </c>
      <c r="X31" s="1508"/>
      <c r="Y31" s="3509"/>
      <c r="Z31" s="1509">
        <f t="shared" si="18"/>
        <v>111</v>
      </c>
      <c r="AA31" s="1506">
        <f t="shared" si="15"/>
        <v>1</v>
      </c>
      <c r="AB31" s="1506">
        <f t="shared" si="16"/>
        <v>1</v>
      </c>
      <c r="AC31" s="1506">
        <f t="shared" si="17"/>
        <v>1</v>
      </c>
    </row>
    <row r="32" spans="1:29" ht="15">
      <c r="A32" s="398" t="s">
        <v>2322</v>
      </c>
      <c r="B32" s="67" t="s">
        <v>2323</v>
      </c>
      <c r="C32" s="2065" t="s">
        <v>3216</v>
      </c>
      <c r="D32" s="425">
        <v>100</v>
      </c>
      <c r="E32" s="2066" t="s">
        <v>3212</v>
      </c>
      <c r="F32" s="419">
        <f>SUMIF(100:100,E32,101:101)-SUMIF(100:100,C32,101:101)+100</f>
        <v>95</v>
      </c>
      <c r="G32" s="2065" t="s">
        <v>3216</v>
      </c>
      <c r="H32" s="425">
        <f>SUMIF(100:100,G32,101:101)-SUMIF(100:100,C32,101:101)+100</f>
        <v>100</v>
      </c>
      <c r="I32" s="2066" t="s">
        <v>3212</v>
      </c>
      <c r="J32" s="393">
        <f>SUMIF(100:100,I32,101:101)-SUMIF(100:100,C32,101:101)+100</f>
        <v>95</v>
      </c>
      <c r="K32" s="384">
        <v>5</v>
      </c>
      <c r="L32" s="2920"/>
      <c r="M32" s="2914"/>
      <c r="N32" s="2914"/>
      <c r="O32" s="2914"/>
      <c r="P32" s="3510" t="s">
        <v>2324</v>
      </c>
      <c r="Q32" s="1505" t="str">
        <f t="shared" si="11"/>
        <v>建筑类型</v>
      </c>
      <c r="R32" s="713" t="s">
        <v>21</v>
      </c>
      <c r="S32" s="714">
        <f t="shared" si="12"/>
        <v>95</v>
      </c>
      <c r="T32" s="713" t="s">
        <v>21</v>
      </c>
      <c r="U32" s="714">
        <f t="shared" si="13"/>
        <v>100</v>
      </c>
      <c r="V32" s="713" t="s">
        <v>21</v>
      </c>
      <c r="W32" s="714">
        <f t="shared" si="14"/>
        <v>95</v>
      </c>
      <c r="X32" s="1508"/>
      <c r="Y32" s="3513" t="s">
        <v>2324</v>
      </c>
      <c r="Z32" s="1509" t="str">
        <f t="shared" si="18"/>
        <v>建筑类型</v>
      </c>
      <c r="AA32" s="1506">
        <f t="shared" si="15"/>
        <v>1.0526315789473684</v>
      </c>
      <c r="AB32" s="1506">
        <f t="shared" si="16"/>
        <v>1</v>
      </c>
      <c r="AC32" s="1506">
        <f t="shared" si="17"/>
        <v>1.0526315789473684</v>
      </c>
    </row>
    <row r="33" spans="1:29" s="429" customFormat="1" ht="15">
      <c r="A33" s="426"/>
      <c r="B33" s="380" t="s">
        <v>2325</v>
      </c>
      <c r="C33" s="427">
        <f>'[2]13地块面积指标'!C30</f>
        <v>273800</v>
      </c>
      <c r="D33" s="131">
        <v>100</v>
      </c>
      <c r="E33" s="388">
        <v>67657.33</v>
      </c>
      <c r="F33" s="383">
        <f>LOOKUP(E33,103:103,104:104)-LOOKUP(C33,103:103,104:104)+100</f>
        <v>96</v>
      </c>
      <c r="G33" s="387">
        <v>187000</v>
      </c>
      <c r="H33" s="131">
        <f>LOOKUP(G33,103:103,104:104)-LOOKUP(C33,103:103,104:104)+100</f>
        <v>98</v>
      </c>
      <c r="I33" s="388">
        <v>107437</v>
      </c>
      <c r="J33" s="131">
        <f>LOOKUP(I33,103:103,104:104)-LOOKUP(C33,103:103,104:104)+100</f>
        <v>97</v>
      </c>
      <c r="K33" s="2049"/>
      <c r="L33" s="2919"/>
      <c r="M33" s="2921"/>
      <c r="N33" s="2921"/>
      <c r="O33" s="2921"/>
      <c r="P33" s="3511"/>
      <c r="Q33" s="715" t="str">
        <f t="shared" si="11"/>
        <v>项目建筑规模</v>
      </c>
      <c r="R33" s="716" t="s">
        <v>21</v>
      </c>
      <c r="S33" s="717">
        <f t="shared" si="12"/>
        <v>96</v>
      </c>
      <c r="T33" s="716" t="s">
        <v>21</v>
      </c>
      <c r="U33" s="717">
        <f t="shared" si="13"/>
        <v>98</v>
      </c>
      <c r="V33" s="716" t="s">
        <v>21</v>
      </c>
      <c r="W33" s="717">
        <f t="shared" si="14"/>
        <v>97</v>
      </c>
      <c r="X33" s="718"/>
      <c r="Y33" s="3513"/>
      <c r="Z33" s="719" t="str">
        <f t="shared" si="18"/>
        <v>项目建筑规模</v>
      </c>
      <c r="AA33" s="1506">
        <f t="shared" si="15"/>
        <v>1.0416666666666667</v>
      </c>
      <c r="AB33" s="1506">
        <f t="shared" si="16"/>
        <v>1.0204081632653061</v>
      </c>
      <c r="AC33" s="1506">
        <f t="shared" si="17"/>
        <v>1.0309278350515463</v>
      </c>
    </row>
    <row r="34" spans="1:29" ht="15">
      <c r="A34" s="430"/>
      <c r="B34" s="380" t="s">
        <v>2326</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v>2</v>
      </c>
      <c r="L34" s="2920"/>
      <c r="M34" s="2914"/>
      <c r="N34" s="2914"/>
      <c r="O34" s="2914"/>
      <c r="P34" s="3511"/>
      <c r="Q34" s="1505" t="str">
        <f t="shared" si="11"/>
        <v>建筑结构</v>
      </c>
      <c r="R34" s="713" t="s">
        <v>21</v>
      </c>
      <c r="S34" s="714">
        <f t="shared" si="12"/>
        <v>100</v>
      </c>
      <c r="T34" s="713" t="s">
        <v>21</v>
      </c>
      <c r="U34" s="714">
        <f t="shared" si="13"/>
        <v>100</v>
      </c>
      <c r="V34" s="713" t="s">
        <v>21</v>
      </c>
      <c r="W34" s="714">
        <f t="shared" si="14"/>
        <v>100</v>
      </c>
      <c r="X34" s="1508"/>
      <c r="Y34" s="3513"/>
      <c r="Z34" s="1509" t="str">
        <f t="shared" si="18"/>
        <v>建筑结构</v>
      </c>
      <c r="AA34" s="1506">
        <f t="shared" si="15"/>
        <v>1</v>
      </c>
      <c r="AB34" s="1506">
        <f t="shared" si="16"/>
        <v>1</v>
      </c>
      <c r="AC34" s="1506">
        <f t="shared" si="17"/>
        <v>1</v>
      </c>
    </row>
    <row r="35" spans="1:29" ht="15">
      <c r="A35" s="430"/>
      <c r="B35" s="380" t="s">
        <v>2327</v>
      </c>
      <c r="C35" s="2061" t="s">
        <v>3213</v>
      </c>
      <c r="D35" s="393">
        <v>100</v>
      </c>
      <c r="E35" s="2062" t="s">
        <v>3213</v>
      </c>
      <c r="F35" s="419">
        <f>SUMIF(107:107,E35,108:108)-SUMIF(107:107,C35,108:108)+100</f>
        <v>100</v>
      </c>
      <c r="G35" s="2061" t="s">
        <v>3213</v>
      </c>
      <c r="H35" s="393">
        <f>SUMIF(107:107,G35,108:108)-SUMIF(107:107,C35,108:108)+100</f>
        <v>100</v>
      </c>
      <c r="I35" s="2062" t="s">
        <v>3213</v>
      </c>
      <c r="J35" s="393">
        <f>SUMIF(107:107,I35,108:108)-SUMIF(107:107,C35,108:108)+100</f>
        <v>100</v>
      </c>
      <c r="K35" s="384">
        <v>2</v>
      </c>
      <c r="L35" s="2920"/>
      <c r="M35" s="2914"/>
      <c r="N35" s="2914"/>
      <c r="O35" s="2914"/>
      <c r="P35" s="3511"/>
      <c r="Q35" s="1505" t="str">
        <f t="shared" si="11"/>
        <v>建筑品质</v>
      </c>
      <c r="R35" s="713" t="s">
        <v>21</v>
      </c>
      <c r="S35" s="714">
        <f t="shared" si="12"/>
        <v>100</v>
      </c>
      <c r="T35" s="713" t="s">
        <v>21</v>
      </c>
      <c r="U35" s="714">
        <f t="shared" si="13"/>
        <v>100</v>
      </c>
      <c r="V35" s="713" t="s">
        <v>21</v>
      </c>
      <c r="W35" s="714">
        <f t="shared" si="14"/>
        <v>100</v>
      </c>
      <c r="X35" s="1508"/>
      <c r="Y35" s="3513"/>
      <c r="Z35" s="1509" t="str">
        <f t="shared" si="18"/>
        <v>建筑品质</v>
      </c>
      <c r="AA35" s="1506">
        <f t="shared" si="15"/>
        <v>1</v>
      </c>
      <c r="AB35" s="1506">
        <f t="shared" si="16"/>
        <v>1</v>
      </c>
      <c r="AC35" s="1506">
        <f t="shared" si="17"/>
        <v>1</v>
      </c>
    </row>
    <row r="36" spans="1:29" ht="15">
      <c r="A36" s="430"/>
      <c r="B36" s="380" t="s">
        <v>2328</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v>2</v>
      </c>
      <c r="L36" s="2920"/>
      <c r="M36" s="2914"/>
      <c r="N36" s="2914"/>
      <c r="O36" s="2914"/>
      <c r="P36" s="3511"/>
      <c r="Q36" s="1505" t="str">
        <f t="shared" si="11"/>
        <v>公共部分装修</v>
      </c>
      <c r="R36" s="713" t="s">
        <v>21</v>
      </c>
      <c r="S36" s="714">
        <f t="shared" si="12"/>
        <v>100</v>
      </c>
      <c r="T36" s="713" t="s">
        <v>21</v>
      </c>
      <c r="U36" s="714">
        <f t="shared" si="13"/>
        <v>100</v>
      </c>
      <c r="V36" s="713" t="s">
        <v>21</v>
      </c>
      <c r="W36" s="714">
        <f t="shared" si="14"/>
        <v>100</v>
      </c>
      <c r="X36" s="1508"/>
      <c r="Y36" s="3513"/>
      <c r="Z36" s="1509" t="str">
        <f t="shared" si="18"/>
        <v>公共部分装修</v>
      </c>
      <c r="AA36" s="1506">
        <f t="shared" si="15"/>
        <v>1</v>
      </c>
      <c r="AB36" s="1506">
        <f t="shared" si="16"/>
        <v>1</v>
      </c>
      <c r="AC36" s="1506">
        <f t="shared" si="17"/>
        <v>1</v>
      </c>
    </row>
    <row r="37" spans="1:29" s="113" customFormat="1" ht="15">
      <c r="A37" s="431"/>
      <c r="B37" s="380" t="s">
        <v>2329</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2</v>
      </c>
      <c r="L37" s="2915"/>
      <c r="M37" s="2916"/>
      <c r="N37" s="2916"/>
      <c r="O37" s="2916"/>
      <c r="P37" s="3511"/>
      <c r="Q37" s="1496" t="str">
        <f t="shared" si="11"/>
        <v>成新度</v>
      </c>
      <c r="R37" s="709" t="s">
        <v>21</v>
      </c>
      <c r="S37" s="710">
        <f t="shared" si="12"/>
        <v>100</v>
      </c>
      <c r="T37" s="709" t="s">
        <v>21</v>
      </c>
      <c r="U37" s="710">
        <f t="shared" si="13"/>
        <v>100</v>
      </c>
      <c r="V37" s="709" t="s">
        <v>21</v>
      </c>
      <c r="W37" s="710">
        <f t="shared" si="14"/>
        <v>100</v>
      </c>
      <c r="X37" s="711"/>
      <c r="Y37" s="3513"/>
      <c r="Z37" s="55" t="str">
        <f t="shared" si="18"/>
        <v>成新度</v>
      </c>
      <c r="AA37" s="712">
        <f t="shared" si="15"/>
        <v>1</v>
      </c>
      <c r="AB37" s="712">
        <f t="shared" si="16"/>
        <v>1</v>
      </c>
      <c r="AC37" s="712">
        <f t="shared" si="17"/>
        <v>1</v>
      </c>
    </row>
    <row r="38" spans="1:29" ht="15">
      <c r="A38" s="430"/>
      <c r="B38" s="380" t="s">
        <v>2330</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v>2</v>
      </c>
      <c r="L38" s="2920"/>
      <c r="M38" s="2914"/>
      <c r="N38" s="2914"/>
      <c r="O38" s="2914"/>
      <c r="P38" s="3511" t="s">
        <v>2324</v>
      </c>
      <c r="Q38" s="1505" t="str">
        <f t="shared" si="11"/>
        <v>物业管理</v>
      </c>
      <c r="R38" s="713" t="s">
        <v>21</v>
      </c>
      <c r="S38" s="714">
        <f t="shared" si="12"/>
        <v>100</v>
      </c>
      <c r="T38" s="713" t="s">
        <v>21</v>
      </c>
      <c r="U38" s="714">
        <f t="shared" si="13"/>
        <v>100</v>
      </c>
      <c r="V38" s="713" t="s">
        <v>21</v>
      </c>
      <c r="W38" s="714">
        <f t="shared" si="14"/>
        <v>100</v>
      </c>
      <c r="X38" s="1508"/>
      <c r="Y38" s="3513" t="s">
        <v>2324</v>
      </c>
      <c r="Z38" s="1509" t="str">
        <f t="shared" si="18"/>
        <v>物业管理</v>
      </c>
      <c r="AA38" s="1506">
        <f t="shared" si="15"/>
        <v>1</v>
      </c>
      <c r="AB38" s="1506">
        <f t="shared" si="16"/>
        <v>1</v>
      </c>
      <c r="AC38" s="1506">
        <f t="shared" si="17"/>
        <v>1</v>
      </c>
    </row>
    <row r="39" spans="1:29" ht="15">
      <c r="A39" s="430"/>
      <c r="B39" s="380" t="s">
        <v>2331</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v>2</v>
      </c>
      <c r="L39" s="2920"/>
      <c r="M39" s="2914"/>
      <c r="N39" s="2914"/>
      <c r="O39" s="2914"/>
      <c r="P39" s="3511"/>
      <c r="Q39" s="1505" t="str">
        <f t="shared" si="11"/>
        <v>市政基础设施</v>
      </c>
      <c r="R39" s="713" t="s">
        <v>21</v>
      </c>
      <c r="S39" s="714">
        <f t="shared" si="12"/>
        <v>100</v>
      </c>
      <c r="T39" s="713" t="s">
        <v>21</v>
      </c>
      <c r="U39" s="714">
        <f t="shared" si="13"/>
        <v>100</v>
      </c>
      <c r="V39" s="713" t="s">
        <v>21</v>
      </c>
      <c r="W39" s="714">
        <f t="shared" si="14"/>
        <v>100</v>
      </c>
      <c r="X39" s="1508"/>
      <c r="Y39" s="3513"/>
      <c r="Z39" s="1509" t="str">
        <f t="shared" si="18"/>
        <v>市政基础设施</v>
      </c>
      <c r="AA39" s="1506">
        <f t="shared" si="15"/>
        <v>1</v>
      </c>
      <c r="AB39" s="1506">
        <f t="shared" si="16"/>
        <v>1</v>
      </c>
      <c r="AC39" s="1506">
        <f t="shared" si="17"/>
        <v>1</v>
      </c>
    </row>
    <row r="40" spans="1:29" ht="15">
      <c r="A40" s="430"/>
      <c r="B40" s="380" t="s">
        <v>2332</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v>2</v>
      </c>
      <c r="L40" s="2920"/>
      <c r="M40" s="2914"/>
      <c r="N40" s="2914"/>
      <c r="O40" s="2914"/>
      <c r="P40" s="3511"/>
      <c r="Q40" s="1505" t="str">
        <f t="shared" si="11"/>
        <v>房型</v>
      </c>
      <c r="R40" s="713" t="s">
        <v>21</v>
      </c>
      <c r="S40" s="714">
        <f t="shared" si="12"/>
        <v>100</v>
      </c>
      <c r="T40" s="713" t="s">
        <v>21</v>
      </c>
      <c r="U40" s="714">
        <f t="shared" si="13"/>
        <v>100</v>
      </c>
      <c r="V40" s="713" t="s">
        <v>21</v>
      </c>
      <c r="W40" s="714">
        <f t="shared" si="14"/>
        <v>100</v>
      </c>
      <c r="X40" s="1508"/>
      <c r="Y40" s="3513"/>
      <c r="Z40" s="1509" t="str">
        <f t="shared" si="18"/>
        <v>房型</v>
      </c>
      <c r="AA40" s="1506">
        <f t="shared" si="15"/>
        <v>1</v>
      </c>
      <c r="AB40" s="1506">
        <f t="shared" si="16"/>
        <v>1</v>
      </c>
      <c r="AC40" s="1506">
        <f t="shared" si="17"/>
        <v>1</v>
      </c>
    </row>
    <row r="41" spans="1:29" s="429" customFormat="1" ht="28.5">
      <c r="A41" s="426"/>
      <c r="B41" s="380" t="s">
        <v>2333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9"/>
      <c r="M41" s="2921"/>
      <c r="N41" s="2921"/>
      <c r="O41" s="2921"/>
      <c r="P41" s="3511"/>
      <c r="Q41" s="715" t="str">
        <f t="shared" si="11"/>
        <v>单套/主力户型建筑面积</v>
      </c>
      <c r="R41" s="716" t="s">
        <v>21</v>
      </c>
      <c r="S41" s="717">
        <f t="shared" si="12"/>
        <v>100</v>
      </c>
      <c r="T41" s="716" t="s">
        <v>21</v>
      </c>
      <c r="U41" s="717">
        <f t="shared" si="13"/>
        <v>100</v>
      </c>
      <c r="V41" s="716" t="s">
        <v>21</v>
      </c>
      <c r="W41" s="717">
        <f t="shared" si="14"/>
        <v>100</v>
      </c>
      <c r="X41" s="718"/>
      <c r="Y41" s="3513"/>
      <c r="Z41" s="719" t="str">
        <f t="shared" si="18"/>
        <v>单套/主力户型建筑面积</v>
      </c>
      <c r="AA41" s="1506">
        <f t="shared" si="15"/>
        <v>1</v>
      </c>
      <c r="AB41" s="1506">
        <f t="shared" si="16"/>
        <v>1</v>
      </c>
      <c r="AC41" s="1506">
        <f t="shared" si="17"/>
        <v>1</v>
      </c>
    </row>
    <row r="42" spans="1:29" ht="15">
      <c r="A42" s="430"/>
      <c r="B42" s="380" t="s">
        <v>2334</v>
      </c>
      <c r="C42" s="3232" t="s">
        <v>3214</v>
      </c>
      <c r="D42" s="393">
        <v>100</v>
      </c>
      <c r="E42" s="2062" t="s">
        <v>3214</v>
      </c>
      <c r="F42" s="419">
        <f>SUMIF(122:122,E42,123:123)-SUMIF(122:122,C42,123:123)+100</f>
        <v>100</v>
      </c>
      <c r="G42" s="2061" t="s">
        <v>3214</v>
      </c>
      <c r="H42" s="393">
        <f>SUMIF(122:122,G42,123:123)-SUMIF(122:122,C42,123:123)+100</f>
        <v>100</v>
      </c>
      <c r="I42" s="2062" t="s">
        <v>3214</v>
      </c>
      <c r="J42" s="393">
        <f>SUMIF(122:122,I42,123:123)-SUMIF(122:122,C42,123:123)+100</f>
        <v>100</v>
      </c>
      <c r="K42" s="384">
        <v>5</v>
      </c>
      <c r="L42" s="2920"/>
      <c r="M42" s="2914"/>
      <c r="N42" s="2914"/>
      <c r="O42" s="2914"/>
      <c r="P42" s="3511"/>
      <c r="Q42" s="1505" t="str">
        <f t="shared" si="11"/>
        <v>内部装修</v>
      </c>
      <c r="R42" s="713" t="s">
        <v>21</v>
      </c>
      <c r="S42" s="714">
        <f t="shared" si="12"/>
        <v>100</v>
      </c>
      <c r="T42" s="713" t="s">
        <v>21</v>
      </c>
      <c r="U42" s="714">
        <f t="shared" si="13"/>
        <v>100</v>
      </c>
      <c r="V42" s="713" t="s">
        <v>21</v>
      </c>
      <c r="W42" s="714">
        <f t="shared" si="14"/>
        <v>100</v>
      </c>
      <c r="X42" s="1508"/>
      <c r="Y42" s="3513"/>
      <c r="Z42" s="1509" t="str">
        <f t="shared" si="18"/>
        <v>内部装修</v>
      </c>
      <c r="AA42" s="1506">
        <f t="shared" si="15"/>
        <v>1</v>
      </c>
      <c r="AB42" s="1506">
        <f t="shared" si="16"/>
        <v>1</v>
      </c>
      <c r="AC42" s="1506">
        <f t="shared" si="17"/>
        <v>1</v>
      </c>
    </row>
    <row r="43" spans="1:29" ht="15">
      <c r="A43" s="430"/>
      <c r="B43" s="380" t="s">
        <v>2335</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v>2</v>
      </c>
      <c r="L43" s="2920"/>
      <c r="M43" s="2914"/>
      <c r="N43" s="2914"/>
      <c r="O43" s="2914"/>
      <c r="P43" s="3511"/>
      <c r="Q43" s="1505" t="str">
        <f t="shared" si="11"/>
        <v>内部装修维护情况</v>
      </c>
      <c r="R43" s="713" t="s">
        <v>21</v>
      </c>
      <c r="S43" s="714">
        <f t="shared" si="12"/>
        <v>100</v>
      </c>
      <c r="T43" s="713" t="s">
        <v>21</v>
      </c>
      <c r="U43" s="714">
        <f t="shared" si="13"/>
        <v>100</v>
      </c>
      <c r="V43" s="713" t="s">
        <v>21</v>
      </c>
      <c r="W43" s="714">
        <f t="shared" si="14"/>
        <v>100</v>
      </c>
      <c r="X43" s="1508"/>
      <c r="Y43" s="3513"/>
      <c r="Z43" s="1509" t="str">
        <f t="shared" si="18"/>
        <v>内部装修维护情况</v>
      </c>
      <c r="AA43" s="1506">
        <f t="shared" si="15"/>
        <v>1</v>
      </c>
      <c r="AB43" s="1506">
        <f t="shared" si="16"/>
        <v>1</v>
      </c>
      <c r="AC43" s="1506">
        <f t="shared" si="17"/>
        <v>1</v>
      </c>
    </row>
    <row r="44" spans="1:29" s="113" customFormat="1" ht="15">
      <c r="A44" s="431"/>
      <c r="B44" s="3233" t="s">
        <v>3219</v>
      </c>
      <c r="C44" s="3230" t="s">
        <v>3215</v>
      </c>
      <c r="D44" s="131">
        <v>100</v>
      </c>
      <c r="E44" s="427" t="s">
        <v>3215</v>
      </c>
      <c r="F44" s="383">
        <f>SUMIF(126:126,E44,127:127)-SUMIF(126:126,C44,127:127)+100</f>
        <v>100</v>
      </c>
      <c r="G44" s="427" t="s">
        <v>3217</v>
      </c>
      <c r="H44" s="131">
        <f>SUMIF(126:126,G44,127:127)-SUMIF(126:126,C44,127:127)+100</f>
        <v>105</v>
      </c>
      <c r="I44" s="427" t="s">
        <v>3215</v>
      </c>
      <c r="J44" s="131">
        <f>SUMIF(126:126,I44,127:127)-SUMIF(126:126,C44,127:127)+100</f>
        <v>100</v>
      </c>
      <c r="K44" s="2049"/>
      <c r="L44" s="2915"/>
      <c r="M44" s="2916"/>
      <c r="N44" s="2916"/>
      <c r="O44" s="2916"/>
      <c r="P44" s="3511"/>
      <c r="Q44" s="1496" t="str">
        <f t="shared" si="11"/>
        <v>现状</v>
      </c>
      <c r="R44" s="709" t="s">
        <v>21</v>
      </c>
      <c r="S44" s="710">
        <f t="shared" si="12"/>
        <v>100</v>
      </c>
      <c r="T44" s="709" t="s">
        <v>21</v>
      </c>
      <c r="U44" s="710">
        <f t="shared" si="13"/>
        <v>105</v>
      </c>
      <c r="V44" s="709" t="s">
        <v>21</v>
      </c>
      <c r="W44" s="710">
        <f t="shared" si="14"/>
        <v>100</v>
      </c>
      <c r="X44" s="711"/>
      <c r="Y44" s="3513"/>
      <c r="Z44" s="55" t="str">
        <f t="shared" si="18"/>
        <v>现状</v>
      </c>
      <c r="AA44" s="712">
        <f t="shared" si="15"/>
        <v>1</v>
      </c>
      <c r="AB44" s="712">
        <f t="shared" si="16"/>
        <v>0.95238095238095233</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11"/>
      <c r="Q45" s="1505">
        <f t="shared" si="11"/>
        <v>111</v>
      </c>
      <c r="R45" s="713" t="s">
        <v>21</v>
      </c>
      <c r="S45" s="714">
        <f t="shared" si="12"/>
        <v>100</v>
      </c>
      <c r="T45" s="713" t="s">
        <v>21</v>
      </c>
      <c r="U45" s="714">
        <f t="shared" si="13"/>
        <v>100</v>
      </c>
      <c r="V45" s="713" t="s">
        <v>21</v>
      </c>
      <c r="W45" s="714">
        <f t="shared" si="14"/>
        <v>100</v>
      </c>
      <c r="X45" s="1508"/>
      <c r="Y45" s="3513"/>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12"/>
      <c r="Q46" s="1505">
        <f t="shared" si="11"/>
        <v>111</v>
      </c>
      <c r="R46" s="713" t="s">
        <v>20</v>
      </c>
      <c r="S46" s="714">
        <f t="shared" si="12"/>
        <v>100</v>
      </c>
      <c r="T46" s="713" t="s">
        <v>20</v>
      </c>
      <c r="U46" s="714">
        <f t="shared" si="13"/>
        <v>100</v>
      </c>
      <c r="V46" s="713" t="s">
        <v>20</v>
      </c>
      <c r="W46" s="714">
        <f t="shared" si="14"/>
        <v>100</v>
      </c>
      <c r="X46" s="1508"/>
      <c r="Y46" s="3514"/>
      <c r="Z46" s="1509">
        <f t="shared" si="18"/>
        <v>111</v>
      </c>
      <c r="AA46" s="1506">
        <f t="shared" si="15"/>
        <v>1</v>
      </c>
      <c r="AB46" s="1506">
        <f t="shared" si="16"/>
        <v>1</v>
      </c>
      <c r="AC46" s="1506">
        <f t="shared" si="17"/>
        <v>1</v>
      </c>
    </row>
    <row r="47" spans="1:29" ht="15">
      <c r="A47" s="437" t="s">
        <v>2336</v>
      </c>
      <c r="B47" s="438"/>
      <c r="C47" s="1287" t="s">
        <v>19</v>
      </c>
      <c r="D47" s="1288"/>
      <c r="E47" s="1289">
        <v>106736</v>
      </c>
      <c r="F47" s="1290"/>
      <c r="G47" s="1291">
        <v>99898</v>
      </c>
      <c r="H47" s="1292"/>
      <c r="I47" s="1289">
        <v>107069</v>
      </c>
      <c r="J47" s="1292"/>
      <c r="K47" s="2069"/>
      <c r="L47" s="2922"/>
      <c r="M47" s="2923"/>
      <c r="N47" s="2914"/>
      <c r="O47" s="2923"/>
      <c r="P47" s="3506" t="str">
        <f>A47</f>
        <v>成交单价（元/平方米）</v>
      </c>
      <c r="Q47" s="3506"/>
      <c r="R47" s="3507">
        <f>E47</f>
        <v>106736</v>
      </c>
      <c r="S47" s="3507"/>
      <c r="T47" s="3507">
        <f>G47</f>
        <v>99898</v>
      </c>
      <c r="U47" s="3507"/>
      <c r="V47" s="3507">
        <f>I47</f>
        <v>107069</v>
      </c>
      <c r="W47" s="3507"/>
      <c r="X47" s="698"/>
      <c r="Y47" s="720"/>
      <c r="Z47" s="698"/>
      <c r="AA47" s="698"/>
      <c r="AB47" s="698"/>
      <c r="AC47" s="698"/>
    </row>
    <row r="48" spans="1:29" ht="15.75" thickBot="1">
      <c r="A48" s="444" t="s">
        <v>2337</v>
      </c>
      <c r="B48" s="445"/>
      <c r="C48" s="1293">
        <f>R49</f>
        <v>113673</v>
      </c>
      <c r="D48" s="2507" t="s">
        <v>2819</v>
      </c>
      <c r="E48" s="1294">
        <f>R48</f>
        <v>117246</v>
      </c>
      <c r="F48" s="2508"/>
      <c r="G48" s="1293">
        <f>T48</f>
        <v>100175</v>
      </c>
      <c r="H48" s="2508"/>
      <c r="I48" s="1294">
        <f>V48</f>
        <v>123599</v>
      </c>
      <c r="J48" s="2508"/>
      <c r="K48" s="2509">
        <f>F48+H48+J48</f>
        <v>0</v>
      </c>
      <c r="L48" s="2922"/>
      <c r="M48" s="2923"/>
      <c r="N48" s="2923"/>
      <c r="O48" s="2923"/>
      <c r="P48" s="3506" t="str">
        <f>A48</f>
        <v>比较价值（元/平方米）</v>
      </c>
      <c r="Q48" s="3506"/>
      <c r="R48" s="3507">
        <f>IF(F1="售价",ROUND(PRODUCT(R47,AA7:AA46),0),ROUND(PRODUCT(R47,AA7:AA46),1))</f>
        <v>117246</v>
      </c>
      <c r="S48" s="3507"/>
      <c r="T48" s="3507">
        <f>IF(F1="售价",ROUND(PRODUCT(T47,AB7:AB46),0),ROUND(PRODUCT(T47,AB7:AB46),1))</f>
        <v>100175</v>
      </c>
      <c r="U48" s="3507"/>
      <c r="V48" s="3507">
        <f>IF(F1="售价",ROUND(PRODUCT(V47,AC7:AC46),0),ROUND(PRODUCT(V47,AC7:AC46),1))</f>
        <v>123599</v>
      </c>
      <c r="W48" s="3507"/>
      <c r="X48" s="698"/>
      <c r="Y48" s="698"/>
      <c r="Z48" s="698"/>
      <c r="AA48" s="698"/>
      <c r="AB48" s="698"/>
      <c r="AC48" s="698"/>
    </row>
    <row r="49" spans="1:29" ht="15.75" thickBot="1">
      <c r="A49" s="448" t="s">
        <v>2338</v>
      </c>
      <c r="B49" s="449"/>
      <c r="C49" s="1295">
        <f>R49</f>
        <v>113673</v>
      </c>
      <c r="D49" s="1296"/>
      <c r="E49" s="1296"/>
      <c r="F49" s="1296"/>
      <c r="G49" s="1296"/>
      <c r="H49" s="1296"/>
      <c r="I49" s="1296"/>
      <c r="J49" s="1296"/>
      <c r="K49" s="2070"/>
      <c r="L49" s="2922"/>
      <c r="M49" s="2923"/>
      <c r="N49" s="2923"/>
      <c r="O49" s="2923"/>
      <c r="P49" s="3503" t="str">
        <f>A49</f>
        <v>估价对象XX用房的比较价值（楼面单价，元/平方米）</v>
      </c>
      <c r="Q49" s="3504"/>
      <c r="R49" s="3505">
        <f>IF(F1="售价",ROUND(IF(D48="简单平均",AVERAGE(R48:V48),R48*F48+T48*H48+V48*J48),0),ROUND(IF(D48="简单平均",AVERAGE(R48:V48),R48*F48+T48*H48+V48*J48),1))</f>
        <v>113673</v>
      </c>
      <c r="S49" s="3505"/>
      <c r="T49" s="3505"/>
      <c r="U49" s="3505"/>
      <c r="V49" s="3505"/>
      <c r="W49" s="3505"/>
      <c r="X49" s="698"/>
      <c r="Y49" s="698"/>
      <c r="Z49" s="698"/>
      <c r="AA49" s="698"/>
      <c r="AB49" s="698"/>
      <c r="AC49" s="698"/>
    </row>
    <row r="50" spans="1:29">
      <c r="A50" s="2923"/>
      <c r="B50" s="2923"/>
      <c r="C50" s="2923" t="s">
        <v>3226</v>
      </c>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2339</v>
      </c>
      <c r="D52" s="454"/>
      <c r="E52" s="455">
        <f>IF(E47&lt;E48,E48/E47-1,E47/E48-1)</f>
        <v>9.8467246289911659E-2</v>
      </c>
      <c r="F52" s="456" t="str">
        <f>IF(OR(E52&gt;=0.3,E52&lt;=-0.3),"超过30%","")</f>
        <v/>
      </c>
      <c r="G52" s="455">
        <f>IF(G47&lt;G48,G48/G47-1,G47/G48-1)</f>
        <v>2.7728282848504815E-3</v>
      </c>
      <c r="H52" s="456" t="str">
        <f>IF(OR(G52&gt;=0.3,G52&lt;=-0.3),"超过30%","")</f>
        <v/>
      </c>
      <c r="I52" s="455">
        <f>IF(I47&lt;I48,I48/I47-1,I47/I48-1)</f>
        <v>0.15438642370807609</v>
      </c>
      <c r="J52" s="456" t="str">
        <f>IF(OR(I52&gt;=0.3,I52&lt;=-0.3),"超过30%","")</f>
        <v/>
      </c>
      <c r="K52" s="2928"/>
      <c r="L52" s="2924"/>
      <c r="M52" s="2923"/>
      <c r="N52" s="2923"/>
      <c r="O52" s="2923"/>
    </row>
    <row r="53" spans="1:29" ht="13.5" customHeight="1">
      <c r="A53" s="2923"/>
      <c r="B53" s="2923"/>
      <c r="C53" s="453" t="s">
        <v>2340</v>
      </c>
      <c r="D53" s="457"/>
      <c r="E53" s="455">
        <f>IF(E48&lt;G48,G48/E48-1,E48/G48-1)</f>
        <v>0.17041177938607444</v>
      </c>
      <c r="F53" s="456" t="str">
        <f>IF(OR(E53&gt;=0.2,E53&lt;=-0.2),"超过20%","")</f>
        <v/>
      </c>
      <c r="G53" s="455">
        <f>IF(G48&lt;I48,I48/G48-1,G48/I48-1)</f>
        <v>0.23383079610681312</v>
      </c>
      <c r="H53" s="456" t="str">
        <f>IF(OR(G53&gt;=0.2,G53&lt;=-0.2),"超过20%","")</f>
        <v>超过20%</v>
      </c>
      <c r="I53" s="455">
        <f>IF(I48&lt;E48,E48/I48-1,I48/E48-1)</f>
        <v>5.4185217406137465E-2</v>
      </c>
      <c r="J53" s="456" t="str">
        <f>IF(OR(I53&gt;=0.2,I53&lt;=-0.2),"超过20%","")</f>
        <v/>
      </c>
      <c r="K53" s="2928"/>
      <c r="L53" s="2924"/>
      <c r="M53" s="2923"/>
      <c r="N53" s="2923"/>
      <c r="O53" s="2923"/>
    </row>
    <row r="54" spans="1:29" s="458" customFormat="1" ht="13.5" customHeight="1">
      <c r="A54" s="2926"/>
      <c r="B54" s="2926"/>
      <c r="C54" s="453" t="s">
        <v>2341</v>
      </c>
      <c r="D54" s="457"/>
      <c r="E54" s="455">
        <f>IF(E47&lt;G47,G47/E47-1,E47/G47-1)</f>
        <v>6.844981881519141E-2</v>
      </c>
      <c r="F54" s="456" t="str">
        <f>IF(OR(E54&gt;=0.3,E54&lt;=-0.3),"超过30%","")</f>
        <v/>
      </c>
      <c r="G54" s="455">
        <f>IF(G47&lt;I47,I47/G47-1,G47/I47-1)</f>
        <v>7.1783218883261002E-2</v>
      </c>
      <c r="H54" s="456" t="str">
        <f>IF(OR(G54&gt;=0.3,G54&lt;=-0.3),"超过30%","")</f>
        <v/>
      </c>
      <c r="I54" s="455">
        <f>IF(I47&lt;E47,E47/I47-1,I47/E47-1)</f>
        <v>3.1198470993853977E-3</v>
      </c>
      <c r="J54" s="456" t="str">
        <f>IF(OR(I54&gt;=0.3,I54&lt;=-0.3),"超过30%","")</f>
        <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2342</v>
      </c>
      <c r="B57" s="698"/>
      <c r="C57" s="703"/>
      <c r="D57" s="703"/>
      <c r="E57" s="703"/>
      <c r="F57" s="704"/>
      <c r="G57" s="704"/>
      <c r="H57" s="703"/>
      <c r="I57" s="703"/>
      <c r="J57" s="703"/>
      <c r="K57" s="1071"/>
      <c r="L57" s="1072"/>
      <c r="M57" s="1070"/>
      <c r="N57" s="1070"/>
      <c r="O57" s="1070"/>
      <c r="P57" s="2073"/>
      <c r="Q57" s="460"/>
    </row>
    <row r="58" spans="1:29" s="464" customFormat="1" ht="15">
      <c r="A58" s="461" t="s">
        <v>2343</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3" customFormat="1" ht="15">
      <c r="A59" s="465"/>
      <c r="B59" s="2074"/>
      <c r="C59" s="1316">
        <v>100</v>
      </c>
      <c r="D59" s="467">
        <v>100</v>
      </c>
      <c r="E59" s="467">
        <v>100</v>
      </c>
      <c r="F59" s="467">
        <v>100</v>
      </c>
      <c r="G59" s="467">
        <v>100</v>
      </c>
      <c r="H59" s="467">
        <v>100</v>
      </c>
      <c r="I59" s="467">
        <v>100</v>
      </c>
      <c r="J59" s="467">
        <v>100</v>
      </c>
      <c r="K59" s="467">
        <v>100</v>
      </c>
      <c r="L59" s="468"/>
      <c r="M59" s="469"/>
      <c r="N59" s="468"/>
      <c r="O59" s="469"/>
      <c r="P59" s="2075"/>
    </row>
    <row r="60" spans="1:29" s="113" customFormat="1" ht="15.75" thickBot="1">
      <c r="A60" s="471" t="s">
        <v>2344</v>
      </c>
      <c r="B60" s="472"/>
      <c r="C60" s="473"/>
      <c r="D60" s="474"/>
      <c r="E60" s="474"/>
      <c r="F60" s="474"/>
      <c r="G60" s="474"/>
      <c r="H60" s="474"/>
      <c r="I60" s="474"/>
      <c r="J60" s="474"/>
      <c r="K60" s="474"/>
      <c r="L60" s="474"/>
      <c r="M60" s="475"/>
      <c r="N60" s="474"/>
      <c r="O60" s="475"/>
      <c r="P60" s="2075"/>
      <c r="Q60" s="460"/>
    </row>
    <row r="61" spans="1:29" s="113" customFormat="1" ht="15">
      <c r="A61" s="477" t="s">
        <v>2345</v>
      </c>
      <c r="B61" s="466"/>
      <c r="C61" s="478" t="s">
        <v>2346</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2347</v>
      </c>
      <c r="B63" s="484" t="s">
        <v>2313</v>
      </c>
      <c r="C63" s="485" t="str">
        <f>C9</f>
        <v>住宅</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2316</v>
      </c>
      <c r="C65" s="495" t="s">
        <v>2348</v>
      </c>
      <c r="D65" s="495" t="s">
        <v>2349</v>
      </c>
      <c r="E65" s="495" t="s">
        <v>2350</v>
      </c>
      <c r="F65" s="495" t="s">
        <v>2351</v>
      </c>
      <c r="G65" s="495" t="s">
        <v>2352</v>
      </c>
      <c r="H65" s="495" t="s">
        <v>2353</v>
      </c>
      <c r="I65" s="495" t="s">
        <v>2354</v>
      </c>
      <c r="J65" s="495"/>
      <c r="K65" s="496"/>
      <c r="L65" s="497"/>
      <c r="M65" s="498"/>
      <c r="N65" s="1063"/>
      <c r="O65" s="1063"/>
      <c r="P65" s="2077"/>
      <c r="Q65" s="460"/>
    </row>
    <row r="66" spans="1:17" ht="15.75" thickBot="1">
      <c r="A66" s="490"/>
      <c r="B66" s="499"/>
      <c r="C66" s="500">
        <v>100</v>
      </c>
      <c r="D66" s="500">
        <f t="shared" ref="D66:I66" si="20">C66-$K10</f>
        <v>99</v>
      </c>
      <c r="E66" s="500">
        <f t="shared" si="20"/>
        <v>98</v>
      </c>
      <c r="F66" s="500">
        <f t="shared" si="20"/>
        <v>97</v>
      </c>
      <c r="G66" s="500">
        <f t="shared" si="20"/>
        <v>96</v>
      </c>
      <c r="H66" s="500">
        <f t="shared" si="20"/>
        <v>95</v>
      </c>
      <c r="I66" s="500">
        <f t="shared" si="20"/>
        <v>94</v>
      </c>
      <c r="J66" s="500"/>
      <c r="K66" s="500"/>
      <c r="L66" s="500"/>
      <c r="M66" s="501"/>
      <c r="N66" s="1064"/>
      <c r="O66" s="1064"/>
      <c r="P66" s="2077"/>
      <c r="Q66" s="460"/>
    </row>
    <row r="67" spans="1:17" ht="15.75" thickTop="1">
      <c r="A67" s="490"/>
      <c r="B67" s="502" t="s">
        <v>2317</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v>0</v>
      </c>
      <c r="D68" s="505">
        <v>1</v>
      </c>
      <c r="E68" s="505">
        <v>2</v>
      </c>
      <c r="F68" s="505">
        <v>3</v>
      </c>
      <c r="G68" s="505">
        <v>4</v>
      </c>
      <c r="H68" s="505">
        <v>5</v>
      </c>
      <c r="I68" s="505"/>
      <c r="J68" s="505"/>
      <c r="K68" s="506"/>
      <c r="L68" s="507"/>
      <c r="M68" s="508"/>
      <c r="N68" s="1063"/>
      <c r="O68" s="1063"/>
      <c r="P68" s="2077"/>
      <c r="Q68" s="460"/>
    </row>
    <row r="69" spans="1:17" ht="15.75" thickBot="1">
      <c r="A69" s="490"/>
      <c r="B69" s="491"/>
      <c r="C69" s="500">
        <v>100</v>
      </c>
      <c r="D69" s="500">
        <f t="shared" ref="D69:M69" si="22">C69-$K11</f>
        <v>97</v>
      </c>
      <c r="E69" s="500">
        <f t="shared" si="22"/>
        <v>94</v>
      </c>
      <c r="F69" s="500">
        <f t="shared" si="22"/>
        <v>91</v>
      </c>
      <c r="G69" s="500">
        <f t="shared" si="22"/>
        <v>88</v>
      </c>
      <c r="H69" s="500">
        <f t="shared" si="22"/>
        <v>85</v>
      </c>
      <c r="I69" s="500">
        <f t="shared" si="22"/>
        <v>82</v>
      </c>
      <c r="J69" s="500">
        <f t="shared" si="22"/>
        <v>79</v>
      </c>
      <c r="K69" s="500">
        <f t="shared" si="22"/>
        <v>76</v>
      </c>
      <c r="L69" s="500">
        <f t="shared" si="22"/>
        <v>73</v>
      </c>
      <c r="M69" s="501">
        <f t="shared" si="22"/>
        <v>70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2318</v>
      </c>
      <c r="B76" s="484" t="s">
        <v>2355</v>
      </c>
      <c r="C76" s="529" t="s">
        <v>2356</v>
      </c>
      <c r="D76" s="529" t="s">
        <v>2357</v>
      </c>
      <c r="E76" s="529" t="s">
        <v>2358</v>
      </c>
      <c r="F76" s="529" t="s">
        <v>2359</v>
      </c>
      <c r="G76" s="529" t="s">
        <v>2360</v>
      </c>
      <c r="H76" s="485"/>
      <c r="I76" s="485"/>
      <c r="J76" s="485"/>
      <c r="K76" s="530"/>
      <c r="L76" s="531"/>
      <c r="M76" s="532"/>
      <c r="N76" s="1063"/>
      <c r="O76" s="1063"/>
      <c r="P76" s="2081"/>
      <c r="Q76" s="460"/>
    </row>
    <row r="77" spans="1:17" ht="15.75" thickBot="1">
      <c r="A77" s="490"/>
      <c r="B77" s="499"/>
      <c r="C77" s="500">
        <v>100</v>
      </c>
      <c r="D77" s="500">
        <f>C77-$K15</f>
        <v>97</v>
      </c>
      <c r="E77" s="500">
        <f>D77-$K15</f>
        <v>94</v>
      </c>
      <c r="F77" s="500">
        <f>E77-$K15</f>
        <v>91</v>
      </c>
      <c r="G77" s="500">
        <f>F77-$K15</f>
        <v>88</v>
      </c>
      <c r="H77" s="500"/>
      <c r="I77" s="500"/>
      <c r="J77" s="500"/>
      <c r="K77" s="500"/>
      <c r="L77" s="500"/>
      <c r="M77" s="501"/>
      <c r="N77" s="1064"/>
      <c r="O77" s="1064"/>
      <c r="P77" s="2077"/>
      <c r="Q77" s="460"/>
    </row>
    <row r="78" spans="1:17" ht="15.75" thickTop="1">
      <c r="A78" s="490"/>
      <c r="B78" s="494" t="s">
        <v>2361</v>
      </c>
      <c r="C78" s="534" t="s">
        <v>2356</v>
      </c>
      <c r="D78" s="534" t="s">
        <v>2357</v>
      </c>
      <c r="E78" s="534" t="s">
        <v>2358</v>
      </c>
      <c r="F78" s="534" t="s">
        <v>2359</v>
      </c>
      <c r="G78" s="534" t="s">
        <v>2360</v>
      </c>
      <c r="H78" s="495"/>
      <c r="I78" s="495"/>
      <c r="J78" s="495"/>
      <c r="K78" s="496"/>
      <c r="L78" s="497"/>
      <c r="M78" s="498"/>
      <c r="N78" s="1063"/>
      <c r="O78" s="1063"/>
      <c r="P78" s="2077"/>
      <c r="Q78" s="460"/>
    </row>
    <row r="79" spans="1:17" ht="15.75" thickBot="1">
      <c r="A79" s="490"/>
      <c r="B79" s="499"/>
      <c r="C79" s="500">
        <v>100</v>
      </c>
      <c r="D79" s="500">
        <f>C79-$K17</f>
        <v>97</v>
      </c>
      <c r="E79" s="500">
        <f>D79-$K17</f>
        <v>94</v>
      </c>
      <c r="F79" s="500">
        <f>E79-$K17</f>
        <v>91</v>
      </c>
      <c r="G79" s="500">
        <f>F79-$K17</f>
        <v>88</v>
      </c>
      <c r="H79" s="500"/>
      <c r="I79" s="500"/>
      <c r="J79" s="500"/>
      <c r="K79" s="500"/>
      <c r="L79" s="500"/>
      <c r="M79" s="501"/>
      <c r="N79" s="1064"/>
      <c r="O79" s="1064"/>
      <c r="P79" s="2077"/>
      <c r="Q79" s="460"/>
    </row>
    <row r="80" spans="1:17" ht="15.75" thickTop="1">
      <c r="A80" s="490"/>
      <c r="B80" s="494" t="s">
        <v>2362</v>
      </c>
      <c r="C80" s="534" t="s">
        <v>2356</v>
      </c>
      <c r="D80" s="534" t="s">
        <v>2357</v>
      </c>
      <c r="E80" s="534" t="s">
        <v>2358</v>
      </c>
      <c r="F80" s="534" t="s">
        <v>2359</v>
      </c>
      <c r="G80" s="534" t="s">
        <v>2360</v>
      </c>
      <c r="H80" s="495"/>
      <c r="I80" s="495"/>
      <c r="J80" s="495"/>
      <c r="K80" s="496"/>
      <c r="L80" s="497"/>
      <c r="M80" s="498"/>
      <c r="N80" s="1063"/>
      <c r="O80" s="1063"/>
      <c r="P80" s="2077"/>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077"/>
      <c r="Q81" s="460"/>
    </row>
    <row r="82" spans="1:17" ht="15.75" thickTop="1">
      <c r="A82" s="490"/>
      <c r="B82" s="502" t="s">
        <v>1887</v>
      </c>
      <c r="C82" s="495" t="s">
        <v>2363</v>
      </c>
      <c r="D82" s="495" t="s">
        <v>2364</v>
      </c>
      <c r="E82" s="495" t="s">
        <v>2365</v>
      </c>
      <c r="F82" s="495" t="s">
        <v>2366</v>
      </c>
      <c r="G82" s="495" t="s">
        <v>2367</v>
      </c>
      <c r="H82" s="495"/>
      <c r="I82" s="495"/>
      <c r="J82" s="495"/>
      <c r="K82" s="495"/>
      <c r="L82" s="495"/>
      <c r="M82" s="1262"/>
      <c r="N82" s="1064"/>
      <c r="O82" s="1064"/>
      <c r="P82" s="2077"/>
      <c r="Q82" s="460"/>
    </row>
    <row r="83" spans="1:17" ht="15.75" thickBot="1">
      <c r="A83" s="490"/>
      <c r="B83" s="502"/>
      <c r="C83" s="615">
        <v>100</v>
      </c>
      <c r="D83" s="615">
        <f>C83-$K21</f>
        <v>97</v>
      </c>
      <c r="E83" s="615">
        <f t="shared" ref="E83:G83" si="23">D83-$K21</f>
        <v>94</v>
      </c>
      <c r="F83" s="615">
        <f t="shared" si="23"/>
        <v>91</v>
      </c>
      <c r="G83" s="615">
        <f t="shared" si="23"/>
        <v>88</v>
      </c>
      <c r="H83" s="615"/>
      <c r="I83" s="615"/>
      <c r="J83" s="615"/>
      <c r="K83" s="615"/>
      <c r="L83" s="615"/>
      <c r="M83" s="408"/>
      <c r="N83" s="1064"/>
      <c r="O83" s="1064"/>
      <c r="P83" s="2077"/>
      <c r="Q83" s="460"/>
    </row>
    <row r="84" spans="1:17" ht="15.75" thickTop="1">
      <c r="A84" s="490"/>
      <c r="B84" s="494" t="s">
        <v>2368</v>
      </c>
      <c r="C84" s="534" t="s">
        <v>2356</v>
      </c>
      <c r="D84" s="534" t="s">
        <v>2357</v>
      </c>
      <c r="E84" s="534" t="s">
        <v>2358</v>
      </c>
      <c r="F84" s="534" t="s">
        <v>2359</v>
      </c>
      <c r="G84" s="534" t="s">
        <v>2360</v>
      </c>
      <c r="H84" s="495"/>
      <c r="I84" s="495"/>
      <c r="J84" s="495"/>
      <c r="K84" s="496"/>
      <c r="L84" s="497"/>
      <c r="M84" s="498"/>
      <c r="N84" s="1063"/>
      <c r="O84" s="1063"/>
      <c r="P84" s="2077"/>
      <c r="Q84" s="460"/>
    </row>
    <row r="85" spans="1:17" ht="15.75" thickBot="1">
      <c r="A85" s="490"/>
      <c r="B85" s="499"/>
      <c r="C85" s="500">
        <v>100</v>
      </c>
      <c r="D85" s="500">
        <f>C85-$K23</f>
        <v>97</v>
      </c>
      <c r="E85" s="500">
        <f>D85-$K23</f>
        <v>94</v>
      </c>
      <c r="F85" s="500">
        <f>E85-$K23</f>
        <v>91</v>
      </c>
      <c r="G85" s="500">
        <f>F85-$K23</f>
        <v>88</v>
      </c>
      <c r="H85" s="500"/>
      <c r="I85" s="500"/>
      <c r="J85" s="500"/>
      <c r="K85" s="500"/>
      <c r="L85" s="500"/>
      <c r="M85" s="501"/>
      <c r="N85" s="1064"/>
      <c r="O85" s="1064"/>
      <c r="P85" s="2077"/>
      <c r="Q85" s="460"/>
    </row>
    <row r="86" spans="1:17" s="113" customFormat="1" ht="15.75" thickTop="1">
      <c r="A86" s="535"/>
      <c r="B86" s="494" t="s">
        <v>2369</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2370</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98</v>
      </c>
      <c r="E89" s="500">
        <f t="shared" si="25"/>
        <v>96</v>
      </c>
      <c r="F89" s="500">
        <f t="shared" si="25"/>
        <v>94</v>
      </c>
      <c r="G89" s="500">
        <f t="shared" si="25"/>
        <v>92</v>
      </c>
      <c r="H89" s="500">
        <f t="shared" si="25"/>
        <v>90</v>
      </c>
      <c r="I89" s="500">
        <f t="shared" si="25"/>
        <v>88</v>
      </c>
      <c r="J89" s="500">
        <f t="shared" si="25"/>
        <v>86</v>
      </c>
      <c r="K89" s="500">
        <f t="shared" si="25"/>
        <v>84</v>
      </c>
      <c r="L89" s="500">
        <f t="shared" si="25"/>
        <v>82</v>
      </c>
      <c r="M89" s="500">
        <f t="shared" si="25"/>
        <v>80</v>
      </c>
      <c r="N89" s="1064"/>
      <c r="O89" s="1064"/>
      <c r="P89" s="2077"/>
      <c r="Q89" s="460"/>
    </row>
    <row r="90" spans="1:17" s="429" customFormat="1" ht="15.75" thickTop="1">
      <c r="A90" s="509"/>
      <c r="B90" s="494" t="str">
        <f>B27</f>
        <v>楼层</v>
      </c>
      <c r="C90" s="3229" t="s">
        <v>3222</v>
      </c>
      <c r="D90" s="3229" t="s">
        <v>3223</v>
      </c>
      <c r="E90" s="3229" t="s">
        <v>3221</v>
      </c>
      <c r="F90" s="510"/>
      <c r="G90" s="510"/>
      <c r="H90" s="511"/>
      <c r="I90" s="511"/>
      <c r="J90" s="511"/>
      <c r="K90" s="511"/>
      <c r="L90" s="512"/>
      <c r="M90" s="513"/>
      <c r="N90" s="1065"/>
      <c r="O90" s="1065"/>
      <c r="P90" s="2078"/>
      <c r="Q90" s="515"/>
    </row>
    <row r="91" spans="1:17" s="429" customFormat="1" ht="15.75" thickBot="1">
      <c r="A91" s="509"/>
      <c r="B91" s="499"/>
      <c r="C91" s="516">
        <v>100</v>
      </c>
      <c r="D91" s="516">
        <v>97</v>
      </c>
      <c r="E91" s="516">
        <v>94</v>
      </c>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2322</v>
      </c>
      <c r="B100" s="484" t="s">
        <v>2371</v>
      </c>
      <c r="C100" s="3227" t="s">
        <v>3224</v>
      </c>
      <c r="D100" s="3227" t="s">
        <v>3216</v>
      </c>
      <c r="E100" s="3227" t="s">
        <v>3212</v>
      </c>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64"/>
      <c r="O101" s="1064"/>
      <c r="P101" s="2077"/>
      <c r="Q101" s="460"/>
    </row>
    <row r="102" spans="1:17" ht="29.25" thickTop="1">
      <c r="A102" s="490"/>
      <c r="B102" s="494" t="s">
        <v>2372</v>
      </c>
      <c r="C102" s="534" t="str">
        <f>C103&amp;"(含)"&amp;"-"&amp;D103</f>
        <v>0(含)-50000</v>
      </c>
      <c r="D102" s="534" t="str">
        <f t="shared" ref="D102:L102" si="27">D103&amp;"(含)"&amp;"-"&amp;E103</f>
        <v>50000(含)-100000</v>
      </c>
      <c r="E102" s="534" t="str">
        <f t="shared" si="27"/>
        <v>100000(含)-150000</v>
      </c>
      <c r="F102" s="534" t="str">
        <f t="shared" si="27"/>
        <v>150000(含)-200000</v>
      </c>
      <c r="G102" s="534" t="str">
        <f t="shared" si="27"/>
        <v>200000(含)-250000</v>
      </c>
      <c r="H102" s="534" t="str">
        <f t="shared" si="27"/>
        <v>250000(含)-300000</v>
      </c>
      <c r="I102" s="534" t="str">
        <f t="shared" si="27"/>
        <v>300000(含)-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v>0</v>
      </c>
      <c r="D103" s="551">
        <v>50000</v>
      </c>
      <c r="E103" s="551">
        <v>100000</v>
      </c>
      <c r="F103" s="551">
        <v>150000</v>
      </c>
      <c r="G103" s="551">
        <v>200000</v>
      </c>
      <c r="H103" s="551">
        <v>250000</v>
      </c>
      <c r="I103" s="551">
        <v>300000</v>
      </c>
      <c r="J103" s="552"/>
      <c r="K103" s="552"/>
      <c r="L103" s="553"/>
      <c r="M103" s="554"/>
      <c r="N103" s="1065"/>
      <c r="O103" s="1065"/>
      <c r="P103" s="2078"/>
      <c r="Q103" s="515"/>
    </row>
    <row r="104" spans="1:17" s="429" customFormat="1" ht="15.75" thickBot="1">
      <c r="A104" s="509"/>
      <c r="B104" s="499"/>
      <c r="C104" s="526">
        <v>100</v>
      </c>
      <c r="D104" s="547">
        <v>101</v>
      </c>
      <c r="E104" s="526">
        <v>102</v>
      </c>
      <c r="F104" s="547">
        <v>103</v>
      </c>
      <c r="G104" s="526">
        <v>104</v>
      </c>
      <c r="H104" s="547">
        <v>105</v>
      </c>
      <c r="I104" s="526">
        <v>106</v>
      </c>
      <c r="J104" s="492"/>
      <c r="K104" s="492"/>
      <c r="L104" s="492"/>
      <c r="M104" s="492"/>
      <c r="N104" s="1064"/>
      <c r="O104" s="1064"/>
      <c r="P104" s="2078"/>
      <c r="Q104" s="515"/>
    </row>
    <row r="105" spans="1:17" ht="15" thickTop="1">
      <c r="A105" s="555"/>
      <c r="B105" s="494" t="s">
        <v>2373</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98</v>
      </c>
      <c r="E106" s="500">
        <f t="shared" si="28"/>
        <v>96</v>
      </c>
      <c r="F106" s="500">
        <f t="shared" si="28"/>
        <v>94</v>
      </c>
      <c r="G106" s="500">
        <f t="shared" si="28"/>
        <v>92</v>
      </c>
      <c r="H106" s="500">
        <f t="shared" si="28"/>
        <v>90</v>
      </c>
      <c r="I106" s="500">
        <f t="shared" si="28"/>
        <v>88</v>
      </c>
      <c r="J106" s="500">
        <f t="shared" si="28"/>
        <v>86</v>
      </c>
      <c r="K106" s="500">
        <f t="shared" si="28"/>
        <v>84</v>
      </c>
      <c r="L106" s="500">
        <f t="shared" si="28"/>
        <v>82</v>
      </c>
      <c r="M106" s="500">
        <f t="shared" si="28"/>
        <v>80</v>
      </c>
      <c r="N106" s="1064"/>
      <c r="O106" s="1064"/>
      <c r="P106" s="2077"/>
      <c r="Q106" s="460"/>
    </row>
    <row r="107" spans="1:17" ht="15" thickTop="1">
      <c r="A107" s="555"/>
      <c r="B107" s="494" t="s">
        <v>2374</v>
      </c>
      <c r="C107" s="3228" t="s">
        <v>3213</v>
      </c>
      <c r="D107" s="3228" t="s">
        <v>3225</v>
      </c>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98</v>
      </c>
      <c r="E108" s="500">
        <f t="shared" si="29"/>
        <v>96</v>
      </c>
      <c r="F108" s="500">
        <f t="shared" si="29"/>
        <v>94</v>
      </c>
      <c r="G108" s="500">
        <f t="shared" si="29"/>
        <v>92</v>
      </c>
      <c r="H108" s="500">
        <f t="shared" si="29"/>
        <v>90</v>
      </c>
      <c r="I108" s="500">
        <f t="shared" si="29"/>
        <v>88</v>
      </c>
      <c r="J108" s="500">
        <f t="shared" si="29"/>
        <v>86</v>
      </c>
      <c r="K108" s="500">
        <f t="shared" si="29"/>
        <v>84</v>
      </c>
      <c r="L108" s="500">
        <f t="shared" si="29"/>
        <v>82</v>
      </c>
      <c r="M108" s="500">
        <f t="shared" si="29"/>
        <v>80</v>
      </c>
      <c r="N108" s="1064"/>
      <c r="O108" s="1064"/>
      <c r="P108" s="2077"/>
      <c r="Q108" s="460"/>
    </row>
    <row r="109" spans="1:17" ht="15" thickTop="1">
      <c r="A109" s="555"/>
      <c r="B109" s="494" t="s">
        <v>2375</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98</v>
      </c>
      <c r="E110" s="500">
        <f t="shared" si="30"/>
        <v>96</v>
      </c>
      <c r="F110" s="500">
        <f t="shared" si="30"/>
        <v>94</v>
      </c>
      <c r="G110" s="500">
        <f t="shared" si="30"/>
        <v>92</v>
      </c>
      <c r="H110" s="500">
        <f t="shared" si="30"/>
        <v>90</v>
      </c>
      <c r="I110" s="500">
        <f t="shared" si="30"/>
        <v>88</v>
      </c>
      <c r="J110" s="500">
        <f t="shared" si="30"/>
        <v>86</v>
      </c>
      <c r="K110" s="500">
        <f t="shared" si="30"/>
        <v>84</v>
      </c>
      <c r="L110" s="500">
        <f t="shared" si="30"/>
        <v>82</v>
      </c>
      <c r="M110" s="500">
        <f t="shared" si="30"/>
        <v>80</v>
      </c>
      <c r="N110" s="1064"/>
      <c r="O110" s="1064"/>
      <c r="P110" s="2077"/>
      <c r="Q110" s="460"/>
    </row>
    <row r="111" spans="1:17" s="429" customFormat="1" ht="15" thickTop="1">
      <c r="A111" s="549"/>
      <c r="B111" s="494" t="s">
        <v>1817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078"/>
      <c r="Q113" s="515"/>
    </row>
    <row r="114" spans="1:17" ht="15" thickTop="1">
      <c r="A114" s="555"/>
      <c r="B114" s="494" t="s">
        <v>2376</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98</v>
      </c>
      <c r="E115" s="500">
        <f t="shared" si="31"/>
        <v>96</v>
      </c>
      <c r="F115" s="500">
        <f t="shared" si="31"/>
        <v>94</v>
      </c>
      <c r="G115" s="500">
        <f t="shared" si="31"/>
        <v>92</v>
      </c>
      <c r="H115" s="500">
        <f t="shared" si="31"/>
        <v>90</v>
      </c>
      <c r="I115" s="500">
        <f t="shared" si="31"/>
        <v>88</v>
      </c>
      <c r="J115" s="500">
        <f t="shared" si="31"/>
        <v>86</v>
      </c>
      <c r="K115" s="500">
        <f t="shared" si="31"/>
        <v>84</v>
      </c>
      <c r="L115" s="500">
        <f t="shared" si="31"/>
        <v>82</v>
      </c>
      <c r="M115" s="500">
        <f t="shared" si="31"/>
        <v>80</v>
      </c>
      <c r="N115" s="1064"/>
      <c r="O115" s="1064"/>
      <c r="P115" s="2077"/>
      <c r="Q115" s="460"/>
    </row>
    <row r="116" spans="1:17" ht="15" thickTop="1">
      <c r="A116" s="555"/>
      <c r="B116" s="494" t="s">
        <v>2377</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98</v>
      </c>
      <c r="E117" s="500">
        <f>D117-$K39</f>
        <v>96</v>
      </c>
      <c r="F117" s="500">
        <f>E117-$K39</f>
        <v>94</v>
      </c>
      <c r="G117" s="500">
        <f>F117-$K39</f>
        <v>92</v>
      </c>
      <c r="H117" s="500"/>
      <c r="I117" s="500"/>
      <c r="J117" s="500"/>
      <c r="K117" s="500"/>
      <c r="L117" s="500"/>
      <c r="M117" s="501"/>
      <c r="N117" s="1064"/>
      <c r="O117" s="1064"/>
      <c r="P117" s="2077"/>
      <c r="Q117" s="460"/>
    </row>
    <row r="118" spans="1:17" ht="15" thickTop="1">
      <c r="A118" s="555"/>
      <c r="B118" s="494" t="s">
        <v>2378</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98</v>
      </c>
      <c r="E119" s="500">
        <f t="shared" si="32"/>
        <v>96</v>
      </c>
      <c r="F119" s="500">
        <f t="shared" si="32"/>
        <v>94</v>
      </c>
      <c r="G119" s="500">
        <f t="shared" si="32"/>
        <v>92</v>
      </c>
      <c r="H119" s="500">
        <f t="shared" si="32"/>
        <v>90</v>
      </c>
      <c r="I119" s="500">
        <f t="shared" si="32"/>
        <v>88</v>
      </c>
      <c r="J119" s="500">
        <f t="shared" si="32"/>
        <v>86</v>
      </c>
      <c r="K119" s="500">
        <f t="shared" si="32"/>
        <v>84</v>
      </c>
      <c r="L119" s="500">
        <f t="shared" si="32"/>
        <v>82</v>
      </c>
      <c r="M119" s="500">
        <f t="shared" si="32"/>
        <v>80</v>
      </c>
      <c r="N119" s="1064"/>
      <c r="O119" s="1064"/>
      <c r="P119" s="2077"/>
      <c r="Q119" s="460"/>
    </row>
    <row r="120" spans="1:17" s="429" customFormat="1" ht="28.5" thickTop="1">
      <c r="A120" s="549"/>
      <c r="B120" s="494" t="s">
        <v>2333</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2379</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95</v>
      </c>
      <c r="E123" s="500">
        <f t="shared" si="33"/>
        <v>90</v>
      </c>
      <c r="F123" s="500">
        <f t="shared" si="33"/>
        <v>85</v>
      </c>
      <c r="G123" s="500">
        <f t="shared" si="33"/>
        <v>80</v>
      </c>
      <c r="H123" s="500">
        <f t="shared" si="33"/>
        <v>75</v>
      </c>
      <c r="I123" s="500">
        <f t="shared" si="33"/>
        <v>70</v>
      </c>
      <c r="J123" s="500">
        <f t="shared" si="33"/>
        <v>65</v>
      </c>
      <c r="K123" s="500">
        <f t="shared" si="33"/>
        <v>60</v>
      </c>
      <c r="L123" s="500">
        <f t="shared" si="33"/>
        <v>55</v>
      </c>
      <c r="M123" s="500">
        <f t="shared" si="33"/>
        <v>50</v>
      </c>
      <c r="N123" s="1064"/>
      <c r="O123" s="1064"/>
      <c r="P123" s="2077"/>
      <c r="Q123" s="460"/>
    </row>
    <row r="124" spans="1:17" ht="15" thickTop="1">
      <c r="A124" s="555"/>
      <c r="B124" s="494" t="s">
        <v>2380</v>
      </c>
      <c r="C124" s="534" t="s">
        <v>2356</v>
      </c>
      <c r="D124" s="534" t="s">
        <v>2357</v>
      </c>
      <c r="E124" s="534" t="s">
        <v>2358</v>
      </c>
      <c r="F124" s="534" t="s">
        <v>2359</v>
      </c>
      <c r="G124" s="534" t="s">
        <v>2360</v>
      </c>
      <c r="H124" s="495"/>
      <c r="I124" s="495"/>
      <c r="J124" s="495"/>
      <c r="K124" s="496"/>
      <c r="L124" s="497"/>
      <c r="M124" s="498"/>
      <c r="N124" s="1063"/>
      <c r="O124" s="1063"/>
      <c r="P124" s="2078"/>
      <c r="Q124" s="460"/>
    </row>
    <row r="125" spans="1:17" ht="15.75" thickBot="1">
      <c r="A125" s="490"/>
      <c r="B125" s="499"/>
      <c r="C125" s="500">
        <v>100</v>
      </c>
      <c r="D125" s="500">
        <f>C125-$K43</f>
        <v>98</v>
      </c>
      <c r="E125" s="500">
        <f>D125-$K43</f>
        <v>96</v>
      </c>
      <c r="F125" s="500">
        <f>E125-$K43</f>
        <v>94</v>
      </c>
      <c r="G125" s="500">
        <f>F125-$K43</f>
        <v>92</v>
      </c>
      <c r="H125" s="500"/>
      <c r="I125" s="500"/>
      <c r="J125" s="500"/>
      <c r="K125" s="500"/>
      <c r="L125" s="500"/>
      <c r="M125" s="501"/>
      <c r="N125" s="1064"/>
      <c r="O125" s="1064"/>
      <c r="P125" s="2077"/>
      <c r="Q125" s="460"/>
    </row>
    <row r="126" spans="1:17" s="429" customFormat="1" ht="15" thickTop="1">
      <c r="A126" s="549"/>
      <c r="B126" s="494" t="str">
        <f>B44</f>
        <v>现状</v>
      </c>
      <c r="C126" s="3229" t="s">
        <v>3217</v>
      </c>
      <c r="D126" s="3229" t="s">
        <v>3215</v>
      </c>
      <c r="E126" s="510"/>
      <c r="F126" s="510"/>
      <c r="G126" s="510"/>
      <c r="H126" s="511"/>
      <c r="I126" s="511"/>
      <c r="J126" s="511"/>
      <c r="K126" s="511"/>
      <c r="L126" s="512"/>
      <c r="M126" s="513"/>
      <c r="N126" s="1065"/>
      <c r="O126" s="1065"/>
      <c r="P126" s="2078"/>
      <c r="Q126" s="515"/>
    </row>
    <row r="127" spans="1:17" s="429" customFormat="1" ht="15.75" thickBot="1">
      <c r="A127" s="509"/>
      <c r="B127" s="499"/>
      <c r="C127" s="516">
        <v>100</v>
      </c>
      <c r="D127" s="492">
        <v>95</v>
      </c>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1" t="s">
        <v>2384</v>
      </c>
      <c r="D138" s="141" t="s">
        <v>2385</v>
      </c>
      <c r="E138" s="2092" t="s">
        <v>2386</v>
      </c>
      <c r="F138" s="2093" t="s">
        <v>2387</v>
      </c>
      <c r="G138" s="141" t="s">
        <v>2385</v>
      </c>
      <c r="H138" s="142" t="s">
        <v>2386</v>
      </c>
      <c r="I138" s="2094"/>
      <c r="J138" s="141" t="s">
        <v>2388</v>
      </c>
      <c r="K138" s="142" t="s">
        <v>2389</v>
      </c>
    </row>
    <row r="139" spans="1:17" ht="15">
      <c r="B139" s="997">
        <v>6</v>
      </c>
      <c r="C139" s="998">
        <v>96</v>
      </c>
      <c r="D139" s="2095" t="s">
        <v>2390</v>
      </c>
      <c r="E139" s="999">
        <v>100</v>
      </c>
      <c r="F139" s="1000">
        <v>102.5</v>
      </c>
      <c r="G139" s="2095" t="s">
        <v>2390</v>
      </c>
      <c r="H139" s="1001">
        <v>105</v>
      </c>
      <c r="I139" s="2096" t="s">
        <v>2391</v>
      </c>
      <c r="J139" s="998">
        <v>20</v>
      </c>
      <c r="K139" s="1002">
        <f>C145/(J139-2)</f>
        <v>4.0555555555555553E-3</v>
      </c>
    </row>
    <row r="140" spans="1:17" ht="15">
      <c r="B140" s="1003">
        <v>5</v>
      </c>
      <c r="C140" s="1004">
        <v>100</v>
      </c>
      <c r="D140" s="1004"/>
      <c r="E140" s="1005"/>
      <c r="F140" s="1006">
        <v>102</v>
      </c>
      <c r="G140" s="1004"/>
      <c r="H140" s="1007"/>
      <c r="I140" s="2097" t="s">
        <v>2392</v>
      </c>
      <c r="J140" s="276">
        <f>ROUNDUP((J139-1)/2,0)</f>
        <v>10</v>
      </c>
      <c r="K140" s="1008">
        <v>100</v>
      </c>
    </row>
    <row r="141" spans="1:17" ht="15">
      <c r="B141" s="1003">
        <v>4</v>
      </c>
      <c r="C141" s="1004">
        <v>102</v>
      </c>
      <c r="D141" s="1004"/>
      <c r="E141" s="1005"/>
      <c r="F141" s="1006">
        <v>101.5</v>
      </c>
      <c r="G141" s="1004"/>
      <c r="H141" s="1007"/>
      <c r="I141" s="2097" t="s">
        <v>2393</v>
      </c>
      <c r="J141" s="276">
        <v>1</v>
      </c>
      <c r="K141" s="1009">
        <f>ROUND(100+(J141-J140)*K139*100,1)</f>
        <v>96.4</v>
      </c>
    </row>
    <row r="142" spans="1:17" ht="15">
      <c r="B142" s="1003">
        <v>3</v>
      </c>
      <c r="C142" s="1004">
        <v>103</v>
      </c>
      <c r="D142" s="1004"/>
      <c r="E142" s="1005"/>
      <c r="F142" s="1006">
        <v>101</v>
      </c>
      <c r="G142" s="1004"/>
      <c r="H142" s="1007"/>
      <c r="I142" s="2097" t="s">
        <v>2394</v>
      </c>
      <c r="J142" s="276">
        <f>J139</f>
        <v>20</v>
      </c>
      <c r="K142" s="1010">
        <v>95</v>
      </c>
    </row>
    <row r="143" spans="1:17" ht="15">
      <c r="B143" s="1003">
        <v>2</v>
      </c>
      <c r="C143" s="1004">
        <v>100</v>
      </c>
      <c r="D143" s="1004"/>
      <c r="E143" s="1005"/>
      <c r="F143" s="1006">
        <v>100.5</v>
      </c>
      <c r="G143" s="1004"/>
      <c r="H143" s="1007"/>
      <c r="I143" s="2097" t="s">
        <v>2395</v>
      </c>
      <c r="J143" s="1004">
        <v>15</v>
      </c>
      <c r="K143" s="1009">
        <f>ROUND(100+(J143-J140)*K139*100,1)</f>
        <v>102</v>
      </c>
    </row>
    <row r="144" spans="1:17" ht="15">
      <c r="B144" s="1003">
        <v>1</v>
      </c>
      <c r="C144" s="1004">
        <v>98</v>
      </c>
      <c r="D144" s="2098" t="s">
        <v>2396</v>
      </c>
      <c r="E144" s="1005">
        <v>102</v>
      </c>
      <c r="F144" s="1011">
        <v>100</v>
      </c>
      <c r="G144" s="2098" t="s">
        <v>2396</v>
      </c>
      <c r="H144" s="1007">
        <v>105</v>
      </c>
      <c r="I144" s="2097" t="s">
        <v>2395</v>
      </c>
      <c r="J144" s="1004">
        <v>18</v>
      </c>
      <c r="K144" s="1009">
        <f>ROUND(100+(J144-J140)*K139*100,1)</f>
        <v>103.2</v>
      </c>
    </row>
    <row r="145" spans="2:11" ht="15.75" thickBot="1">
      <c r="B145" s="2099" t="s">
        <v>2397</v>
      </c>
      <c r="C145" s="1012">
        <f>ROUND(MAX(C139:C144)/MIN(C139:C144)-1,3)</f>
        <v>7.2999999999999995E-2</v>
      </c>
      <c r="D145" s="1013"/>
      <c r="E145" s="1013"/>
      <c r="F145" s="2100" t="s">
        <v>2398</v>
      </c>
      <c r="G145" s="2101"/>
      <c r="H145" s="2102"/>
      <c r="I145" s="2103" t="s">
        <v>2395</v>
      </c>
      <c r="J145" s="1014">
        <v>8</v>
      </c>
      <c r="K145" s="1015">
        <f>ROUND(100+(J145-J140)*K139*100,1)</f>
        <v>99.2</v>
      </c>
    </row>
    <row r="147" spans="2:11">
      <c r="B147" s="2084" t="s">
        <v>2399</v>
      </c>
    </row>
    <row r="148" spans="2:11">
      <c r="B148" s="2084"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2287</v>
      </c>
      <c r="B1" s="2033" t="s">
        <v>2401</v>
      </c>
      <c r="C1" s="1377" t="s">
        <v>2289</v>
      </c>
      <c r="D1" s="1364"/>
      <c r="E1" s="2512"/>
      <c r="F1" s="2034"/>
      <c r="G1" s="1374" t="s">
        <v>2402</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2089</v>
      </c>
      <c r="B2" s="1297" t="e">
        <f ca="1">IF(C2="——",ROUND(C49*D3/10000,0),ROUND(C49*D3/10000,0)-D2)</f>
        <v>#DIV/0!</v>
      </c>
      <c r="C2" s="2036"/>
      <c r="D2" s="1246" t="e">
        <f ca="1">SUMIF(INDIRECT("'"&amp;F2&amp;"'"&amp;"!A:A"),"承租人权益价值",INDIRECT("'"&amp;F2&amp;"'"&amp;"!c:c"))</f>
        <v>#REF!</v>
      </c>
      <c r="E2" s="2037" t="s">
        <v>2090</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2091</v>
      </c>
      <c r="B3" s="565" t="e">
        <f ca="1">IF(C2="——",C49,ROUND(B2*10000/D3,0))</f>
        <v>#DIV/0!</v>
      </c>
      <c r="C3" s="359" t="s">
        <v>2403</v>
      </c>
      <c r="D3" s="358">
        <f>IF(D1="",'数据-汇总表'!E3,SUMIF('数据-汇总表'!$C19:$C33,D1,'数据-汇总表'!$E19:$E33))</f>
        <v>33617.25</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2404</v>
      </c>
      <c r="B4" s="361"/>
      <c r="C4" s="3489" t="s">
        <v>2405</v>
      </c>
      <c r="D4" s="3490"/>
      <c r="E4" s="3491" t="s">
        <v>2406</v>
      </c>
      <c r="F4" s="3492"/>
      <c r="G4" s="3489" t="s">
        <v>2407</v>
      </c>
      <c r="H4" s="3490"/>
      <c r="I4" s="3489" t="s">
        <v>2408</v>
      </c>
      <c r="J4" s="3490"/>
      <c r="K4" s="566" t="s">
        <v>2409</v>
      </c>
      <c r="L4" s="2913"/>
      <c r="M4" s="2914"/>
      <c r="N4" s="2914"/>
      <c r="O4" s="2914"/>
      <c r="P4" s="3493" t="s">
        <v>2410</v>
      </c>
      <c r="Q4" s="3494"/>
      <c r="R4" s="3476" t="s">
        <v>2406</v>
      </c>
      <c r="S4" s="3477"/>
      <c r="T4" s="3476" t="s">
        <v>2407</v>
      </c>
      <c r="U4" s="3477"/>
      <c r="V4" s="3501" t="s">
        <v>2408</v>
      </c>
      <c r="W4" s="3501"/>
      <c r="X4" s="1508"/>
      <c r="Y4" s="3476" t="s">
        <v>2410</v>
      </c>
      <c r="Z4" s="3477"/>
      <c r="AA4" s="3471" t="s">
        <v>2406</v>
      </c>
      <c r="AB4" s="3501" t="s">
        <v>2407</v>
      </c>
      <c r="AC4" s="3471" t="s">
        <v>2408</v>
      </c>
    </row>
    <row r="5" spans="1:29" ht="15">
      <c r="A5" s="363"/>
      <c r="B5" s="364"/>
      <c r="C5" s="3482" t="s">
        <v>2301</v>
      </c>
      <c r="D5" s="3483"/>
      <c r="E5" s="3517" t="s">
        <v>2302</v>
      </c>
      <c r="F5" s="3518"/>
      <c r="G5" s="3482" t="s">
        <v>2303</v>
      </c>
      <c r="H5" s="3483"/>
      <c r="I5" s="3482" t="s">
        <v>2304</v>
      </c>
      <c r="J5" s="3483"/>
      <c r="K5" s="566"/>
      <c r="L5" s="2913"/>
      <c r="M5" s="2914"/>
      <c r="N5" s="2914"/>
      <c r="O5" s="2914"/>
      <c r="P5" s="3495"/>
      <c r="Q5" s="3496"/>
      <c r="R5" s="3478"/>
      <c r="S5" s="3479"/>
      <c r="T5" s="3478"/>
      <c r="U5" s="3479"/>
      <c r="V5" s="3501"/>
      <c r="W5" s="3501"/>
      <c r="X5" s="1508"/>
      <c r="Y5" s="3478"/>
      <c r="Z5" s="3479"/>
      <c r="AA5" s="3472"/>
      <c r="AB5" s="3501"/>
      <c r="AC5" s="3472"/>
    </row>
    <row r="6" spans="1:29" ht="15.75" thickBot="1">
      <c r="A6" s="365"/>
      <c r="B6" s="366"/>
      <c r="C6" s="3484" t="s">
        <v>2305</v>
      </c>
      <c r="D6" s="3485"/>
      <c r="E6" s="3486" t="s">
        <v>2305</v>
      </c>
      <c r="F6" s="3487"/>
      <c r="G6" s="3484" t="s">
        <v>2305</v>
      </c>
      <c r="H6" s="3485"/>
      <c r="I6" s="3484" t="s">
        <v>2305</v>
      </c>
      <c r="J6" s="3485"/>
      <c r="K6" s="566" t="s">
        <v>2306</v>
      </c>
      <c r="L6" s="2913"/>
      <c r="M6" s="2914"/>
      <c r="N6" s="2914"/>
      <c r="O6" s="2914"/>
      <c r="P6" s="3497"/>
      <c r="Q6" s="3498"/>
      <c r="R6" s="3478"/>
      <c r="S6" s="3479"/>
      <c r="T6" s="3499"/>
      <c r="U6" s="3500"/>
      <c r="V6" s="3501"/>
      <c r="W6" s="3501"/>
      <c r="X6" s="1508"/>
      <c r="Y6" s="3499"/>
      <c r="Z6" s="3500"/>
      <c r="AA6" s="3473"/>
      <c r="AB6" s="3501"/>
      <c r="AC6" s="3473"/>
    </row>
    <row r="7" spans="1:29" s="113" customFormat="1" ht="15.75" thickBot="1">
      <c r="A7" s="367" t="s">
        <v>2307</v>
      </c>
      <c r="B7" s="368"/>
      <c r="C7" s="369">
        <f>'数据-取费表'!B2</f>
        <v>44575</v>
      </c>
      <c r="D7" s="370">
        <v>100</v>
      </c>
      <c r="E7" s="371"/>
      <c r="F7" s="372">
        <f>SUMIF(58:58,YEAR(E7)&amp;"-"&amp;MONTH(E7),59:59)</f>
        <v>0</v>
      </c>
      <c r="G7" s="371"/>
      <c r="H7" s="370">
        <f>SUMIF(58:58,YEAR(G7)&amp;"-"&amp;MONTH(G7),59:59)</f>
        <v>0</v>
      </c>
      <c r="I7" s="371"/>
      <c r="J7" s="370">
        <f>SUMIF(58:58,YEAR(I7)&amp;"-"&amp;MONTH(I7),59:59)</f>
        <v>0</v>
      </c>
      <c r="K7" s="567"/>
      <c r="L7" s="2915"/>
      <c r="M7" s="2916"/>
      <c r="N7" s="2916"/>
      <c r="O7" s="2916"/>
      <c r="P7" s="3474" t="s">
        <v>2308</v>
      </c>
      <c r="Q7" s="3502"/>
      <c r="R7" s="709" t="s">
        <v>17</v>
      </c>
      <c r="S7" s="710">
        <f t="shared" ref="S7:S15" si="0">F7</f>
        <v>0</v>
      </c>
      <c r="T7" s="709" t="s">
        <v>17</v>
      </c>
      <c r="U7" s="710">
        <f t="shared" ref="U7:U15" si="1">H7</f>
        <v>0</v>
      </c>
      <c r="V7" s="709" t="s">
        <v>17</v>
      </c>
      <c r="W7" s="710">
        <f t="shared" ref="W7:W15" si="2">J7</f>
        <v>0</v>
      </c>
      <c r="X7" s="711"/>
      <c r="Y7" s="3474" t="s">
        <v>2308</v>
      </c>
      <c r="Z7" s="3475"/>
      <c r="AA7" s="712" t="e">
        <f>D7/F7</f>
        <v>#DIV/0!</v>
      </c>
      <c r="AB7" s="712" t="e">
        <f>D7/H7</f>
        <v>#DIV/0!</v>
      </c>
      <c r="AC7" s="712" t="e">
        <f>D7/J7</f>
        <v>#DIV/0!</v>
      </c>
    </row>
    <row r="8" spans="1:29" s="113" customFormat="1" ht="15.75" thickBot="1">
      <c r="A8" s="367" t="s">
        <v>2309</v>
      </c>
      <c r="B8" s="368"/>
      <c r="C8" s="373" t="s">
        <v>2411</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474" t="s">
        <v>2311</v>
      </c>
      <c r="Q8" s="3475"/>
      <c r="R8" s="709" t="s">
        <v>17</v>
      </c>
      <c r="S8" s="710">
        <f t="shared" si="0"/>
        <v>0</v>
      </c>
      <c r="T8" s="709" t="s">
        <v>17</v>
      </c>
      <c r="U8" s="710">
        <f t="shared" si="1"/>
        <v>0</v>
      </c>
      <c r="V8" s="709" t="s">
        <v>17</v>
      </c>
      <c r="W8" s="710">
        <f t="shared" si="2"/>
        <v>0</v>
      </c>
      <c r="X8" s="711"/>
      <c r="Y8" s="3474" t="s">
        <v>2311</v>
      </c>
      <c r="Z8" s="3475"/>
      <c r="AA8" s="712" t="e">
        <f t="shared" ref="AA8:AA46" si="3">D8/F8</f>
        <v>#DIV/0!</v>
      </c>
      <c r="AB8" s="712" t="e">
        <f t="shared" ref="AB8:AB46" si="4">D8/H8</f>
        <v>#DIV/0!</v>
      </c>
      <c r="AC8" s="712" t="e">
        <f t="shared" ref="AC8:AC46" si="5">D8/J8</f>
        <v>#DIV/0!</v>
      </c>
    </row>
    <row r="9" spans="1:29" s="113" customFormat="1">
      <c r="A9" s="374" t="s">
        <v>2312</v>
      </c>
      <c r="B9" s="67" t="s">
        <v>2313</v>
      </c>
      <c r="C9" s="375"/>
      <c r="D9" s="130">
        <v>100</v>
      </c>
      <c r="E9" s="376"/>
      <c r="F9" s="377">
        <f>SUMIF(63:63,E9,64:64)-SUMIF(63:63,C9,64:64)+100</f>
        <v>100</v>
      </c>
      <c r="G9" s="376"/>
      <c r="H9" s="130">
        <f>SUMIF(63:63,G9,64:64)-SUMIF(63:63,C9,64:64)+100</f>
        <v>100</v>
      </c>
      <c r="I9" s="376"/>
      <c r="J9" s="130">
        <f>SUMIF(63:63,I9,64:64)-SUMIF(63:63,C9,64:64)+100</f>
        <v>100</v>
      </c>
      <c r="K9" s="567"/>
      <c r="L9" s="2915"/>
      <c r="M9" s="2916"/>
      <c r="N9" s="2916"/>
      <c r="O9" s="2916"/>
      <c r="P9" s="3488"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568"/>
      <c r="L10" s="2917"/>
      <c r="M10" s="2918"/>
      <c r="N10" s="2918"/>
      <c r="O10" s="2918"/>
      <c r="P10" s="3488"/>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9"/>
      <c r="M11" s="2914"/>
      <c r="N11" s="2914"/>
      <c r="O11" s="2914"/>
      <c r="P11" s="3488"/>
      <c r="Q11" s="1496" t="str">
        <f t="shared" si="6"/>
        <v>容积率</v>
      </c>
      <c r="R11" s="709" t="s">
        <v>17</v>
      </c>
      <c r="S11" s="710" t="e">
        <f t="shared" si="0"/>
        <v>#N/A</v>
      </c>
      <c r="T11" s="709" t="s">
        <v>17</v>
      </c>
      <c r="U11" s="710" t="e">
        <f t="shared" si="1"/>
        <v>#N/A</v>
      </c>
      <c r="V11" s="709" t="s">
        <v>17</v>
      </c>
      <c r="W11" s="710" t="e">
        <f t="shared" si="2"/>
        <v>#N/A</v>
      </c>
      <c r="X11" s="711"/>
      <c r="Y11" s="3418"/>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5"/>
      <c r="M12" s="2916"/>
      <c r="N12" s="2916"/>
      <c r="O12" s="2916"/>
      <c r="P12" s="3488"/>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488"/>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488"/>
      <c r="Q14" s="1496">
        <f t="shared" si="6"/>
        <v>111</v>
      </c>
      <c r="R14" s="709" t="s">
        <v>17</v>
      </c>
      <c r="S14" s="710">
        <f t="shared" si="0"/>
        <v>100</v>
      </c>
      <c r="T14" s="709" t="s">
        <v>17</v>
      </c>
      <c r="U14" s="710">
        <f t="shared" si="1"/>
        <v>100</v>
      </c>
      <c r="V14" s="709" t="s">
        <v>17</v>
      </c>
      <c r="W14" s="710">
        <f t="shared" si="2"/>
        <v>100</v>
      </c>
      <c r="X14" s="711"/>
      <c r="Y14" s="3418"/>
      <c r="Z14" s="55">
        <f t="shared" si="7"/>
        <v>111</v>
      </c>
      <c r="AA14" s="712">
        <f t="shared" si="3"/>
        <v>1</v>
      </c>
      <c r="AB14" s="712">
        <f t="shared" si="4"/>
        <v>1</v>
      </c>
      <c r="AC14" s="712">
        <f t="shared" si="5"/>
        <v>1</v>
      </c>
    </row>
    <row r="15" spans="1:29" ht="71.25">
      <c r="A15" s="398" t="s">
        <v>2318</v>
      </c>
      <c r="B15" s="65" t="s">
        <v>2412</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15" t="s">
        <v>2319</v>
      </c>
      <c r="Q15" s="1505" t="str">
        <f t="shared" si="6"/>
        <v>商业繁华度</v>
      </c>
      <c r="R15" s="713" t="s">
        <v>17</v>
      </c>
      <c r="S15" s="714">
        <f t="shared" si="0"/>
        <v>100</v>
      </c>
      <c r="T15" s="713" t="s">
        <v>17</v>
      </c>
      <c r="U15" s="714">
        <f t="shared" si="1"/>
        <v>100</v>
      </c>
      <c r="V15" s="713" t="s">
        <v>17</v>
      </c>
      <c r="W15" s="714">
        <f t="shared" si="2"/>
        <v>100</v>
      </c>
      <c r="X15" s="1508"/>
      <c r="Y15" s="3508" t="s">
        <v>2319</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16"/>
      <c r="Q16" s="1505"/>
      <c r="R16" s="713"/>
      <c r="S16" s="714"/>
      <c r="T16" s="713"/>
      <c r="U16" s="714"/>
      <c r="V16" s="713"/>
      <c r="W16" s="714"/>
      <c r="X16" s="1508"/>
      <c r="Y16" s="3509"/>
      <c r="Z16" s="1509"/>
      <c r="AA16" s="1506">
        <v>1</v>
      </c>
      <c r="AB16" s="1506">
        <v>1</v>
      </c>
      <c r="AC16" s="1506">
        <v>1</v>
      </c>
    </row>
    <row r="17" spans="1:29" ht="85.5">
      <c r="A17" s="386"/>
      <c r="B17" s="409" t="s">
        <v>1886</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16"/>
      <c r="Q17" s="1505" t="str">
        <f>B17</f>
        <v>交通便捷度</v>
      </c>
      <c r="R17" s="713" t="s">
        <v>17</v>
      </c>
      <c r="S17" s="714">
        <f>F17</f>
        <v>100</v>
      </c>
      <c r="T17" s="713" t="s">
        <v>17</v>
      </c>
      <c r="U17" s="714">
        <f>H17</f>
        <v>100</v>
      </c>
      <c r="V17" s="713" t="s">
        <v>17</v>
      </c>
      <c r="W17" s="714">
        <f>J17</f>
        <v>100</v>
      </c>
      <c r="X17" s="1508"/>
      <c r="Y17" s="350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16"/>
      <c r="Q18" s="1505"/>
      <c r="R18" s="713"/>
      <c r="S18" s="714"/>
      <c r="T18" s="713"/>
      <c r="U18" s="714"/>
      <c r="V18" s="713"/>
      <c r="W18" s="714"/>
      <c r="X18" s="1508"/>
      <c r="Y18" s="3509"/>
      <c r="Z18" s="1509"/>
      <c r="AA18" s="1506">
        <v>1</v>
      </c>
      <c r="AB18" s="1506">
        <v>1</v>
      </c>
      <c r="AC18" s="1506">
        <v>1</v>
      </c>
    </row>
    <row r="19" spans="1:29" ht="42.75">
      <c r="A19" s="386"/>
      <c r="B19" s="409" t="s">
        <v>2413</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16"/>
      <c r="Q19" s="1505" t="str">
        <f>B19</f>
        <v>公共配套设施</v>
      </c>
      <c r="R19" s="713" t="s">
        <v>17</v>
      </c>
      <c r="S19" s="714">
        <f>F19</f>
        <v>100</v>
      </c>
      <c r="T19" s="713" t="s">
        <v>17</v>
      </c>
      <c r="U19" s="714">
        <f>H19</f>
        <v>100</v>
      </c>
      <c r="V19" s="713" t="s">
        <v>17</v>
      </c>
      <c r="W19" s="714">
        <f>J19</f>
        <v>100</v>
      </c>
      <c r="X19" s="1508"/>
      <c r="Y19" s="350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16"/>
      <c r="Q20" s="1505"/>
      <c r="R20" s="713"/>
      <c r="S20" s="714"/>
      <c r="T20" s="713"/>
      <c r="U20" s="714"/>
      <c r="V20" s="713"/>
      <c r="W20" s="714"/>
      <c r="X20" s="1508"/>
      <c r="Y20" s="3509"/>
      <c r="Z20" s="1509"/>
      <c r="AA20" s="1506">
        <v>1</v>
      </c>
      <c r="AB20" s="1506">
        <v>1</v>
      </c>
      <c r="AC20" s="1506">
        <v>1</v>
      </c>
    </row>
    <row r="21" spans="1:29" ht="28.5">
      <c r="A21" s="386"/>
      <c r="B21" s="1264" t="s">
        <v>2414</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16"/>
      <c r="Q21" s="1505" t="str">
        <f>B21</f>
        <v>基础设施水平</v>
      </c>
      <c r="R21" s="713" t="s">
        <v>17</v>
      </c>
      <c r="S21" s="714">
        <f>F21</f>
        <v>100</v>
      </c>
      <c r="T21" s="713" t="s">
        <v>17</v>
      </c>
      <c r="U21" s="714">
        <f>H21</f>
        <v>100</v>
      </c>
      <c r="V21" s="713" t="s">
        <v>17</v>
      </c>
      <c r="W21" s="714">
        <f>J21</f>
        <v>100</v>
      </c>
      <c r="X21" s="1508"/>
      <c r="Y21" s="350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16"/>
      <c r="Q22" s="1505"/>
      <c r="R22" s="713"/>
      <c r="S22" s="714"/>
      <c r="T22" s="713"/>
      <c r="U22" s="714"/>
      <c r="V22" s="713"/>
      <c r="W22" s="714"/>
      <c r="X22" s="1508"/>
      <c r="Y22" s="3509"/>
      <c r="Z22" s="1509"/>
      <c r="AA22" s="1506">
        <v>1</v>
      </c>
      <c r="AB22" s="1506">
        <v>1</v>
      </c>
      <c r="AC22" s="1506">
        <v>1</v>
      </c>
    </row>
    <row r="23" spans="1:29" ht="57">
      <c r="A23" s="386"/>
      <c r="B23" s="409" t="s">
        <v>1888</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16"/>
      <c r="Q23" s="1505" t="str">
        <f>B23</f>
        <v>自然及人文环境</v>
      </c>
      <c r="R23" s="713" t="s">
        <v>17</v>
      </c>
      <c r="S23" s="714">
        <f>F23</f>
        <v>100</v>
      </c>
      <c r="T23" s="713" t="s">
        <v>17</v>
      </c>
      <c r="U23" s="714">
        <f>H23</f>
        <v>100</v>
      </c>
      <c r="V23" s="713" t="s">
        <v>17</v>
      </c>
      <c r="W23" s="714">
        <f>J23</f>
        <v>100</v>
      </c>
      <c r="X23" s="1508"/>
      <c r="Y23" s="3509"/>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16"/>
      <c r="Q24" s="1505"/>
      <c r="R24" s="713"/>
      <c r="S24" s="714"/>
      <c r="T24" s="713"/>
      <c r="U24" s="714"/>
      <c r="V24" s="713"/>
      <c r="W24" s="714"/>
      <c r="X24" s="1508"/>
      <c r="Y24" s="3509"/>
      <c r="Z24" s="1509"/>
      <c r="AA24" s="1506">
        <v>1</v>
      </c>
      <c r="AB24" s="1506">
        <v>1</v>
      </c>
      <c r="AC24" s="1506">
        <v>1</v>
      </c>
    </row>
    <row r="25" spans="1:29" ht="15">
      <c r="A25" s="386"/>
      <c r="B25" s="380" t="s">
        <v>2415</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16"/>
      <c r="Q25" s="1505" t="str">
        <f t="shared" ref="Q25:Q46" si="11">B25</f>
        <v>临街状况</v>
      </c>
      <c r="R25" s="713" t="s">
        <v>17</v>
      </c>
      <c r="S25" s="714">
        <f>F25</f>
        <v>100</v>
      </c>
      <c r="T25" s="713" t="s">
        <v>17</v>
      </c>
      <c r="U25" s="714">
        <f>H25</f>
        <v>100</v>
      </c>
      <c r="V25" s="713" t="s">
        <v>17</v>
      </c>
      <c r="W25" s="714">
        <f>J25</f>
        <v>100</v>
      </c>
      <c r="X25" s="1508"/>
      <c r="Y25" s="3509"/>
      <c r="Z25" s="1509" t="str">
        <f>Q25</f>
        <v>临街状况</v>
      </c>
      <c r="AA25" s="1506">
        <f t="shared" si="3"/>
        <v>1</v>
      </c>
      <c r="AB25" s="1506">
        <f t="shared" si="4"/>
        <v>1</v>
      </c>
      <c r="AC25" s="1506">
        <f t="shared" si="5"/>
        <v>1</v>
      </c>
    </row>
    <row r="26" spans="1:29" ht="15">
      <c r="A26" s="386"/>
      <c r="B26" s="1266" t="s">
        <v>2416</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16"/>
      <c r="Q26" s="1505" t="str">
        <f t="shared" si="11"/>
        <v>平面位置/可视性</v>
      </c>
      <c r="R26" s="713" t="s">
        <v>17</v>
      </c>
      <c r="S26" s="714">
        <f>F26</f>
        <v>100</v>
      </c>
      <c r="T26" s="713" t="s">
        <v>17</v>
      </c>
      <c r="U26" s="714">
        <f>H26</f>
        <v>100</v>
      </c>
      <c r="V26" s="713" t="s">
        <v>17</v>
      </c>
      <c r="W26" s="714">
        <f>J26</f>
        <v>100</v>
      </c>
      <c r="X26" s="1508"/>
      <c r="Y26" s="3509"/>
      <c r="Z26" s="1509" t="str">
        <f>Q26</f>
        <v>平面位置/可视性</v>
      </c>
      <c r="AA26" s="1506">
        <f t="shared" si="3"/>
        <v>1</v>
      </c>
      <c r="AB26" s="1506">
        <f t="shared" si="4"/>
        <v>1</v>
      </c>
      <c r="AC26" s="1506">
        <f t="shared" si="5"/>
        <v>1</v>
      </c>
    </row>
    <row r="27" spans="1:29" s="113" customFormat="1" ht="15">
      <c r="A27" s="389"/>
      <c r="B27" s="409" t="s">
        <v>2417</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16"/>
      <c r="Q27" s="1496" t="str">
        <f t="shared" si="11"/>
        <v>人流量</v>
      </c>
      <c r="R27" s="709" t="s">
        <v>17</v>
      </c>
      <c r="S27" s="710">
        <f>F27</f>
        <v>100</v>
      </c>
      <c r="T27" s="709" t="s">
        <v>17</v>
      </c>
      <c r="U27" s="710">
        <f>H27</f>
        <v>100</v>
      </c>
      <c r="V27" s="709" t="s">
        <v>17</v>
      </c>
      <c r="W27" s="710">
        <f>J27</f>
        <v>100</v>
      </c>
      <c r="X27" s="711"/>
      <c r="Y27" s="3509"/>
      <c r="Z27" s="55" t="str">
        <f>Q27</f>
        <v>人流量</v>
      </c>
      <c r="AA27" s="1506">
        <f>D27/F27</f>
        <v>1</v>
      </c>
      <c r="AB27" s="1506">
        <f>D27/H27</f>
        <v>1</v>
      </c>
      <c r="AC27" s="1506">
        <f>D27/J27</f>
        <v>1</v>
      </c>
    </row>
    <row r="28" spans="1:29" ht="15">
      <c r="A28" s="386"/>
      <c r="B28" s="380" t="s">
        <v>2418</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16"/>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509"/>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16"/>
      <c r="Q29" s="1505">
        <f t="shared" si="11"/>
        <v>111</v>
      </c>
      <c r="R29" s="713" t="s">
        <v>17</v>
      </c>
      <c r="S29" s="714">
        <f t="shared" si="12"/>
        <v>100</v>
      </c>
      <c r="T29" s="713" t="s">
        <v>17</v>
      </c>
      <c r="U29" s="714">
        <f t="shared" si="13"/>
        <v>100</v>
      </c>
      <c r="V29" s="713" t="s">
        <v>17</v>
      </c>
      <c r="W29" s="714">
        <f t="shared" si="14"/>
        <v>100</v>
      </c>
      <c r="X29" s="1508"/>
      <c r="Y29" s="3509"/>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16"/>
      <c r="Q30" s="1505">
        <f t="shared" si="11"/>
        <v>111</v>
      </c>
      <c r="R30" s="713" t="s">
        <v>17</v>
      </c>
      <c r="S30" s="714">
        <f t="shared" si="12"/>
        <v>100</v>
      </c>
      <c r="T30" s="713" t="s">
        <v>17</v>
      </c>
      <c r="U30" s="714">
        <f t="shared" si="13"/>
        <v>100</v>
      </c>
      <c r="V30" s="713" t="s">
        <v>17</v>
      </c>
      <c r="W30" s="714">
        <f t="shared" si="14"/>
        <v>100</v>
      </c>
      <c r="X30" s="1508"/>
      <c r="Y30" s="3509"/>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16"/>
      <c r="Q31" s="1505">
        <f t="shared" si="11"/>
        <v>111</v>
      </c>
      <c r="R31" s="713" t="s">
        <v>17</v>
      </c>
      <c r="S31" s="714">
        <f t="shared" si="12"/>
        <v>100</v>
      </c>
      <c r="T31" s="713" t="s">
        <v>17</v>
      </c>
      <c r="U31" s="714">
        <f t="shared" si="13"/>
        <v>100</v>
      </c>
      <c r="V31" s="713" t="s">
        <v>17</v>
      </c>
      <c r="W31" s="714">
        <f t="shared" si="14"/>
        <v>100</v>
      </c>
      <c r="X31" s="1508"/>
      <c r="Y31" s="3509"/>
      <c r="Z31" s="1509">
        <f t="shared" si="15"/>
        <v>111</v>
      </c>
      <c r="AA31" s="1506">
        <f t="shared" si="3"/>
        <v>1</v>
      </c>
      <c r="AB31" s="1506">
        <f t="shared" si="4"/>
        <v>1</v>
      </c>
      <c r="AC31" s="1506">
        <f t="shared" si="5"/>
        <v>1</v>
      </c>
    </row>
    <row r="32" spans="1:29" ht="15">
      <c r="A32" s="398" t="s">
        <v>2322</v>
      </c>
      <c r="B32" s="67" t="s">
        <v>2419</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10" t="s">
        <v>2324</v>
      </c>
      <c r="Q32" s="1505" t="str">
        <f t="shared" si="11"/>
        <v>商业类型</v>
      </c>
      <c r="R32" s="713" t="s">
        <v>17</v>
      </c>
      <c r="S32" s="714">
        <f t="shared" si="12"/>
        <v>100</v>
      </c>
      <c r="T32" s="713" t="s">
        <v>17</v>
      </c>
      <c r="U32" s="714">
        <f t="shared" si="13"/>
        <v>100</v>
      </c>
      <c r="V32" s="713" t="s">
        <v>17</v>
      </c>
      <c r="W32" s="714">
        <f t="shared" si="14"/>
        <v>100</v>
      </c>
      <c r="X32" s="1508"/>
      <c r="Y32" s="3513" t="s">
        <v>2324</v>
      </c>
      <c r="Z32" s="1509" t="str">
        <f t="shared" si="15"/>
        <v>商业类型</v>
      </c>
      <c r="AA32" s="1506">
        <f t="shared" si="3"/>
        <v>1</v>
      </c>
      <c r="AB32" s="1506">
        <f t="shared" si="4"/>
        <v>1</v>
      </c>
      <c r="AC32" s="1506">
        <f t="shared" si="5"/>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9"/>
      <c r="M33" s="2921"/>
      <c r="N33" s="2921"/>
      <c r="O33" s="2921"/>
      <c r="P33" s="3511"/>
      <c r="Q33" s="715" t="str">
        <f t="shared" si="11"/>
        <v>项目建筑规模</v>
      </c>
      <c r="R33" s="716" t="s">
        <v>17</v>
      </c>
      <c r="S33" s="717" t="e">
        <f t="shared" si="12"/>
        <v>#N/A</v>
      </c>
      <c r="T33" s="716" t="s">
        <v>17</v>
      </c>
      <c r="U33" s="717" t="e">
        <f t="shared" si="13"/>
        <v>#N/A</v>
      </c>
      <c r="V33" s="716" t="s">
        <v>17</v>
      </c>
      <c r="W33" s="717" t="e">
        <f t="shared" si="14"/>
        <v>#N/A</v>
      </c>
      <c r="X33" s="718"/>
      <c r="Y33" s="3513"/>
      <c r="Z33" s="719" t="str">
        <f t="shared" si="15"/>
        <v>项目建筑规模</v>
      </c>
      <c r="AA33" s="1506" t="e">
        <f t="shared" si="3"/>
        <v>#N/A</v>
      </c>
      <c r="AB33" s="1506" t="e">
        <f t="shared" si="4"/>
        <v>#N/A</v>
      </c>
      <c r="AC33" s="1506" t="e">
        <f t="shared" si="5"/>
        <v>#N/A</v>
      </c>
    </row>
    <row r="34" spans="1:29" ht="15">
      <c r="A34" s="430"/>
      <c r="B34" s="380" t="s">
        <v>2326</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11"/>
      <c r="Q34" s="1505" t="str">
        <f t="shared" si="11"/>
        <v>建筑结构</v>
      </c>
      <c r="R34" s="713" t="s">
        <v>17</v>
      </c>
      <c r="S34" s="714">
        <f t="shared" si="12"/>
        <v>100</v>
      </c>
      <c r="T34" s="713" t="s">
        <v>17</v>
      </c>
      <c r="U34" s="714">
        <f t="shared" si="13"/>
        <v>100</v>
      </c>
      <c r="V34" s="713" t="s">
        <v>17</v>
      </c>
      <c r="W34" s="714">
        <f t="shared" si="14"/>
        <v>100</v>
      </c>
      <c r="X34" s="1508"/>
      <c r="Y34" s="3513"/>
      <c r="Z34" s="1509" t="str">
        <f t="shared" si="15"/>
        <v>建筑结构</v>
      </c>
      <c r="AA34" s="1506">
        <f t="shared" si="3"/>
        <v>1</v>
      </c>
      <c r="AB34" s="1506">
        <f t="shared" si="4"/>
        <v>1</v>
      </c>
      <c r="AC34" s="1506">
        <f t="shared" si="5"/>
        <v>1</v>
      </c>
    </row>
    <row r="35" spans="1:29" ht="15">
      <c r="A35" s="430"/>
      <c r="B35" s="380" t="s">
        <v>2420</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11"/>
      <c r="Q35" s="1505" t="str">
        <f t="shared" si="11"/>
        <v>公共部分装修</v>
      </c>
      <c r="R35" s="713" t="s">
        <v>17</v>
      </c>
      <c r="S35" s="714">
        <f t="shared" si="12"/>
        <v>100</v>
      </c>
      <c r="T35" s="713" t="s">
        <v>17</v>
      </c>
      <c r="U35" s="714">
        <f t="shared" si="13"/>
        <v>100</v>
      </c>
      <c r="V35" s="713" t="s">
        <v>17</v>
      </c>
      <c r="W35" s="714">
        <f t="shared" si="14"/>
        <v>100</v>
      </c>
      <c r="X35" s="1508"/>
      <c r="Y35" s="3513"/>
      <c r="Z35" s="1509" t="str">
        <f t="shared" si="15"/>
        <v>公共部分装修</v>
      </c>
      <c r="AA35" s="1506">
        <f t="shared" si="3"/>
        <v>1</v>
      </c>
      <c r="AB35" s="1506">
        <f t="shared" si="4"/>
        <v>1</v>
      </c>
      <c r="AC35" s="1506">
        <f t="shared" si="5"/>
        <v>1</v>
      </c>
    </row>
    <row r="36" spans="1:29" ht="15">
      <c r="A36" s="430"/>
      <c r="B36" s="380" t="s">
        <v>2421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11"/>
      <c r="Q36" s="1505" t="str">
        <f t="shared" si="11"/>
        <v>成新度</v>
      </c>
      <c r="R36" s="713" t="s">
        <v>17</v>
      </c>
      <c r="S36" s="714" t="e">
        <f t="shared" si="12"/>
        <v>#N/A</v>
      </c>
      <c r="T36" s="713" t="s">
        <v>17</v>
      </c>
      <c r="U36" s="714" t="e">
        <f t="shared" si="13"/>
        <v>#N/A</v>
      </c>
      <c r="V36" s="713" t="s">
        <v>17</v>
      </c>
      <c r="W36" s="714" t="e">
        <f t="shared" si="14"/>
        <v>#N/A</v>
      </c>
      <c r="X36" s="1508"/>
      <c r="Y36" s="3513"/>
      <c r="Z36" s="1509" t="str">
        <f t="shared" si="15"/>
        <v>成新度</v>
      </c>
      <c r="AA36" s="1506" t="e">
        <f t="shared" si="3"/>
        <v>#N/A</v>
      </c>
      <c r="AB36" s="1506" t="e">
        <f t="shared" si="4"/>
        <v>#N/A</v>
      </c>
      <c r="AC36" s="1506" t="e">
        <f t="shared" si="5"/>
        <v>#N/A</v>
      </c>
    </row>
    <row r="37" spans="1:29" s="113" customFormat="1" ht="15">
      <c r="A37" s="431"/>
      <c r="B37" s="380" t="s">
        <v>2422</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11"/>
      <c r="Q37" s="1496" t="str">
        <f t="shared" si="11"/>
        <v>市政基础设施</v>
      </c>
      <c r="R37" s="709" t="s">
        <v>17</v>
      </c>
      <c r="S37" s="710">
        <f t="shared" si="12"/>
        <v>100</v>
      </c>
      <c r="T37" s="709" t="s">
        <v>17</v>
      </c>
      <c r="U37" s="710">
        <f t="shared" si="13"/>
        <v>100</v>
      </c>
      <c r="V37" s="709" t="s">
        <v>17</v>
      </c>
      <c r="W37" s="710">
        <f t="shared" si="14"/>
        <v>100</v>
      </c>
      <c r="X37" s="711"/>
      <c r="Y37" s="3513"/>
      <c r="Z37" s="55" t="str">
        <f t="shared" si="15"/>
        <v>市政基础设施</v>
      </c>
      <c r="AA37" s="712">
        <f t="shared" si="3"/>
        <v>1</v>
      </c>
      <c r="AB37" s="712">
        <f t="shared" si="4"/>
        <v>1</v>
      </c>
      <c r="AC37" s="712">
        <f t="shared" si="5"/>
        <v>1</v>
      </c>
    </row>
    <row r="38" spans="1:29" ht="15">
      <c r="A38" s="430"/>
      <c r="B38" s="380" t="s">
        <v>2423</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11" t="s">
        <v>2324</v>
      </c>
      <c r="Q38" s="1505" t="str">
        <f t="shared" si="11"/>
        <v>业态</v>
      </c>
      <c r="R38" s="713" t="s">
        <v>17</v>
      </c>
      <c r="S38" s="714">
        <f t="shared" si="12"/>
        <v>100</v>
      </c>
      <c r="T38" s="713" t="s">
        <v>17</v>
      </c>
      <c r="U38" s="714">
        <f t="shared" si="13"/>
        <v>100</v>
      </c>
      <c r="V38" s="713" t="s">
        <v>17</v>
      </c>
      <c r="W38" s="714">
        <f t="shared" si="14"/>
        <v>100</v>
      </c>
      <c r="X38" s="1508"/>
      <c r="Y38" s="3513" t="s">
        <v>2324</v>
      </c>
      <c r="Z38" s="1509" t="str">
        <f t="shared" si="15"/>
        <v>业态</v>
      </c>
      <c r="AA38" s="1506">
        <f t="shared" si="3"/>
        <v>1</v>
      </c>
      <c r="AB38" s="1506">
        <f t="shared" si="4"/>
        <v>1</v>
      </c>
      <c r="AC38" s="1506">
        <f t="shared" si="5"/>
        <v>1</v>
      </c>
    </row>
    <row r="39" spans="1:29" ht="15">
      <c r="A39" s="430"/>
      <c r="B39" s="380" t="s">
        <v>2424</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11"/>
      <c r="Q39" s="1505" t="str">
        <f t="shared" si="11"/>
        <v>层高</v>
      </c>
      <c r="R39" s="713" t="s">
        <v>17</v>
      </c>
      <c r="S39" s="714">
        <f t="shared" si="12"/>
        <v>100</v>
      </c>
      <c r="T39" s="713" t="s">
        <v>17</v>
      </c>
      <c r="U39" s="714">
        <f t="shared" si="13"/>
        <v>100</v>
      </c>
      <c r="V39" s="713" t="s">
        <v>17</v>
      </c>
      <c r="W39" s="714">
        <f t="shared" si="14"/>
        <v>100</v>
      </c>
      <c r="X39" s="1508"/>
      <c r="Y39" s="3513"/>
      <c r="Z39" s="1509" t="str">
        <f t="shared" si="15"/>
        <v>层高</v>
      </c>
      <c r="AA39" s="1506">
        <f t="shared" si="3"/>
        <v>1</v>
      </c>
      <c r="AB39" s="1506">
        <f t="shared" si="4"/>
        <v>1</v>
      </c>
      <c r="AC39" s="1506">
        <f t="shared" si="5"/>
        <v>1</v>
      </c>
    </row>
    <row r="40" spans="1:29" ht="15">
      <c r="A40" s="430"/>
      <c r="B40" s="380" t="s">
        <v>2425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11"/>
      <c r="Q40" s="1505" t="str">
        <f t="shared" si="11"/>
        <v>单套建筑面积</v>
      </c>
      <c r="R40" s="713" t="s">
        <v>17</v>
      </c>
      <c r="S40" s="714">
        <f t="shared" si="12"/>
        <v>100</v>
      </c>
      <c r="T40" s="713" t="s">
        <v>17</v>
      </c>
      <c r="U40" s="714">
        <f t="shared" si="13"/>
        <v>100</v>
      </c>
      <c r="V40" s="713" t="s">
        <v>17</v>
      </c>
      <c r="W40" s="714">
        <f t="shared" si="14"/>
        <v>100</v>
      </c>
      <c r="X40" s="1508"/>
      <c r="Y40" s="3513"/>
      <c r="Z40" s="1509" t="str">
        <f t="shared" si="15"/>
        <v>单套建筑面积</v>
      </c>
      <c r="AA40" s="1506">
        <f t="shared" si="3"/>
        <v>1</v>
      </c>
      <c r="AB40" s="1506">
        <f t="shared" si="4"/>
        <v>1</v>
      </c>
      <c r="AC40" s="1506">
        <f t="shared" si="5"/>
        <v>1</v>
      </c>
    </row>
    <row r="41" spans="1:29" s="429" customFormat="1" ht="15">
      <c r="A41" s="426"/>
      <c r="B41" s="1507" t="s">
        <v>2426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11"/>
      <c r="Q41" s="715" t="str">
        <f t="shared" si="11"/>
        <v>进深比</v>
      </c>
      <c r="R41" s="716" t="s">
        <v>17</v>
      </c>
      <c r="S41" s="717">
        <f t="shared" si="12"/>
        <v>100</v>
      </c>
      <c r="T41" s="716" t="s">
        <v>17</v>
      </c>
      <c r="U41" s="717">
        <f t="shared" si="13"/>
        <v>100</v>
      </c>
      <c r="V41" s="716" t="s">
        <v>17</v>
      </c>
      <c r="W41" s="717">
        <f t="shared" si="14"/>
        <v>100</v>
      </c>
      <c r="X41" s="718"/>
      <c r="Y41" s="3513"/>
      <c r="Z41" s="719" t="str">
        <f t="shared" si="15"/>
        <v>进深比</v>
      </c>
      <c r="AA41" s="1506">
        <f t="shared" si="3"/>
        <v>1</v>
      </c>
      <c r="AB41" s="1506">
        <f t="shared" si="4"/>
        <v>1</v>
      </c>
      <c r="AC41" s="1506">
        <f t="shared" si="5"/>
        <v>1</v>
      </c>
    </row>
    <row r="42" spans="1:29" ht="15">
      <c r="A42" s="430"/>
      <c r="B42" s="380" t="s">
        <v>2427</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11"/>
      <c r="Q42" s="1505" t="str">
        <f t="shared" si="11"/>
        <v>内部装修</v>
      </c>
      <c r="R42" s="713" t="s">
        <v>17</v>
      </c>
      <c r="S42" s="714">
        <f t="shared" si="12"/>
        <v>100</v>
      </c>
      <c r="T42" s="713" t="s">
        <v>17</v>
      </c>
      <c r="U42" s="714">
        <f t="shared" si="13"/>
        <v>100</v>
      </c>
      <c r="V42" s="713" t="s">
        <v>17</v>
      </c>
      <c r="W42" s="714">
        <f t="shared" si="14"/>
        <v>100</v>
      </c>
      <c r="X42" s="1508"/>
      <c r="Y42" s="3513"/>
      <c r="Z42" s="1509" t="str">
        <f t="shared" si="15"/>
        <v>内部装修</v>
      </c>
      <c r="AA42" s="1506">
        <f t="shared" si="3"/>
        <v>1</v>
      </c>
      <c r="AB42" s="1506">
        <f t="shared" si="4"/>
        <v>1</v>
      </c>
      <c r="AC42" s="1506">
        <f t="shared" si="5"/>
        <v>1</v>
      </c>
    </row>
    <row r="43" spans="1:29" ht="15">
      <c r="A43" s="430"/>
      <c r="B43" s="380" t="s">
        <v>2335</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11"/>
      <c r="Q43" s="1505" t="str">
        <f t="shared" si="11"/>
        <v>内部装修维护情况</v>
      </c>
      <c r="R43" s="713" t="s">
        <v>17</v>
      </c>
      <c r="S43" s="714">
        <f t="shared" si="12"/>
        <v>100</v>
      </c>
      <c r="T43" s="713" t="s">
        <v>17</v>
      </c>
      <c r="U43" s="714">
        <f t="shared" si="13"/>
        <v>100</v>
      </c>
      <c r="V43" s="713" t="s">
        <v>17</v>
      </c>
      <c r="W43" s="714">
        <f t="shared" si="14"/>
        <v>100</v>
      </c>
      <c r="X43" s="1508"/>
      <c r="Y43" s="3513"/>
      <c r="Z43" s="1509" t="str">
        <f t="shared" si="15"/>
        <v>内部装修维护情况</v>
      </c>
      <c r="AA43" s="1506">
        <f t="shared" si="3"/>
        <v>1</v>
      </c>
      <c r="AB43" s="1506">
        <f t="shared" si="4"/>
        <v>1</v>
      </c>
      <c r="AC43" s="1506">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5"/>
      <c r="M44" s="2916"/>
      <c r="N44" s="2916"/>
      <c r="O44" s="2916"/>
      <c r="P44" s="3511"/>
      <c r="Q44" s="1496">
        <f t="shared" si="11"/>
        <v>111</v>
      </c>
      <c r="R44" s="709" t="s">
        <v>17</v>
      </c>
      <c r="S44" s="710">
        <f t="shared" si="12"/>
        <v>100</v>
      </c>
      <c r="T44" s="709" t="s">
        <v>17</v>
      </c>
      <c r="U44" s="710">
        <f t="shared" si="13"/>
        <v>100</v>
      </c>
      <c r="V44" s="709" t="s">
        <v>17</v>
      </c>
      <c r="W44" s="710">
        <f t="shared" si="14"/>
        <v>100</v>
      </c>
      <c r="X44" s="711"/>
      <c r="Y44" s="3513"/>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11"/>
      <c r="Q45" s="1505">
        <f t="shared" si="11"/>
        <v>111</v>
      </c>
      <c r="R45" s="713" t="s">
        <v>17</v>
      </c>
      <c r="S45" s="714">
        <f t="shared" si="12"/>
        <v>100</v>
      </c>
      <c r="T45" s="713" t="s">
        <v>17</v>
      </c>
      <c r="U45" s="714">
        <f t="shared" si="13"/>
        <v>100</v>
      </c>
      <c r="V45" s="713" t="s">
        <v>17</v>
      </c>
      <c r="W45" s="714">
        <f t="shared" si="14"/>
        <v>100</v>
      </c>
      <c r="X45" s="1508"/>
      <c r="Y45" s="3513"/>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12"/>
      <c r="Q46" s="1505">
        <f t="shared" si="11"/>
        <v>111</v>
      </c>
      <c r="R46" s="713" t="s">
        <v>17</v>
      </c>
      <c r="S46" s="714">
        <f t="shared" si="12"/>
        <v>100</v>
      </c>
      <c r="T46" s="713" t="s">
        <v>17</v>
      </c>
      <c r="U46" s="714">
        <f t="shared" si="13"/>
        <v>100</v>
      </c>
      <c r="V46" s="713" t="s">
        <v>17</v>
      </c>
      <c r="W46" s="714">
        <f t="shared" si="14"/>
        <v>100</v>
      </c>
      <c r="X46" s="1508"/>
      <c r="Y46" s="3514"/>
      <c r="Z46" s="1509">
        <f t="shared" si="15"/>
        <v>111</v>
      </c>
      <c r="AA46" s="1506">
        <f t="shared" si="3"/>
        <v>1</v>
      </c>
      <c r="AB46" s="1506">
        <f t="shared" si="4"/>
        <v>1</v>
      </c>
      <c r="AC46" s="1506">
        <f t="shared" si="5"/>
        <v>1</v>
      </c>
    </row>
    <row r="47" spans="1:29" ht="15">
      <c r="A47" s="437" t="s">
        <v>2336</v>
      </c>
      <c r="B47" s="438"/>
      <c r="C47" s="1287" t="s">
        <v>1</v>
      </c>
      <c r="D47" s="1288"/>
      <c r="E47" s="1289"/>
      <c r="F47" s="1290"/>
      <c r="G47" s="1291"/>
      <c r="H47" s="1292"/>
      <c r="I47" s="1289"/>
      <c r="J47" s="1292"/>
      <c r="K47" s="722"/>
      <c r="L47" s="2922"/>
      <c r="M47" s="2923"/>
      <c r="N47" s="2914"/>
      <c r="O47" s="2923"/>
      <c r="P47" s="3506" t="str">
        <f>A47</f>
        <v>成交单价（元/平方米）</v>
      </c>
      <c r="Q47" s="3506"/>
      <c r="R47" s="3501">
        <f>E47</f>
        <v>0</v>
      </c>
      <c r="S47" s="3501"/>
      <c r="T47" s="3501">
        <f>G47</f>
        <v>0</v>
      </c>
      <c r="U47" s="3501"/>
      <c r="V47" s="3501">
        <f>I47</f>
        <v>0</v>
      </c>
      <c r="W47" s="3501"/>
      <c r="X47" s="698"/>
      <c r="Y47" s="720"/>
      <c r="Z47" s="698"/>
      <c r="AA47" s="698"/>
      <c r="AB47" s="698"/>
      <c r="AC47" s="698"/>
    </row>
    <row r="48" spans="1:29" ht="15.75" thickBot="1">
      <c r="A48" s="444" t="s">
        <v>2428</v>
      </c>
      <c r="B48" s="445"/>
      <c r="C48" s="1293" t="e">
        <f>R49</f>
        <v>#DIV/0!</v>
      </c>
      <c r="D48" s="2507" t="s">
        <v>2819</v>
      </c>
      <c r="E48" s="1294" t="e">
        <f>R48</f>
        <v>#DIV/0!</v>
      </c>
      <c r="F48" s="2508"/>
      <c r="G48" s="1293" t="e">
        <f>T48</f>
        <v>#DIV/0!</v>
      </c>
      <c r="H48" s="2508"/>
      <c r="I48" s="1294" t="e">
        <f>V48</f>
        <v>#DIV/0!</v>
      </c>
      <c r="J48" s="2508"/>
      <c r="K48" s="2510">
        <f>F48+H48+J48</f>
        <v>0</v>
      </c>
      <c r="L48" s="2922"/>
      <c r="M48" s="2923"/>
      <c r="N48" s="2914"/>
      <c r="O48" s="2923"/>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8"/>
      <c r="Y48" s="698"/>
      <c r="Z48" s="698"/>
      <c r="AA48" s="698"/>
      <c r="AB48" s="698"/>
      <c r="AC48" s="698"/>
    </row>
    <row r="49" spans="1:29" ht="15.75" thickBot="1">
      <c r="A49" s="448" t="s">
        <v>2429</v>
      </c>
      <c r="B49" s="449"/>
      <c r="C49" s="1296" t="e">
        <f>R49</f>
        <v>#DIV/0!</v>
      </c>
      <c r="D49" s="1296"/>
      <c r="E49" s="1296"/>
      <c r="F49" s="1296"/>
      <c r="G49" s="1296"/>
      <c r="H49" s="1296"/>
      <c r="I49" s="1296"/>
      <c r="J49" s="1296"/>
      <c r="K49" s="723"/>
      <c r="L49" s="2922"/>
      <c r="M49" s="2923"/>
      <c r="N49" s="2914"/>
      <c r="O49" s="2923"/>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2433</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2307</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2344</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2309</v>
      </c>
      <c r="B61" s="466"/>
      <c r="C61" s="478" t="s">
        <v>2411</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2347</v>
      </c>
      <c r="B63" s="484" t="s">
        <v>2313</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2316</v>
      </c>
      <c r="C65" s="495" t="s">
        <v>2348</v>
      </c>
      <c r="D65" s="495" t="s">
        <v>2349</v>
      </c>
      <c r="E65" s="495" t="s">
        <v>2350</v>
      </c>
      <c r="F65" s="495" t="s">
        <v>2351</v>
      </c>
      <c r="G65" s="495" t="s">
        <v>2352</v>
      </c>
      <c r="H65" s="495" t="s">
        <v>2353</v>
      </c>
      <c r="I65" s="495" t="s">
        <v>2354</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2318</v>
      </c>
      <c r="B76" s="484" t="s">
        <v>2355</v>
      </c>
      <c r="C76" s="529" t="s">
        <v>2356</v>
      </c>
      <c r="D76" s="529" t="s">
        <v>2357</v>
      </c>
      <c r="E76" s="529" t="s">
        <v>2358</v>
      </c>
      <c r="F76" s="529" t="s">
        <v>2359</v>
      </c>
      <c r="G76" s="529" t="s">
        <v>2360</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2361</v>
      </c>
      <c r="C78" s="534" t="s">
        <v>2356</v>
      </c>
      <c r="D78" s="534" t="s">
        <v>2357</v>
      </c>
      <c r="E78" s="534" t="s">
        <v>2358</v>
      </c>
      <c r="F78" s="534" t="s">
        <v>2359</v>
      </c>
      <c r="G78" s="534" t="s">
        <v>2360</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2362</v>
      </c>
      <c r="C80" s="534" t="s">
        <v>2356</v>
      </c>
      <c r="D80" s="534" t="s">
        <v>2357</v>
      </c>
      <c r="E80" s="534" t="s">
        <v>2358</v>
      </c>
      <c r="F80" s="534" t="s">
        <v>2359</v>
      </c>
      <c r="G80" s="534" t="s">
        <v>2360</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2414</v>
      </c>
      <c r="C82" s="615" t="s">
        <v>2434</v>
      </c>
      <c r="D82" s="615" t="s">
        <v>2435</v>
      </c>
      <c r="E82" s="615" t="s">
        <v>2436</v>
      </c>
      <c r="F82" s="615" t="s">
        <v>2437</v>
      </c>
      <c r="G82" s="615" t="s">
        <v>2438</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2368</v>
      </c>
      <c r="C84" s="534" t="s">
        <v>2356</v>
      </c>
      <c r="D84" s="534" t="s">
        <v>2357</v>
      </c>
      <c r="E84" s="534" t="s">
        <v>2358</v>
      </c>
      <c r="F84" s="534" t="s">
        <v>2359</v>
      </c>
      <c r="G84" s="534" t="s">
        <v>2360</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2439</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2322</v>
      </c>
      <c r="B100" s="484" t="s">
        <v>2440</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2373</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2375</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2377</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2441</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2442</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2443</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2444</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2379</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2380</v>
      </c>
      <c r="C124" s="534" t="s">
        <v>2356</v>
      </c>
      <c r="D124" s="534" t="s">
        <v>2357</v>
      </c>
      <c r="E124" s="534" t="s">
        <v>2358</v>
      </c>
      <c r="F124" s="534" t="s">
        <v>2359</v>
      </c>
      <c r="G124" s="534" t="s">
        <v>2360</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2287</v>
      </c>
      <c r="B1" s="2112" t="s">
        <v>2445</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2089</v>
      </c>
      <c r="B2" s="1297" t="e">
        <f ca="1">IF(C2="——",ROUND(C50*D3/10000,0),ROUND(C50*D3/10000,0)-D2)</f>
        <v>#DIV/0!</v>
      </c>
      <c r="C2" s="2036"/>
      <c r="D2" s="1246" t="e">
        <f ca="1">SUMIF(INDIRECT("'"&amp;F2&amp;"'"&amp;"!A:A"),"承租人权益价值",INDIRECT("'"&amp;F2&amp;"'"&amp;"!c:c"))</f>
        <v>#REF!</v>
      </c>
      <c r="E2" s="2037" t="s">
        <v>2090</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2091</v>
      </c>
      <c r="B3" s="565" t="e">
        <f ca="1">IF(C2="——",C50,ROUND(B2*10000/D3,0))</f>
        <v>#DIV/0!</v>
      </c>
      <c r="C3" s="359" t="s">
        <v>2403</v>
      </c>
      <c r="D3" s="358">
        <f>IF(D1="",'数据-汇总表'!E3,SUMIF('数据-汇总表'!$C19:$C33,D1,'数据-汇总表'!$E19:$E33))</f>
        <v>33617.25</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2404</v>
      </c>
      <c r="B4" s="361"/>
      <c r="C4" s="3489" t="s">
        <v>2405</v>
      </c>
      <c r="D4" s="3490"/>
      <c r="E4" s="3491" t="s">
        <v>2406</v>
      </c>
      <c r="F4" s="3492"/>
      <c r="G4" s="3489" t="s">
        <v>2407</v>
      </c>
      <c r="H4" s="3490"/>
      <c r="I4" s="3489" t="s">
        <v>2408</v>
      </c>
      <c r="J4" s="3490"/>
      <c r="K4" s="566" t="s">
        <v>2409</v>
      </c>
      <c r="L4" s="2913"/>
      <c r="M4" s="2914"/>
      <c r="N4" s="2914"/>
      <c r="O4" s="2914"/>
      <c r="P4" s="3525" t="s">
        <v>2410</v>
      </c>
      <c r="Q4" s="3526"/>
      <c r="R4" s="3520" t="s">
        <v>2406</v>
      </c>
      <c r="S4" s="3521"/>
      <c r="T4" s="3520" t="s">
        <v>2407</v>
      </c>
      <c r="U4" s="3521"/>
      <c r="V4" s="3529" t="s">
        <v>2408</v>
      </c>
      <c r="W4" s="3529"/>
      <c r="X4" s="2113"/>
      <c r="Y4" s="3520" t="s">
        <v>2410</v>
      </c>
      <c r="Z4" s="3521"/>
      <c r="AA4" s="3519" t="s">
        <v>2406</v>
      </c>
      <c r="AB4" s="3519" t="s">
        <v>2407</v>
      </c>
      <c r="AC4" s="3522" t="s">
        <v>2408</v>
      </c>
    </row>
    <row r="5" spans="1:29" ht="15">
      <c r="A5" s="363"/>
      <c r="B5" s="364"/>
      <c r="C5" s="3482" t="s">
        <v>2301</v>
      </c>
      <c r="D5" s="3483"/>
      <c r="E5" s="3517" t="s">
        <v>2302</v>
      </c>
      <c r="F5" s="3518"/>
      <c r="G5" s="3482" t="s">
        <v>2303</v>
      </c>
      <c r="H5" s="3483"/>
      <c r="I5" s="3482" t="s">
        <v>2304</v>
      </c>
      <c r="J5" s="3483"/>
      <c r="K5" s="566"/>
      <c r="L5" s="2913"/>
      <c r="M5" s="2914"/>
      <c r="N5" s="2914"/>
      <c r="O5" s="2914"/>
      <c r="P5" s="3527"/>
      <c r="Q5" s="3496"/>
      <c r="R5" s="3478"/>
      <c r="S5" s="3479"/>
      <c r="T5" s="3478"/>
      <c r="U5" s="3479"/>
      <c r="V5" s="3501"/>
      <c r="W5" s="3501"/>
      <c r="X5" s="1508"/>
      <c r="Y5" s="3478"/>
      <c r="Z5" s="3479"/>
      <c r="AA5" s="3472"/>
      <c r="AB5" s="3472"/>
      <c r="AC5" s="3523"/>
    </row>
    <row r="6" spans="1:29" ht="15.75" thickBot="1">
      <c r="A6" s="365"/>
      <c r="B6" s="366"/>
      <c r="C6" s="3484" t="s">
        <v>2305</v>
      </c>
      <c r="D6" s="3485"/>
      <c r="E6" s="3486" t="s">
        <v>2305</v>
      </c>
      <c r="F6" s="3487"/>
      <c r="G6" s="3484" t="s">
        <v>2305</v>
      </c>
      <c r="H6" s="3485"/>
      <c r="I6" s="3484" t="s">
        <v>2305</v>
      </c>
      <c r="J6" s="3485"/>
      <c r="K6" s="566" t="s">
        <v>2306</v>
      </c>
      <c r="L6" s="2913"/>
      <c r="M6" s="2914"/>
      <c r="N6" s="2914"/>
      <c r="O6" s="2914"/>
      <c r="P6" s="3528"/>
      <c r="Q6" s="3498"/>
      <c r="R6" s="3478"/>
      <c r="S6" s="3479"/>
      <c r="T6" s="3499"/>
      <c r="U6" s="3500"/>
      <c r="V6" s="3501"/>
      <c r="W6" s="3501"/>
      <c r="X6" s="1508"/>
      <c r="Y6" s="3499"/>
      <c r="Z6" s="3500"/>
      <c r="AA6" s="3473"/>
      <c r="AB6" s="3473"/>
      <c r="AC6" s="3524"/>
    </row>
    <row r="7" spans="1:29" s="113" customFormat="1" ht="15.75" thickBot="1">
      <c r="A7" s="367" t="s">
        <v>2307</v>
      </c>
      <c r="B7" s="368"/>
      <c r="C7" s="369">
        <f>'数据-取费表'!B2</f>
        <v>44575</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30" t="s">
        <v>2308</v>
      </c>
      <c r="Q7" s="3502"/>
      <c r="R7" s="709" t="s">
        <v>17</v>
      </c>
      <c r="S7" s="710">
        <f t="shared" ref="S7:S15" si="0">F7</f>
        <v>0</v>
      </c>
      <c r="T7" s="709" t="s">
        <v>17</v>
      </c>
      <c r="U7" s="710">
        <f t="shared" ref="U7:U15" si="1">H7</f>
        <v>0</v>
      </c>
      <c r="V7" s="709" t="s">
        <v>17</v>
      </c>
      <c r="W7" s="710">
        <f t="shared" ref="W7:W15" si="2">J7</f>
        <v>0</v>
      </c>
      <c r="X7" s="711"/>
      <c r="Y7" s="3474" t="s">
        <v>2308</v>
      </c>
      <c r="Z7" s="3475"/>
      <c r="AA7" s="712" t="e">
        <f>D7/F7</f>
        <v>#DIV/0!</v>
      </c>
      <c r="AB7" s="712" t="e">
        <f>D7/H7</f>
        <v>#DIV/0!</v>
      </c>
      <c r="AC7" s="2114" t="e">
        <f>D7/J7</f>
        <v>#DIV/0!</v>
      </c>
    </row>
    <row r="8" spans="1:29" s="113" customFormat="1" ht="15.75" thickBot="1">
      <c r="A8" s="367" t="s">
        <v>2309</v>
      </c>
      <c r="B8" s="368"/>
      <c r="C8" s="373" t="s">
        <v>2411</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30" t="s">
        <v>2311</v>
      </c>
      <c r="Q8" s="3475"/>
      <c r="R8" s="709" t="s">
        <v>17</v>
      </c>
      <c r="S8" s="710">
        <f t="shared" si="0"/>
        <v>0</v>
      </c>
      <c r="T8" s="709" t="s">
        <v>17</v>
      </c>
      <c r="U8" s="710">
        <f t="shared" si="1"/>
        <v>0</v>
      </c>
      <c r="V8" s="709" t="s">
        <v>17</v>
      </c>
      <c r="W8" s="710">
        <f t="shared" si="2"/>
        <v>0</v>
      </c>
      <c r="X8" s="711"/>
      <c r="Y8" s="3474" t="s">
        <v>2311</v>
      </c>
      <c r="Z8" s="3475"/>
      <c r="AA8" s="712" t="e">
        <f t="shared" ref="AA8:AA47" si="3">D8/F8</f>
        <v>#DIV/0!</v>
      </c>
      <c r="AB8" s="712" t="e">
        <f t="shared" ref="AB8:AB47" si="4">D8/H8</f>
        <v>#DIV/0!</v>
      </c>
      <c r="AC8" s="2114" t="e">
        <f t="shared" ref="AC8:AC47" si="5">D8/J8</f>
        <v>#DIV/0!</v>
      </c>
    </row>
    <row r="9" spans="1:29" s="113" customFormat="1">
      <c r="A9" s="374" t="s">
        <v>2312</v>
      </c>
      <c r="B9" s="67" t="s">
        <v>2313</v>
      </c>
      <c r="C9" s="375"/>
      <c r="D9" s="130">
        <v>100</v>
      </c>
      <c r="E9" s="378"/>
      <c r="F9" s="130">
        <f>SUMIF(64:64,E9,65:65)-SUMIF(64:64,C9,65:65)+100</f>
        <v>100</v>
      </c>
      <c r="G9" s="376"/>
      <c r="H9" s="130">
        <f>SUMIF(64:64,G9,65:65)-SUMIF(64:64,C9,65:65)+100</f>
        <v>100</v>
      </c>
      <c r="I9" s="376"/>
      <c r="J9" s="130">
        <f>SUMIF(64:64,I9,65:65)-SUMIF(64:64,C9,65:65)+100</f>
        <v>100</v>
      </c>
      <c r="K9" s="567"/>
      <c r="L9" s="2915"/>
      <c r="M9" s="2916"/>
      <c r="N9" s="2916"/>
      <c r="O9" s="2916"/>
      <c r="P9" s="3488"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2114">
        <f t="shared" si="5"/>
        <v>1</v>
      </c>
    </row>
    <row r="10" spans="1:29" s="385" customFormat="1" ht="27">
      <c r="A10" s="379"/>
      <c r="B10" s="380" t="s">
        <v>2316</v>
      </c>
      <c r="C10" s="381"/>
      <c r="D10" s="131">
        <v>100</v>
      </c>
      <c r="E10" s="381"/>
      <c r="F10" s="131">
        <f>SUMIF(66:66,E10,67:67)-SUMIF(66:66,C10,67:67)+100</f>
        <v>100</v>
      </c>
      <c r="G10" s="382"/>
      <c r="H10" s="131">
        <f>SUMIF(66:66,G10,67:67)-SUMIF(66:66,C10,67:67)+100</f>
        <v>100</v>
      </c>
      <c r="I10" s="381"/>
      <c r="J10" s="131">
        <f>SUMIF(66:66,I10,67:67)-SUMIF(66:66,C10,67:67)+100</f>
        <v>100</v>
      </c>
      <c r="K10" s="568"/>
      <c r="L10" s="2917"/>
      <c r="M10" s="2918"/>
      <c r="N10" s="2918"/>
      <c r="O10" s="2918"/>
      <c r="P10" s="3488"/>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2114">
        <f t="shared" si="5"/>
        <v>1</v>
      </c>
    </row>
    <row r="11" spans="1:29" ht="15">
      <c r="A11" s="386"/>
      <c r="B11" s="380" t="s">
        <v>2317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9"/>
      <c r="M11" s="2914"/>
      <c r="N11" s="2914"/>
      <c r="O11" s="2914"/>
      <c r="P11" s="3488"/>
      <c r="Q11" s="1496" t="str">
        <f t="shared" si="6"/>
        <v>容积率</v>
      </c>
      <c r="R11" s="709" t="s">
        <v>17</v>
      </c>
      <c r="S11" s="710" t="e">
        <f t="shared" si="0"/>
        <v>#N/A</v>
      </c>
      <c r="T11" s="709" t="s">
        <v>17</v>
      </c>
      <c r="U11" s="710" t="e">
        <f t="shared" si="1"/>
        <v>#N/A</v>
      </c>
      <c r="V11" s="709" t="s">
        <v>17</v>
      </c>
      <c r="W11" s="710" t="e">
        <f t="shared" si="2"/>
        <v>#N/A</v>
      </c>
      <c r="X11" s="711"/>
      <c r="Y11" s="3418"/>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5"/>
      <c r="M12" s="2916"/>
      <c r="N12" s="2916"/>
      <c r="O12" s="2916"/>
      <c r="P12" s="3488"/>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20"/>
      <c r="M13" s="2914"/>
      <c r="N13" s="2914"/>
      <c r="O13" s="2914"/>
      <c r="P13" s="3488"/>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488"/>
      <c r="Q14" s="1496">
        <f t="shared" si="6"/>
        <v>111</v>
      </c>
      <c r="R14" s="709" t="s">
        <v>17</v>
      </c>
      <c r="S14" s="710">
        <f t="shared" si="0"/>
        <v>100</v>
      </c>
      <c r="T14" s="709" t="s">
        <v>17</v>
      </c>
      <c r="U14" s="710">
        <f t="shared" si="1"/>
        <v>100</v>
      </c>
      <c r="V14" s="709" t="s">
        <v>17</v>
      </c>
      <c r="W14" s="710">
        <f t="shared" si="2"/>
        <v>100</v>
      </c>
      <c r="X14" s="711"/>
      <c r="Y14" s="3418"/>
      <c r="Z14" s="55">
        <f t="shared" si="7"/>
        <v>111</v>
      </c>
      <c r="AA14" s="712">
        <f t="shared" si="3"/>
        <v>1</v>
      </c>
      <c r="AB14" s="712">
        <f t="shared" si="4"/>
        <v>1</v>
      </c>
      <c r="AC14" s="2114">
        <f t="shared" si="5"/>
        <v>1</v>
      </c>
    </row>
    <row r="15" spans="1:29" ht="71.25">
      <c r="A15" s="398" t="s">
        <v>2318</v>
      </c>
      <c r="B15" s="584" t="s">
        <v>2446</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15" t="s">
        <v>2319</v>
      </c>
      <c r="Q15" s="1505" t="str">
        <f t="shared" si="6"/>
        <v>办公集聚程度</v>
      </c>
      <c r="R15" s="713" t="s">
        <v>17</v>
      </c>
      <c r="S15" s="714">
        <f t="shared" si="0"/>
        <v>100</v>
      </c>
      <c r="T15" s="713" t="s">
        <v>17</v>
      </c>
      <c r="U15" s="714">
        <f t="shared" si="1"/>
        <v>100</v>
      </c>
      <c r="V15" s="713" t="s">
        <v>17</v>
      </c>
      <c r="W15" s="714">
        <f t="shared" si="2"/>
        <v>100</v>
      </c>
      <c r="X15" s="1508"/>
      <c r="Y15" s="3508" t="s">
        <v>2319</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16"/>
      <c r="Q16" s="1505"/>
      <c r="R16" s="713"/>
      <c r="S16" s="714"/>
      <c r="T16" s="713"/>
      <c r="U16" s="714"/>
      <c r="V16" s="713"/>
      <c r="W16" s="714"/>
      <c r="X16" s="1508"/>
      <c r="Y16" s="3509"/>
      <c r="Z16" s="1509"/>
      <c r="AA16" s="1506">
        <v>1</v>
      </c>
      <c r="AB16" s="1506">
        <v>1</v>
      </c>
      <c r="AC16" s="2117">
        <v>1</v>
      </c>
    </row>
    <row r="17" spans="1:29" ht="71.25">
      <c r="A17" s="386"/>
      <c r="B17" s="586" t="s">
        <v>1886</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16"/>
      <c r="Q17" s="1505" t="str">
        <f>B17</f>
        <v>交通便捷度</v>
      </c>
      <c r="R17" s="713" t="s">
        <v>17</v>
      </c>
      <c r="S17" s="714">
        <f>F17</f>
        <v>100</v>
      </c>
      <c r="T17" s="713" t="s">
        <v>17</v>
      </c>
      <c r="U17" s="714">
        <f>H17</f>
        <v>100</v>
      </c>
      <c r="V17" s="713" t="s">
        <v>17</v>
      </c>
      <c r="W17" s="714">
        <f>J17</f>
        <v>100</v>
      </c>
      <c r="X17" s="1508"/>
      <c r="Y17" s="3509"/>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16"/>
      <c r="Q18" s="1505"/>
      <c r="R18" s="713"/>
      <c r="S18" s="714"/>
      <c r="T18" s="713"/>
      <c r="U18" s="714"/>
      <c r="V18" s="713"/>
      <c r="W18" s="714"/>
      <c r="X18" s="1508"/>
      <c r="Y18" s="3509"/>
      <c r="Z18" s="1509"/>
      <c r="AA18" s="1506">
        <v>1</v>
      </c>
      <c r="AB18" s="1506">
        <v>1</v>
      </c>
      <c r="AC18" s="2117">
        <v>1</v>
      </c>
    </row>
    <row r="19" spans="1:29" ht="42.75">
      <c r="A19" s="386"/>
      <c r="B19" s="586" t="s">
        <v>2447</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16"/>
      <c r="Q19" s="1505" t="str">
        <f>B19</f>
        <v>公共配套设施</v>
      </c>
      <c r="R19" s="713" t="s">
        <v>17</v>
      </c>
      <c r="S19" s="714">
        <f>F19</f>
        <v>100</v>
      </c>
      <c r="T19" s="713" t="s">
        <v>17</v>
      </c>
      <c r="U19" s="714">
        <f>H19</f>
        <v>100</v>
      </c>
      <c r="V19" s="713" t="s">
        <v>17</v>
      </c>
      <c r="W19" s="714">
        <f>J19</f>
        <v>100</v>
      </c>
      <c r="X19" s="1508"/>
      <c r="Y19" s="3509"/>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16"/>
      <c r="Q20" s="1505"/>
      <c r="R20" s="713"/>
      <c r="S20" s="714"/>
      <c r="T20" s="713"/>
      <c r="U20" s="714"/>
      <c r="V20" s="713"/>
      <c r="W20" s="714"/>
      <c r="X20" s="1508"/>
      <c r="Y20" s="3509"/>
      <c r="Z20" s="1509"/>
      <c r="AA20" s="1506">
        <v>1</v>
      </c>
      <c r="AB20" s="1506">
        <v>1</v>
      </c>
      <c r="AC20" s="2117">
        <v>1</v>
      </c>
    </row>
    <row r="21" spans="1:29" ht="28.5">
      <c r="A21" s="386"/>
      <c r="B21" s="588" t="s">
        <v>2448</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16"/>
      <c r="Q21" s="1505" t="str">
        <f>B21</f>
        <v>基础设施水平</v>
      </c>
      <c r="R21" s="713" t="s">
        <v>17</v>
      </c>
      <c r="S21" s="714">
        <f>F21</f>
        <v>100</v>
      </c>
      <c r="T21" s="713" t="s">
        <v>17</v>
      </c>
      <c r="U21" s="714">
        <f>H21</f>
        <v>100</v>
      </c>
      <c r="V21" s="713" t="s">
        <v>17</v>
      </c>
      <c r="W21" s="714">
        <f>J21</f>
        <v>100</v>
      </c>
      <c r="X21" s="1508"/>
      <c r="Y21" s="3509"/>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16"/>
      <c r="Q22" s="1505"/>
      <c r="R22" s="713"/>
      <c r="S22" s="714"/>
      <c r="T22" s="713"/>
      <c r="U22" s="714"/>
      <c r="V22" s="713"/>
      <c r="W22" s="714"/>
      <c r="X22" s="1508"/>
      <c r="Y22" s="3509"/>
      <c r="Z22" s="1509"/>
      <c r="AA22" s="1506">
        <v>1</v>
      </c>
      <c r="AB22" s="1506">
        <v>1</v>
      </c>
      <c r="AC22" s="2117">
        <v>1</v>
      </c>
    </row>
    <row r="23" spans="1:29" ht="42.75">
      <c r="A23" s="386"/>
      <c r="B23" s="586" t="s">
        <v>2449</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16"/>
      <c r="Q23" s="1505" t="str">
        <f>B23</f>
        <v>环境质量</v>
      </c>
      <c r="R23" s="713" t="s">
        <v>17</v>
      </c>
      <c r="S23" s="714">
        <f>F23</f>
        <v>100</v>
      </c>
      <c r="T23" s="713" t="s">
        <v>17</v>
      </c>
      <c r="U23" s="714">
        <f>H23</f>
        <v>100</v>
      </c>
      <c r="V23" s="713" t="s">
        <v>17</v>
      </c>
      <c r="W23" s="714">
        <f>J23</f>
        <v>100</v>
      </c>
      <c r="X23" s="1508"/>
      <c r="Y23" s="3509"/>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16"/>
      <c r="Q24" s="1505"/>
      <c r="R24" s="713"/>
      <c r="S24" s="714"/>
      <c r="T24" s="713"/>
      <c r="U24" s="714"/>
      <c r="V24" s="713"/>
      <c r="W24" s="714"/>
      <c r="X24" s="1508"/>
      <c r="Y24" s="3509"/>
      <c r="Z24" s="1509"/>
      <c r="AA24" s="1506">
        <v>1</v>
      </c>
      <c r="AB24" s="1506">
        <v>1</v>
      </c>
      <c r="AC24" s="2117">
        <v>1</v>
      </c>
    </row>
    <row r="25" spans="1:29" ht="27">
      <c r="A25" s="363"/>
      <c r="B25" s="586" t="s">
        <v>2450</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16"/>
      <c r="Q25" s="1505" t="str">
        <f>B25</f>
        <v>毗邻道路的类型与等级</v>
      </c>
      <c r="R25" s="713" t="s">
        <v>17</v>
      </c>
      <c r="S25" s="714">
        <f>F25</f>
        <v>100</v>
      </c>
      <c r="T25" s="713" t="s">
        <v>17</v>
      </c>
      <c r="U25" s="714">
        <f>H25</f>
        <v>100</v>
      </c>
      <c r="V25" s="713" t="s">
        <v>17</v>
      </c>
      <c r="W25" s="714">
        <f>J25</f>
        <v>100</v>
      </c>
      <c r="X25" s="1508"/>
      <c r="Y25" s="3509"/>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16"/>
      <c r="Q26" s="1505"/>
      <c r="R26" s="713"/>
      <c r="S26" s="714"/>
      <c r="T26" s="713"/>
      <c r="U26" s="714"/>
      <c r="V26" s="713"/>
      <c r="W26" s="714"/>
      <c r="X26" s="1508"/>
      <c r="Y26" s="3509"/>
      <c r="Z26" s="1509"/>
      <c r="AA26" s="1506">
        <v>1</v>
      </c>
      <c r="AB26" s="1506">
        <v>1</v>
      </c>
      <c r="AC26" s="2117">
        <v>1</v>
      </c>
    </row>
    <row r="27" spans="1:29" ht="15">
      <c r="A27" s="386"/>
      <c r="B27" s="587" t="s">
        <v>2418</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16"/>
      <c r="Q27" s="1505" t="str">
        <f t="shared" ref="Q27:Q47" si="11">B27</f>
        <v>楼层</v>
      </c>
      <c r="R27" s="713" t="s">
        <v>17</v>
      </c>
      <c r="S27" s="714">
        <f>F27</f>
        <v>100</v>
      </c>
      <c r="T27" s="713" t="s">
        <v>17</v>
      </c>
      <c r="U27" s="714">
        <f>H27</f>
        <v>100</v>
      </c>
      <c r="V27" s="713" t="s">
        <v>17</v>
      </c>
      <c r="W27" s="714">
        <f>J27</f>
        <v>100</v>
      </c>
      <c r="X27" s="1508"/>
      <c r="Y27" s="3509"/>
      <c r="Z27" s="1509" t="str">
        <f>Q27</f>
        <v>楼层</v>
      </c>
      <c r="AA27" s="1506">
        <f t="shared" si="3"/>
        <v>1</v>
      </c>
      <c r="AB27" s="1506">
        <f t="shared" si="4"/>
        <v>1</v>
      </c>
      <c r="AC27" s="2117">
        <f t="shared" si="5"/>
        <v>1</v>
      </c>
    </row>
    <row r="28" spans="1:29" s="113" customFormat="1" ht="15">
      <c r="A28" s="389"/>
      <c r="B28" s="586" t="s">
        <v>2451</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16"/>
      <c r="Q28" s="1496" t="str">
        <f t="shared" si="11"/>
        <v>朝向</v>
      </c>
      <c r="R28" s="709" t="s">
        <v>17</v>
      </c>
      <c r="S28" s="710">
        <f>F28</f>
        <v>100</v>
      </c>
      <c r="T28" s="709" t="s">
        <v>17</v>
      </c>
      <c r="U28" s="710">
        <f>H28</f>
        <v>100</v>
      </c>
      <c r="V28" s="709" t="s">
        <v>17</v>
      </c>
      <c r="W28" s="710">
        <f>J28</f>
        <v>100</v>
      </c>
      <c r="X28" s="711"/>
      <c r="Y28" s="3509"/>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16"/>
      <c r="Q29" s="1505">
        <f t="shared" si="11"/>
        <v>111</v>
      </c>
      <c r="R29" s="713" t="s">
        <v>17</v>
      </c>
      <c r="S29" s="714">
        <f t="shared" ref="S29:S47" si="12">F29</f>
        <v>100</v>
      </c>
      <c r="T29" s="713" t="s">
        <v>17</v>
      </c>
      <c r="U29" s="714">
        <f t="shared" ref="U29:U47" si="13">H29</f>
        <v>100</v>
      </c>
      <c r="V29" s="713" t="s">
        <v>17</v>
      </c>
      <c r="W29" s="714">
        <f t="shared" ref="W29:W47" si="14">J29</f>
        <v>100</v>
      </c>
      <c r="X29" s="1508"/>
      <c r="Y29" s="3509"/>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16"/>
      <c r="Q30" s="1505">
        <f t="shared" si="11"/>
        <v>111</v>
      </c>
      <c r="R30" s="713" t="s">
        <v>17</v>
      </c>
      <c r="S30" s="714">
        <f t="shared" si="12"/>
        <v>100</v>
      </c>
      <c r="T30" s="713" t="s">
        <v>17</v>
      </c>
      <c r="U30" s="714">
        <f t="shared" si="13"/>
        <v>100</v>
      </c>
      <c r="V30" s="713" t="s">
        <v>17</v>
      </c>
      <c r="W30" s="714">
        <f t="shared" si="14"/>
        <v>100</v>
      </c>
      <c r="X30" s="1508"/>
      <c r="Y30" s="3509"/>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16"/>
      <c r="Q31" s="1505">
        <f t="shared" si="11"/>
        <v>111</v>
      </c>
      <c r="R31" s="713" t="s">
        <v>17</v>
      </c>
      <c r="S31" s="714">
        <f t="shared" si="12"/>
        <v>100</v>
      </c>
      <c r="T31" s="713" t="s">
        <v>17</v>
      </c>
      <c r="U31" s="714">
        <f t="shared" si="13"/>
        <v>100</v>
      </c>
      <c r="V31" s="713" t="s">
        <v>17</v>
      </c>
      <c r="W31" s="714">
        <f t="shared" si="14"/>
        <v>100</v>
      </c>
      <c r="X31" s="1508"/>
      <c r="Y31" s="3509"/>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16"/>
      <c r="Q32" s="1505">
        <f t="shared" si="11"/>
        <v>111</v>
      </c>
      <c r="R32" s="713" t="s">
        <v>17</v>
      </c>
      <c r="S32" s="714">
        <f t="shared" si="12"/>
        <v>100</v>
      </c>
      <c r="T32" s="713" t="s">
        <v>17</v>
      </c>
      <c r="U32" s="714">
        <f t="shared" si="13"/>
        <v>100</v>
      </c>
      <c r="V32" s="713" t="s">
        <v>17</v>
      </c>
      <c r="W32" s="714">
        <f t="shared" si="14"/>
        <v>100</v>
      </c>
      <c r="X32" s="1508"/>
      <c r="Y32" s="3509"/>
      <c r="Z32" s="1509">
        <f t="shared" si="15"/>
        <v>111</v>
      </c>
      <c r="AA32" s="1506">
        <f t="shared" si="3"/>
        <v>1</v>
      </c>
      <c r="AB32" s="1506">
        <f t="shared" si="4"/>
        <v>1</v>
      </c>
      <c r="AC32" s="2117">
        <f t="shared" si="5"/>
        <v>1</v>
      </c>
    </row>
    <row r="33" spans="1:29" ht="15">
      <c r="A33" s="398" t="s">
        <v>2322</v>
      </c>
      <c r="B33" s="67" t="s">
        <v>2452</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10" t="s">
        <v>2324</v>
      </c>
      <c r="Q33" s="1505" t="str">
        <f t="shared" si="11"/>
        <v>建筑类型</v>
      </c>
      <c r="R33" s="713" t="s">
        <v>17</v>
      </c>
      <c r="S33" s="714">
        <f t="shared" si="12"/>
        <v>100</v>
      </c>
      <c r="T33" s="713" t="s">
        <v>17</v>
      </c>
      <c r="U33" s="714">
        <f t="shared" si="13"/>
        <v>100</v>
      </c>
      <c r="V33" s="713" t="s">
        <v>17</v>
      </c>
      <c r="W33" s="714">
        <f t="shared" si="14"/>
        <v>100</v>
      </c>
      <c r="X33" s="1508"/>
      <c r="Y33" s="3513" t="s">
        <v>2324</v>
      </c>
      <c r="Z33" s="1509" t="str">
        <f t="shared" si="15"/>
        <v>建筑类型</v>
      </c>
      <c r="AA33" s="1506">
        <f t="shared" si="3"/>
        <v>1</v>
      </c>
      <c r="AB33" s="1506">
        <f t="shared" si="4"/>
        <v>1</v>
      </c>
      <c r="AC33" s="2117">
        <f t="shared" si="5"/>
        <v>1</v>
      </c>
    </row>
    <row r="34" spans="1:29" s="429" customFormat="1" ht="15">
      <c r="A34" s="426"/>
      <c r="B34" s="380" t="s">
        <v>2325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9"/>
      <c r="M34" s="2921"/>
      <c r="N34" s="2921"/>
      <c r="O34" s="2921"/>
      <c r="P34" s="3511"/>
      <c r="Q34" s="715" t="str">
        <f t="shared" si="11"/>
        <v>项目建筑规模</v>
      </c>
      <c r="R34" s="716" t="s">
        <v>17</v>
      </c>
      <c r="S34" s="717" t="e">
        <f t="shared" si="12"/>
        <v>#N/A</v>
      </c>
      <c r="T34" s="716" t="s">
        <v>17</v>
      </c>
      <c r="U34" s="717" t="e">
        <f t="shared" si="13"/>
        <v>#N/A</v>
      </c>
      <c r="V34" s="716" t="s">
        <v>17</v>
      </c>
      <c r="W34" s="717" t="e">
        <f t="shared" si="14"/>
        <v>#N/A</v>
      </c>
      <c r="X34" s="718"/>
      <c r="Y34" s="3513"/>
      <c r="Z34" s="719" t="str">
        <f t="shared" si="15"/>
        <v>项目建筑规模</v>
      </c>
      <c r="AA34" s="1506" t="e">
        <f t="shared" si="3"/>
        <v>#N/A</v>
      </c>
      <c r="AB34" s="1506" t="e">
        <f t="shared" si="4"/>
        <v>#N/A</v>
      </c>
      <c r="AC34" s="2117" t="e">
        <f t="shared" si="5"/>
        <v>#N/A</v>
      </c>
    </row>
    <row r="35" spans="1:29" ht="15">
      <c r="A35" s="430"/>
      <c r="B35" s="380" t="s">
        <v>2326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11"/>
      <c r="Q35" s="1505" t="str">
        <f t="shared" si="11"/>
        <v>建筑结构</v>
      </c>
      <c r="R35" s="713" t="s">
        <v>17</v>
      </c>
      <c r="S35" s="714">
        <f t="shared" si="12"/>
        <v>100</v>
      </c>
      <c r="T35" s="713" t="s">
        <v>17</v>
      </c>
      <c r="U35" s="714">
        <f t="shared" si="13"/>
        <v>100</v>
      </c>
      <c r="V35" s="713" t="s">
        <v>17</v>
      </c>
      <c r="W35" s="714">
        <f t="shared" si="14"/>
        <v>100</v>
      </c>
      <c r="X35" s="1508"/>
      <c r="Y35" s="3513"/>
      <c r="Z35" s="1509" t="str">
        <f t="shared" si="15"/>
        <v>建筑结构</v>
      </c>
      <c r="AA35" s="1506">
        <f t="shared" si="3"/>
        <v>1</v>
      </c>
      <c r="AB35" s="1506">
        <f t="shared" si="4"/>
        <v>1</v>
      </c>
      <c r="AC35" s="2117">
        <f t="shared" si="5"/>
        <v>1</v>
      </c>
    </row>
    <row r="36" spans="1:29" ht="15">
      <c r="A36" s="430"/>
      <c r="B36" s="380" t="s">
        <v>2420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11"/>
      <c r="Q36" s="1505" t="str">
        <f t="shared" si="11"/>
        <v>公共部分装修</v>
      </c>
      <c r="R36" s="713" t="s">
        <v>17</v>
      </c>
      <c r="S36" s="714">
        <f t="shared" si="12"/>
        <v>100</v>
      </c>
      <c r="T36" s="713" t="s">
        <v>17</v>
      </c>
      <c r="U36" s="714">
        <f t="shared" si="13"/>
        <v>100</v>
      </c>
      <c r="V36" s="713" t="s">
        <v>17</v>
      </c>
      <c r="W36" s="714">
        <f t="shared" si="14"/>
        <v>100</v>
      </c>
      <c r="X36" s="1508"/>
      <c r="Y36" s="3513"/>
      <c r="Z36" s="1509" t="str">
        <f t="shared" si="15"/>
        <v>公共部分装修</v>
      </c>
      <c r="AA36" s="1506">
        <f t="shared" si="3"/>
        <v>1</v>
      </c>
      <c r="AB36" s="1506">
        <f t="shared" si="4"/>
        <v>1</v>
      </c>
      <c r="AC36" s="2117">
        <f t="shared" si="5"/>
        <v>1</v>
      </c>
    </row>
    <row r="37" spans="1:29" ht="15">
      <c r="A37" s="430"/>
      <c r="B37" s="380" t="s">
        <v>2421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11"/>
      <c r="Q37" s="1505" t="str">
        <f t="shared" si="11"/>
        <v>成新度</v>
      </c>
      <c r="R37" s="713" t="s">
        <v>17</v>
      </c>
      <c r="S37" s="714" t="e">
        <f t="shared" si="12"/>
        <v>#N/A</v>
      </c>
      <c r="T37" s="713" t="s">
        <v>17</v>
      </c>
      <c r="U37" s="714" t="e">
        <f t="shared" si="13"/>
        <v>#N/A</v>
      </c>
      <c r="V37" s="713" t="s">
        <v>17</v>
      </c>
      <c r="W37" s="714" t="e">
        <f t="shared" si="14"/>
        <v>#N/A</v>
      </c>
      <c r="X37" s="1508"/>
      <c r="Y37" s="3513"/>
      <c r="Z37" s="1509" t="str">
        <f t="shared" si="15"/>
        <v>成新度</v>
      </c>
      <c r="AA37" s="1506" t="e">
        <f t="shared" si="3"/>
        <v>#N/A</v>
      </c>
      <c r="AB37" s="1506" t="e">
        <f t="shared" si="4"/>
        <v>#N/A</v>
      </c>
      <c r="AC37" s="2117" t="e">
        <f t="shared" si="5"/>
        <v>#N/A</v>
      </c>
    </row>
    <row r="38" spans="1:29" s="113" customFormat="1" ht="15">
      <c r="A38" s="431"/>
      <c r="B38" s="380" t="s">
        <v>2453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11"/>
      <c r="Q38" s="1496" t="str">
        <f t="shared" si="11"/>
        <v>写字楼等级</v>
      </c>
      <c r="R38" s="709" t="s">
        <v>17</v>
      </c>
      <c r="S38" s="710">
        <f t="shared" si="12"/>
        <v>100</v>
      </c>
      <c r="T38" s="709" t="s">
        <v>17</v>
      </c>
      <c r="U38" s="710">
        <f t="shared" si="13"/>
        <v>100</v>
      </c>
      <c r="V38" s="709" t="s">
        <v>17</v>
      </c>
      <c r="W38" s="710">
        <f t="shared" si="14"/>
        <v>100</v>
      </c>
      <c r="X38" s="711"/>
      <c r="Y38" s="3513"/>
      <c r="Z38" s="55" t="str">
        <f t="shared" si="15"/>
        <v>写字楼等级</v>
      </c>
      <c r="AA38" s="712">
        <f t="shared" si="3"/>
        <v>1</v>
      </c>
      <c r="AB38" s="712">
        <f t="shared" si="4"/>
        <v>1</v>
      </c>
      <c r="AC38" s="2114">
        <f t="shared" si="5"/>
        <v>1</v>
      </c>
    </row>
    <row r="39" spans="1:29" ht="15">
      <c r="A39" s="430"/>
      <c r="B39" s="380" t="s">
        <v>2454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11" t="s">
        <v>2324</v>
      </c>
      <c r="Q39" s="1505" t="str">
        <f t="shared" si="11"/>
        <v>物业管理</v>
      </c>
      <c r="R39" s="713" t="s">
        <v>17</v>
      </c>
      <c r="S39" s="714">
        <f t="shared" si="12"/>
        <v>100</v>
      </c>
      <c r="T39" s="713" t="s">
        <v>17</v>
      </c>
      <c r="U39" s="714">
        <f t="shared" si="13"/>
        <v>100</v>
      </c>
      <c r="V39" s="713" t="s">
        <v>17</v>
      </c>
      <c r="W39" s="714">
        <f t="shared" si="14"/>
        <v>100</v>
      </c>
      <c r="X39" s="1508"/>
      <c r="Y39" s="3513" t="s">
        <v>2324</v>
      </c>
      <c r="Z39" s="1509" t="str">
        <f t="shared" si="15"/>
        <v>物业管理</v>
      </c>
      <c r="AA39" s="1506">
        <f t="shared" si="3"/>
        <v>1</v>
      </c>
      <c r="AB39" s="1506">
        <f t="shared" si="4"/>
        <v>1</v>
      </c>
      <c r="AC39" s="2117">
        <f t="shared" si="5"/>
        <v>1</v>
      </c>
    </row>
    <row r="40" spans="1:29" ht="15">
      <c r="A40" s="430"/>
      <c r="B40" s="380" t="s">
        <v>2422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11"/>
      <c r="Q40" s="1505" t="str">
        <f t="shared" si="11"/>
        <v>市政基础设施</v>
      </c>
      <c r="R40" s="713" t="s">
        <v>17</v>
      </c>
      <c r="S40" s="714">
        <f t="shared" si="12"/>
        <v>100</v>
      </c>
      <c r="T40" s="713" t="s">
        <v>17</v>
      </c>
      <c r="U40" s="714">
        <f t="shared" si="13"/>
        <v>100</v>
      </c>
      <c r="V40" s="713" t="s">
        <v>17</v>
      </c>
      <c r="W40" s="714">
        <f t="shared" si="14"/>
        <v>100</v>
      </c>
      <c r="X40" s="1508"/>
      <c r="Y40" s="3513"/>
      <c r="Z40" s="1509" t="str">
        <f t="shared" si="15"/>
        <v>市政基础设施</v>
      </c>
      <c r="AA40" s="1506">
        <f t="shared" si="3"/>
        <v>1</v>
      </c>
      <c r="AB40" s="1506">
        <f t="shared" si="4"/>
        <v>1</v>
      </c>
      <c r="AC40" s="2117">
        <f t="shared" si="5"/>
        <v>1</v>
      </c>
    </row>
    <row r="41" spans="1:29" ht="15">
      <c r="A41" s="430"/>
      <c r="B41" s="380" t="s">
        <v>2424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11"/>
      <c r="Q41" s="1505" t="str">
        <f t="shared" si="11"/>
        <v>层高</v>
      </c>
      <c r="R41" s="713" t="s">
        <v>17</v>
      </c>
      <c r="S41" s="714">
        <f t="shared" si="12"/>
        <v>100</v>
      </c>
      <c r="T41" s="713" t="s">
        <v>17</v>
      </c>
      <c r="U41" s="714">
        <f t="shared" si="13"/>
        <v>100</v>
      </c>
      <c r="V41" s="713" t="s">
        <v>17</v>
      </c>
      <c r="W41" s="714">
        <f t="shared" si="14"/>
        <v>100</v>
      </c>
      <c r="X41" s="1508"/>
      <c r="Y41" s="3513"/>
      <c r="Z41" s="1509" t="str">
        <f t="shared" si="15"/>
        <v>层高</v>
      </c>
      <c r="AA41" s="1506">
        <f t="shared" si="3"/>
        <v>1</v>
      </c>
      <c r="AB41" s="1506">
        <f t="shared" si="4"/>
        <v>1</v>
      </c>
      <c r="AC41" s="2117">
        <f t="shared" si="5"/>
        <v>1</v>
      </c>
    </row>
    <row r="42" spans="1:29" s="429" customFormat="1" ht="15">
      <c r="A42" s="426"/>
      <c r="B42" s="1507" t="s">
        <v>2455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11"/>
      <c r="Q42" s="715" t="str">
        <f t="shared" si="11"/>
        <v>单套建筑面积</v>
      </c>
      <c r="R42" s="716" t="s">
        <v>17</v>
      </c>
      <c r="S42" s="717">
        <f t="shared" si="12"/>
        <v>100</v>
      </c>
      <c r="T42" s="716" t="s">
        <v>17</v>
      </c>
      <c r="U42" s="717">
        <f t="shared" si="13"/>
        <v>100</v>
      </c>
      <c r="V42" s="716" t="s">
        <v>17</v>
      </c>
      <c r="W42" s="717">
        <f t="shared" si="14"/>
        <v>100</v>
      </c>
      <c r="X42" s="718"/>
      <c r="Y42" s="3513"/>
      <c r="Z42" s="719" t="str">
        <f t="shared" si="15"/>
        <v>单套建筑面积</v>
      </c>
      <c r="AA42" s="1506">
        <f t="shared" si="3"/>
        <v>1</v>
      </c>
      <c r="AB42" s="1506">
        <f t="shared" si="4"/>
        <v>1</v>
      </c>
      <c r="AC42" s="2117">
        <f t="shared" si="5"/>
        <v>1</v>
      </c>
    </row>
    <row r="43" spans="1:29" ht="15">
      <c r="A43" s="430"/>
      <c r="B43" s="380" t="s">
        <v>2427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11"/>
      <c r="Q43" s="1505" t="str">
        <f t="shared" si="11"/>
        <v>内部装修</v>
      </c>
      <c r="R43" s="713" t="s">
        <v>17</v>
      </c>
      <c r="S43" s="714">
        <f t="shared" si="12"/>
        <v>100</v>
      </c>
      <c r="T43" s="713" t="s">
        <v>17</v>
      </c>
      <c r="U43" s="714">
        <f t="shared" si="13"/>
        <v>100</v>
      </c>
      <c r="V43" s="713" t="s">
        <v>17</v>
      </c>
      <c r="W43" s="714">
        <f t="shared" si="14"/>
        <v>100</v>
      </c>
      <c r="X43" s="1508"/>
      <c r="Y43" s="3513"/>
      <c r="Z43" s="1509" t="str">
        <f t="shared" si="15"/>
        <v>内部装修</v>
      </c>
      <c r="AA43" s="1506">
        <f t="shared" si="3"/>
        <v>1</v>
      </c>
      <c r="AB43" s="1506">
        <f t="shared" si="4"/>
        <v>1</v>
      </c>
      <c r="AC43" s="2117">
        <f t="shared" si="5"/>
        <v>1</v>
      </c>
    </row>
    <row r="44" spans="1:29" ht="15">
      <c r="A44" s="430"/>
      <c r="B44" s="380" t="s">
        <v>2335</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11"/>
      <c r="Q44" s="1505" t="str">
        <f t="shared" si="11"/>
        <v>内部装修维护情况</v>
      </c>
      <c r="R44" s="713" t="s">
        <v>17</v>
      </c>
      <c r="S44" s="714">
        <f t="shared" si="12"/>
        <v>100</v>
      </c>
      <c r="T44" s="713" t="s">
        <v>17</v>
      </c>
      <c r="U44" s="714">
        <f t="shared" si="13"/>
        <v>100</v>
      </c>
      <c r="V44" s="713" t="s">
        <v>17</v>
      </c>
      <c r="W44" s="714">
        <f t="shared" si="14"/>
        <v>100</v>
      </c>
      <c r="X44" s="1508"/>
      <c r="Y44" s="3513"/>
      <c r="Z44" s="1509" t="str">
        <f t="shared" si="15"/>
        <v>内部装修维护情况</v>
      </c>
      <c r="AA44" s="1506">
        <f t="shared" si="3"/>
        <v>1</v>
      </c>
      <c r="AB44" s="1506">
        <f t="shared" si="4"/>
        <v>1</v>
      </c>
      <c r="AC44" s="2117">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5"/>
      <c r="M45" s="2916"/>
      <c r="N45" s="2916"/>
      <c r="O45" s="2916"/>
      <c r="P45" s="3511"/>
      <c r="Q45" s="1496">
        <f t="shared" si="11"/>
        <v>111</v>
      </c>
      <c r="R45" s="709" t="s">
        <v>17</v>
      </c>
      <c r="S45" s="710">
        <f t="shared" si="12"/>
        <v>100</v>
      </c>
      <c r="T45" s="709" t="s">
        <v>17</v>
      </c>
      <c r="U45" s="710">
        <f t="shared" si="13"/>
        <v>100</v>
      </c>
      <c r="V45" s="709" t="s">
        <v>17</v>
      </c>
      <c r="W45" s="710">
        <f t="shared" si="14"/>
        <v>100</v>
      </c>
      <c r="X45" s="711"/>
      <c r="Y45" s="3513"/>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11"/>
      <c r="Q46" s="1505">
        <f t="shared" si="11"/>
        <v>111</v>
      </c>
      <c r="R46" s="713" t="s">
        <v>17</v>
      </c>
      <c r="S46" s="714">
        <f t="shared" si="12"/>
        <v>100</v>
      </c>
      <c r="T46" s="713" t="s">
        <v>17</v>
      </c>
      <c r="U46" s="714">
        <f t="shared" si="13"/>
        <v>100</v>
      </c>
      <c r="V46" s="713" t="s">
        <v>17</v>
      </c>
      <c r="W46" s="714">
        <f t="shared" si="14"/>
        <v>100</v>
      </c>
      <c r="X46" s="1508"/>
      <c r="Y46" s="3513"/>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12"/>
      <c r="Q47" s="1505">
        <f t="shared" si="11"/>
        <v>111</v>
      </c>
      <c r="R47" s="713" t="s">
        <v>17</v>
      </c>
      <c r="S47" s="714">
        <f t="shared" si="12"/>
        <v>100</v>
      </c>
      <c r="T47" s="713" t="s">
        <v>17</v>
      </c>
      <c r="U47" s="714">
        <f t="shared" si="13"/>
        <v>100</v>
      </c>
      <c r="V47" s="713" t="s">
        <v>17</v>
      </c>
      <c r="W47" s="714">
        <f t="shared" si="14"/>
        <v>100</v>
      </c>
      <c r="X47" s="1508"/>
      <c r="Y47" s="3514"/>
      <c r="Z47" s="1509">
        <f t="shared" si="15"/>
        <v>111</v>
      </c>
      <c r="AA47" s="1506">
        <f t="shared" si="3"/>
        <v>1</v>
      </c>
      <c r="AB47" s="1506">
        <f t="shared" si="4"/>
        <v>1</v>
      </c>
      <c r="AC47" s="2117">
        <f t="shared" si="5"/>
        <v>1</v>
      </c>
    </row>
    <row r="48" spans="1:29" ht="15">
      <c r="A48" s="437" t="s">
        <v>2336</v>
      </c>
      <c r="B48" s="438"/>
      <c r="C48" s="1287" t="s">
        <v>1</v>
      </c>
      <c r="D48" s="1288"/>
      <c r="E48" s="1289"/>
      <c r="F48" s="1290"/>
      <c r="G48" s="1291"/>
      <c r="H48" s="1292"/>
      <c r="I48" s="1289"/>
      <c r="J48" s="443"/>
      <c r="K48" s="722"/>
      <c r="L48" s="2922"/>
      <c r="M48" s="2914"/>
      <c r="N48" s="2914"/>
      <c r="O48" s="2914"/>
      <c r="P48" s="3488" t="str">
        <f>A48</f>
        <v>成交单价（元/平方米）</v>
      </c>
      <c r="Q48" s="3506"/>
      <c r="R48" s="3507">
        <f>E48</f>
        <v>0</v>
      </c>
      <c r="S48" s="3507"/>
      <c r="T48" s="3507">
        <f>G48</f>
        <v>0</v>
      </c>
      <c r="U48" s="3507"/>
      <c r="V48" s="3507">
        <f>I48</f>
        <v>0</v>
      </c>
      <c r="W48" s="3507"/>
      <c r="X48" s="404"/>
      <c r="Y48" s="720"/>
      <c r="Z48" s="404"/>
      <c r="AA48" s="404"/>
      <c r="AB48" s="404"/>
      <c r="AC48" s="585"/>
    </row>
    <row r="49" spans="1:29" ht="15.75" thickBot="1">
      <c r="A49" s="444" t="s">
        <v>2428</v>
      </c>
      <c r="B49" s="445"/>
      <c r="C49" s="1293" t="e">
        <f>R50</f>
        <v>#DIV/0!</v>
      </c>
      <c r="D49" s="2507" t="s">
        <v>2819</v>
      </c>
      <c r="E49" s="1294" t="e">
        <f>R49</f>
        <v>#DIV/0!</v>
      </c>
      <c r="F49" s="2508"/>
      <c r="G49" s="1293" t="e">
        <f>T49</f>
        <v>#DIV/0!</v>
      </c>
      <c r="H49" s="2508"/>
      <c r="I49" s="1294" t="e">
        <f>V49</f>
        <v>#DIV/0!</v>
      </c>
      <c r="J49" s="2508"/>
      <c r="K49" s="2510">
        <f>F49+H49+J49</f>
        <v>0</v>
      </c>
      <c r="L49" s="2922"/>
      <c r="M49" s="2914"/>
      <c r="N49" s="2914"/>
      <c r="O49" s="2914"/>
      <c r="P49" s="3488" t="str">
        <f>A49</f>
        <v>比较价值（元/平方米）</v>
      </c>
      <c r="Q49" s="3506"/>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404"/>
      <c r="Y49" s="404"/>
      <c r="Z49" s="404"/>
      <c r="AA49" s="404"/>
      <c r="AB49" s="404"/>
      <c r="AC49" s="585"/>
    </row>
    <row r="50" spans="1:29" ht="15.75" thickBot="1">
      <c r="A50" s="448" t="s">
        <v>2429</v>
      </c>
      <c r="B50" s="449"/>
      <c r="C50" s="1296" t="e">
        <f>R50</f>
        <v>#DIV/0!</v>
      </c>
      <c r="D50" s="1296"/>
      <c r="E50" s="1296"/>
      <c r="F50" s="1296"/>
      <c r="G50" s="1296"/>
      <c r="H50" s="1296"/>
      <c r="I50" s="1296"/>
      <c r="J50" s="450"/>
      <c r="K50" s="723"/>
      <c r="L50" s="2922"/>
      <c r="M50" s="2914"/>
      <c r="N50" s="2914"/>
      <c r="O50" s="2914"/>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2433</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2307</v>
      </c>
      <c r="B59" s="462"/>
      <c r="C59" s="1317" t="str">
        <f>YEAR(C7)&amp;"-"&amp;MONTH(C7)</f>
        <v>2022-1</v>
      </c>
      <c r="D59" s="1318">
        <f>EDATE(C59,-1)</f>
        <v>44531</v>
      </c>
      <c r="E59" s="1318">
        <f>EDATE(D59,-1)</f>
        <v>44501</v>
      </c>
      <c r="F59" s="1318">
        <f t="shared" ref="F59:O59" si="16">EDATE(E59,-1)</f>
        <v>44470</v>
      </c>
      <c r="G59" s="1318">
        <f t="shared" si="16"/>
        <v>44440</v>
      </c>
      <c r="H59" s="1318">
        <f t="shared" si="16"/>
        <v>44409</v>
      </c>
      <c r="I59" s="1318">
        <f t="shared" si="16"/>
        <v>44378</v>
      </c>
      <c r="J59" s="1318">
        <f t="shared" si="16"/>
        <v>44348</v>
      </c>
      <c r="K59" s="1318">
        <f t="shared" si="16"/>
        <v>44317</v>
      </c>
      <c r="L59" s="1318">
        <f t="shared" si="16"/>
        <v>44287</v>
      </c>
      <c r="M59" s="1318">
        <f t="shared" si="16"/>
        <v>44256</v>
      </c>
      <c r="N59" s="1318">
        <f t="shared" si="16"/>
        <v>44228</v>
      </c>
      <c r="O59" s="1318">
        <f t="shared" si="16"/>
        <v>44197</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2344</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2309</v>
      </c>
      <c r="B62" s="466"/>
      <c r="C62" s="478" t="s">
        <v>2411</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2347</v>
      </c>
      <c r="B64" s="484" t="s">
        <v>2313</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2316</v>
      </c>
      <c r="C66" s="495" t="s">
        <v>2348</v>
      </c>
      <c r="D66" s="495" t="s">
        <v>2349</v>
      </c>
      <c r="E66" s="495" t="s">
        <v>2350</v>
      </c>
      <c r="F66" s="495" t="s">
        <v>2351</v>
      </c>
      <c r="G66" s="495" t="s">
        <v>2352</v>
      </c>
      <c r="H66" s="495" t="s">
        <v>2353</v>
      </c>
      <c r="I66" s="495" t="s">
        <v>2354</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2318</v>
      </c>
      <c r="B77" s="484" t="s">
        <v>2456</v>
      </c>
      <c r="C77" s="529" t="s">
        <v>2356</v>
      </c>
      <c r="D77" s="529" t="s">
        <v>2357</v>
      </c>
      <c r="E77" s="529" t="s">
        <v>2358</v>
      </c>
      <c r="F77" s="529" t="s">
        <v>2359</v>
      </c>
      <c r="G77" s="529" t="s">
        <v>2360</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2361</v>
      </c>
      <c r="C79" s="534" t="s">
        <v>2356</v>
      </c>
      <c r="D79" s="534" t="s">
        <v>2357</v>
      </c>
      <c r="E79" s="534" t="s">
        <v>2358</v>
      </c>
      <c r="F79" s="534" t="s">
        <v>2359</v>
      </c>
      <c r="G79" s="534" t="s">
        <v>2360</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2362</v>
      </c>
      <c r="C81" s="534" t="s">
        <v>2356</v>
      </c>
      <c r="D81" s="534" t="s">
        <v>2357</v>
      </c>
      <c r="E81" s="534" t="s">
        <v>2358</v>
      </c>
      <c r="F81" s="534" t="s">
        <v>2359</v>
      </c>
      <c r="G81" s="534" t="s">
        <v>2360</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2448</v>
      </c>
      <c r="C83" s="615" t="s">
        <v>2434</v>
      </c>
      <c r="D83" s="615" t="s">
        <v>2435</v>
      </c>
      <c r="E83" s="615" t="s">
        <v>2436</v>
      </c>
      <c r="F83" s="615" t="s">
        <v>2437</v>
      </c>
      <c r="G83" s="615" t="s">
        <v>2438</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2457</v>
      </c>
      <c r="C85" s="534" t="s">
        <v>2356</v>
      </c>
      <c r="D85" s="534" t="s">
        <v>2357</v>
      </c>
      <c r="E85" s="534" t="s">
        <v>2358</v>
      </c>
      <c r="F85" s="534" t="s">
        <v>2359</v>
      </c>
      <c r="G85" s="534" t="s">
        <v>2360</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2458</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2322</v>
      </c>
      <c r="B101" s="484" t="s">
        <v>2371</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2373</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2375</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2459</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2376</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2377</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2460</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2443</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2379</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2380</v>
      </c>
      <c r="C125" s="534" t="s">
        <v>2356</v>
      </c>
      <c r="D125" s="534" t="s">
        <v>2357</v>
      </c>
      <c r="E125" s="534" t="s">
        <v>2358</v>
      </c>
      <c r="F125" s="534" t="s">
        <v>2359</v>
      </c>
      <c r="G125" s="534" t="s">
        <v>2360</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受贵公司委托，我公司对北京市出让国有建设用地使用权及在建建筑物房地产抵押价值进行了预评估。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估价对象为北京市出让国有建设用地使用权及在建建筑物房地产，为所有。根据《国有土地使用证》[]，估价对象（分摊）出让国有建设用地使用权面积为8422.83平方米，建筑面积为33617.25平方米。</v>
      </c>
    </row>
    <row r="8" spans="1:1" ht="57.75">
      <c r="A8" s="1637" t="s">
        <v>1519</v>
      </c>
    </row>
    <row r="9" spans="1:1" ht="18.75">
      <c r="A9" s="1636" t="s">
        <v>1520</v>
      </c>
    </row>
    <row r="10" spans="1:1" ht="7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2022年1月14日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本次评估采用的主估价方法为成本法和假设开发法。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2287</v>
      </c>
      <c r="B1" s="2112" t="s">
        <v>2461</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2089</v>
      </c>
      <c r="B2" s="1297" t="e">
        <f ca="1">IF(C2="——",ROUND(C43*D3/10000,0),ROUND(C43*D3/10000,0)-D2)</f>
        <v>#DIV/0!</v>
      </c>
      <c r="C2" s="2036"/>
      <c r="D2" s="1037" t="e">
        <f ca="1">SUMIF(INDIRECT("'"&amp;F2&amp;"'"&amp;"!A:A"),"承租人权益价值",INDIRECT("'"&amp;F2&amp;"'"&amp;"!c:c"))</f>
        <v>#REF!</v>
      </c>
      <c r="E2" s="2037" t="s">
        <v>2090</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2091</v>
      </c>
      <c r="B3" s="565" t="e">
        <f ca="1">IF(C2="——",C43,ROUND(B2*10000/D3,0))</f>
        <v>#DIV/0!</v>
      </c>
      <c r="C3" s="359" t="s">
        <v>2403</v>
      </c>
      <c r="D3" s="358">
        <f>IF(D1="",'数据-汇总表'!E3,SUMIF('数据-汇总表'!$C19:$C33,D1,'数据-汇总表'!$E19:$E33))</f>
        <v>33617.25</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2404</v>
      </c>
      <c r="B4" s="361"/>
      <c r="C4" s="3489" t="s">
        <v>2405</v>
      </c>
      <c r="D4" s="3490"/>
      <c r="E4" s="3491" t="s">
        <v>2406</v>
      </c>
      <c r="F4" s="3492"/>
      <c r="G4" s="3489" t="s">
        <v>2407</v>
      </c>
      <c r="H4" s="3490"/>
      <c r="I4" s="3489" t="s">
        <v>2408</v>
      </c>
      <c r="J4" s="3490"/>
      <c r="K4" s="566" t="s">
        <v>2409</v>
      </c>
      <c r="L4" s="1043"/>
      <c r="M4" s="1044"/>
      <c r="N4" s="1044"/>
      <c r="O4" s="1044"/>
      <c r="P4" s="3493" t="s">
        <v>2410</v>
      </c>
      <c r="Q4" s="3494"/>
      <c r="R4" s="3476" t="s">
        <v>2406</v>
      </c>
      <c r="S4" s="3477"/>
      <c r="T4" s="3476" t="s">
        <v>2407</v>
      </c>
      <c r="U4" s="3477"/>
      <c r="V4" s="3501" t="s">
        <v>2408</v>
      </c>
      <c r="W4" s="3501"/>
      <c r="X4" s="1508"/>
      <c r="Y4" s="3476" t="s">
        <v>2410</v>
      </c>
      <c r="Z4" s="3477"/>
      <c r="AA4" s="3471" t="s">
        <v>2406</v>
      </c>
      <c r="AB4" s="3472" t="s">
        <v>2407</v>
      </c>
      <c r="AC4" s="3471" t="s">
        <v>2408</v>
      </c>
    </row>
    <row r="5" spans="1:29" ht="15">
      <c r="A5" s="363"/>
      <c r="B5" s="364"/>
      <c r="C5" s="3482" t="s">
        <v>2301</v>
      </c>
      <c r="D5" s="3483"/>
      <c r="E5" s="3517" t="s">
        <v>2302</v>
      </c>
      <c r="F5" s="3518"/>
      <c r="G5" s="3482" t="s">
        <v>2303</v>
      </c>
      <c r="H5" s="3483"/>
      <c r="I5" s="3482" t="s">
        <v>2304</v>
      </c>
      <c r="J5" s="3483"/>
      <c r="K5" s="566"/>
      <c r="L5" s="1043"/>
      <c r="M5" s="1044"/>
      <c r="N5" s="1044"/>
      <c r="O5" s="1044"/>
      <c r="P5" s="3495"/>
      <c r="Q5" s="3496"/>
      <c r="R5" s="3478"/>
      <c r="S5" s="3479"/>
      <c r="T5" s="3478"/>
      <c r="U5" s="3479"/>
      <c r="V5" s="3501"/>
      <c r="W5" s="3501"/>
      <c r="X5" s="1508"/>
      <c r="Y5" s="3478"/>
      <c r="Z5" s="3479"/>
      <c r="AA5" s="3472"/>
      <c r="AB5" s="3472"/>
      <c r="AC5" s="3472"/>
    </row>
    <row r="6" spans="1:29" ht="15.75" thickBot="1">
      <c r="A6" s="365"/>
      <c r="B6" s="366"/>
      <c r="C6" s="3484" t="s">
        <v>2305</v>
      </c>
      <c r="D6" s="3485"/>
      <c r="E6" s="3486" t="s">
        <v>2305</v>
      </c>
      <c r="F6" s="3487"/>
      <c r="G6" s="3484" t="s">
        <v>2305</v>
      </c>
      <c r="H6" s="3485"/>
      <c r="I6" s="3484" t="s">
        <v>2305</v>
      </c>
      <c r="J6" s="3485"/>
      <c r="K6" s="566" t="s">
        <v>2306</v>
      </c>
      <c r="L6" s="1043"/>
      <c r="M6" s="1044"/>
      <c r="N6" s="1044"/>
      <c r="O6" s="1044"/>
      <c r="P6" s="3497"/>
      <c r="Q6" s="3498"/>
      <c r="R6" s="3478"/>
      <c r="S6" s="3479"/>
      <c r="T6" s="3499"/>
      <c r="U6" s="3500"/>
      <c r="V6" s="3501"/>
      <c r="W6" s="3501"/>
      <c r="X6" s="1508"/>
      <c r="Y6" s="3499"/>
      <c r="Z6" s="3500"/>
      <c r="AA6" s="3473"/>
      <c r="AB6" s="3473"/>
      <c r="AC6" s="3473"/>
    </row>
    <row r="7" spans="1:29" s="113" customFormat="1" ht="15.75" thickBot="1">
      <c r="A7" s="367" t="s">
        <v>2307</v>
      </c>
      <c r="B7" s="368"/>
      <c r="C7" s="369">
        <f>'数据-取费表'!B2</f>
        <v>44575</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74" t="s">
        <v>2308</v>
      </c>
      <c r="Q7" s="3502"/>
      <c r="R7" s="709" t="s">
        <v>17</v>
      </c>
      <c r="S7" s="710">
        <f t="shared" ref="S7:S15" si="0">F7</f>
        <v>0</v>
      </c>
      <c r="T7" s="709" t="s">
        <v>17</v>
      </c>
      <c r="U7" s="710">
        <f t="shared" ref="U7:U15" si="1">H7</f>
        <v>0</v>
      </c>
      <c r="V7" s="709" t="s">
        <v>17</v>
      </c>
      <c r="W7" s="710">
        <f t="shared" ref="W7:W15" si="2">J7</f>
        <v>0</v>
      </c>
      <c r="X7" s="711"/>
      <c r="Y7" s="3474" t="s">
        <v>2308</v>
      </c>
      <c r="Z7" s="3475"/>
      <c r="AA7" s="712" t="e">
        <f>D7/F7</f>
        <v>#DIV/0!</v>
      </c>
      <c r="AB7" s="712" t="e">
        <f>D7/H7</f>
        <v>#DIV/0!</v>
      </c>
      <c r="AC7" s="712" t="e">
        <f>D7/J7</f>
        <v>#DIV/0!</v>
      </c>
    </row>
    <row r="8" spans="1:29" s="113" customFormat="1" ht="15.75" thickBot="1">
      <c r="A8" s="367" t="s">
        <v>2309</v>
      </c>
      <c r="B8" s="368"/>
      <c r="C8" s="373" t="s">
        <v>2310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74" t="s">
        <v>2311</v>
      </c>
      <c r="Q8" s="3475"/>
      <c r="R8" s="709" t="s">
        <v>17</v>
      </c>
      <c r="S8" s="710">
        <f t="shared" si="0"/>
        <v>0</v>
      </c>
      <c r="T8" s="709" t="s">
        <v>17</v>
      </c>
      <c r="U8" s="710">
        <f t="shared" si="1"/>
        <v>0</v>
      </c>
      <c r="V8" s="709" t="s">
        <v>17</v>
      </c>
      <c r="W8" s="710">
        <f t="shared" si="2"/>
        <v>0</v>
      </c>
      <c r="X8" s="711"/>
      <c r="Y8" s="3474" t="s">
        <v>2311</v>
      </c>
      <c r="Z8" s="3475"/>
      <c r="AA8" s="712" t="e">
        <f t="shared" ref="AA8:AA40" si="3">D8/F8</f>
        <v>#DIV/0!</v>
      </c>
      <c r="AB8" s="712" t="e">
        <f t="shared" ref="AB8:AB40" si="4">D8/H8</f>
        <v>#DIV/0!</v>
      </c>
      <c r="AC8" s="712" t="e">
        <f t="shared" ref="AC8:AC40" si="5">D8/J8</f>
        <v>#DIV/0!</v>
      </c>
    </row>
    <row r="9" spans="1:29" s="113" customFormat="1">
      <c r="A9" s="374" t="s">
        <v>2312</v>
      </c>
      <c r="B9" s="67" t="s">
        <v>2313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06"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06"/>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06"/>
      <c r="Q11" s="1496" t="str">
        <f t="shared" si="6"/>
        <v>容积率</v>
      </c>
      <c r="R11" s="709" t="s">
        <v>17</v>
      </c>
      <c r="S11" s="710" t="e">
        <f t="shared" si="0"/>
        <v>#N/A</v>
      </c>
      <c r="T11" s="709" t="s">
        <v>17</v>
      </c>
      <c r="U11" s="710" t="e">
        <f t="shared" si="1"/>
        <v>#N/A</v>
      </c>
      <c r="V11" s="709" t="s">
        <v>17</v>
      </c>
      <c r="W11" s="710" t="e">
        <f t="shared" si="2"/>
        <v>#N/A</v>
      </c>
      <c r="X11" s="711"/>
      <c r="Y11" s="3418"/>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506"/>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506"/>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506"/>
      <c r="Q14" s="1496">
        <f t="shared" si="6"/>
        <v>111</v>
      </c>
      <c r="R14" s="709" t="s">
        <v>17</v>
      </c>
      <c r="S14" s="710">
        <f t="shared" si="0"/>
        <v>100</v>
      </c>
      <c r="T14" s="709" t="s">
        <v>17</v>
      </c>
      <c r="U14" s="710">
        <f t="shared" si="1"/>
        <v>100</v>
      </c>
      <c r="V14" s="709" t="s">
        <v>17</v>
      </c>
      <c r="W14" s="710">
        <f t="shared" si="2"/>
        <v>100</v>
      </c>
      <c r="X14" s="711"/>
      <c r="Y14" s="3418"/>
      <c r="Z14" s="55">
        <f t="shared" si="7"/>
        <v>111</v>
      </c>
      <c r="AA14" s="712">
        <f t="shared" si="3"/>
        <v>1</v>
      </c>
      <c r="AB14" s="712">
        <f t="shared" si="4"/>
        <v>1</v>
      </c>
      <c r="AC14" s="712">
        <f t="shared" si="5"/>
        <v>1</v>
      </c>
    </row>
    <row r="15" spans="1:29" ht="57">
      <c r="A15" s="398" t="s">
        <v>2318</v>
      </c>
      <c r="B15" s="65" t="s">
        <v>2462</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08" t="s">
        <v>2319</v>
      </c>
      <c r="Q15" s="1505" t="str">
        <f t="shared" si="6"/>
        <v>产业集聚程度</v>
      </c>
      <c r="R15" s="713" t="s">
        <v>17</v>
      </c>
      <c r="S15" s="714">
        <f t="shared" si="0"/>
        <v>100</v>
      </c>
      <c r="T15" s="713" t="s">
        <v>17</v>
      </c>
      <c r="U15" s="714">
        <f t="shared" si="1"/>
        <v>100</v>
      </c>
      <c r="V15" s="713" t="s">
        <v>17</v>
      </c>
      <c r="W15" s="714">
        <f t="shared" si="2"/>
        <v>100</v>
      </c>
      <c r="X15" s="1508"/>
      <c r="Y15" s="3508" t="s">
        <v>2319</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509"/>
      <c r="Q16" s="1505"/>
      <c r="R16" s="713"/>
      <c r="S16" s="714"/>
      <c r="T16" s="713"/>
      <c r="U16" s="714"/>
      <c r="V16" s="713"/>
      <c r="W16" s="714"/>
      <c r="X16" s="1508"/>
      <c r="Y16" s="3509"/>
      <c r="Z16" s="1509"/>
      <c r="AA16" s="1506">
        <v>1</v>
      </c>
      <c r="AB16" s="1506">
        <v>1</v>
      </c>
      <c r="AC16" s="1506">
        <v>1</v>
      </c>
    </row>
    <row r="17" spans="1:29" ht="85.5">
      <c r="A17" s="386"/>
      <c r="B17" s="409" t="s">
        <v>1886</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09"/>
      <c r="Q17" s="1505" t="str">
        <f>B17</f>
        <v>交通便捷度</v>
      </c>
      <c r="R17" s="713" t="s">
        <v>17</v>
      </c>
      <c r="S17" s="714">
        <f>F17</f>
        <v>100</v>
      </c>
      <c r="T17" s="713" t="s">
        <v>17</v>
      </c>
      <c r="U17" s="714">
        <f>H17</f>
        <v>100</v>
      </c>
      <c r="V17" s="713" t="s">
        <v>17</v>
      </c>
      <c r="W17" s="714">
        <f>J17</f>
        <v>100</v>
      </c>
      <c r="X17" s="1508"/>
      <c r="Y17" s="350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509"/>
      <c r="Q18" s="1505"/>
      <c r="R18" s="713"/>
      <c r="S18" s="714"/>
      <c r="T18" s="713"/>
      <c r="U18" s="714"/>
      <c r="V18" s="713"/>
      <c r="W18" s="714"/>
      <c r="X18" s="1508"/>
      <c r="Y18" s="3509"/>
      <c r="Z18" s="1509"/>
      <c r="AA18" s="1506">
        <v>1</v>
      </c>
      <c r="AB18" s="1506">
        <v>1</v>
      </c>
      <c r="AC18" s="1506">
        <v>1</v>
      </c>
    </row>
    <row r="19" spans="1:29" ht="42.75">
      <c r="A19" s="386"/>
      <c r="B19" s="409" t="s">
        <v>2447</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09"/>
      <c r="Q19" s="1505" t="str">
        <f>B19</f>
        <v>公共配套设施</v>
      </c>
      <c r="R19" s="713" t="s">
        <v>17</v>
      </c>
      <c r="S19" s="714">
        <f>F19</f>
        <v>100</v>
      </c>
      <c r="T19" s="713" t="s">
        <v>17</v>
      </c>
      <c r="U19" s="714">
        <f>H19</f>
        <v>100</v>
      </c>
      <c r="V19" s="713" t="s">
        <v>17</v>
      </c>
      <c r="W19" s="714">
        <f>J19</f>
        <v>100</v>
      </c>
      <c r="X19" s="1508"/>
      <c r="Y19" s="350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509"/>
      <c r="Q20" s="1505"/>
      <c r="R20" s="713"/>
      <c r="S20" s="714"/>
      <c r="T20" s="713"/>
      <c r="U20" s="714"/>
      <c r="V20" s="713"/>
      <c r="W20" s="714"/>
      <c r="X20" s="1508"/>
      <c r="Y20" s="3509"/>
      <c r="Z20" s="1509"/>
      <c r="AA20" s="1506">
        <v>1</v>
      </c>
      <c r="AB20" s="1506">
        <v>1</v>
      </c>
      <c r="AC20" s="1506">
        <v>1</v>
      </c>
    </row>
    <row r="21" spans="1:29" ht="28.5">
      <c r="A21" s="386"/>
      <c r="B21" s="1264" t="s">
        <v>2448</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09"/>
      <c r="Q21" s="1505" t="str">
        <f>B21</f>
        <v>基础设施水平</v>
      </c>
      <c r="R21" s="713" t="s">
        <v>17</v>
      </c>
      <c r="S21" s="714">
        <f>F21</f>
        <v>100</v>
      </c>
      <c r="T21" s="713" t="s">
        <v>17</v>
      </c>
      <c r="U21" s="714">
        <f>H21</f>
        <v>100</v>
      </c>
      <c r="V21" s="713" t="s">
        <v>17</v>
      </c>
      <c r="W21" s="714">
        <f>J21</f>
        <v>100</v>
      </c>
      <c r="X21" s="1508"/>
      <c r="Y21" s="350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509"/>
      <c r="Q22" s="1505"/>
      <c r="R22" s="713"/>
      <c r="S22" s="714"/>
      <c r="T22" s="713"/>
      <c r="U22" s="714"/>
      <c r="V22" s="713"/>
      <c r="W22" s="714"/>
      <c r="X22" s="1508"/>
      <c r="Y22" s="3509"/>
      <c r="Z22" s="1509"/>
      <c r="AA22" s="1506">
        <v>1</v>
      </c>
      <c r="AB22" s="1506">
        <v>1</v>
      </c>
      <c r="AC22" s="1506">
        <v>1</v>
      </c>
    </row>
    <row r="23" spans="1:29" ht="71.25">
      <c r="A23" s="386"/>
      <c r="B23" s="409" t="s">
        <v>2449</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09"/>
      <c r="Q23" s="1505" t="str">
        <f>B23</f>
        <v>环境质量</v>
      </c>
      <c r="R23" s="713" t="s">
        <v>17</v>
      </c>
      <c r="S23" s="714">
        <f>F23</f>
        <v>100</v>
      </c>
      <c r="T23" s="713" t="s">
        <v>17</v>
      </c>
      <c r="U23" s="714">
        <f>H23</f>
        <v>100</v>
      </c>
      <c r="V23" s="713" t="s">
        <v>17</v>
      </c>
      <c r="W23" s="714">
        <f>J23</f>
        <v>100</v>
      </c>
      <c r="X23" s="1508"/>
      <c r="Y23" s="3509"/>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509"/>
      <c r="Q24" s="1505"/>
      <c r="R24" s="713"/>
      <c r="S24" s="714"/>
      <c r="T24" s="713"/>
      <c r="U24" s="714"/>
      <c r="V24" s="713"/>
      <c r="W24" s="714"/>
      <c r="X24" s="1508"/>
      <c r="Y24" s="3509"/>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09"/>
      <c r="Q25" s="1505">
        <f>B25</f>
        <v>111</v>
      </c>
      <c r="R25" s="713" t="s">
        <v>17</v>
      </c>
      <c r="S25" s="714">
        <f>F25</f>
        <v>100</v>
      </c>
      <c r="T25" s="713" t="s">
        <v>17</v>
      </c>
      <c r="U25" s="714">
        <f>H25</f>
        <v>100</v>
      </c>
      <c r="V25" s="713" t="s">
        <v>17</v>
      </c>
      <c r="W25" s="714">
        <f>J25</f>
        <v>100</v>
      </c>
      <c r="X25" s="1508"/>
      <c r="Y25" s="3509"/>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09"/>
      <c r="Q26" s="1505">
        <f t="shared" ref="Q26:Q40" si="11">B26</f>
        <v>111</v>
      </c>
      <c r="R26" s="713" t="s">
        <v>17</v>
      </c>
      <c r="S26" s="714">
        <f>F26</f>
        <v>100</v>
      </c>
      <c r="T26" s="713" t="s">
        <v>17</v>
      </c>
      <c r="U26" s="714">
        <f>H26</f>
        <v>100</v>
      </c>
      <c r="V26" s="713" t="s">
        <v>17</v>
      </c>
      <c r="W26" s="714">
        <f>J26</f>
        <v>100</v>
      </c>
      <c r="X26" s="1508"/>
      <c r="Y26" s="3509"/>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09"/>
      <c r="Q27" s="1496">
        <f t="shared" si="11"/>
        <v>111</v>
      </c>
      <c r="R27" s="709" t="s">
        <v>17</v>
      </c>
      <c r="S27" s="710">
        <f>F27</f>
        <v>100</v>
      </c>
      <c r="T27" s="709" t="s">
        <v>17</v>
      </c>
      <c r="U27" s="710">
        <f>H27</f>
        <v>100</v>
      </c>
      <c r="V27" s="709" t="s">
        <v>17</v>
      </c>
      <c r="W27" s="710">
        <f>J27</f>
        <v>100</v>
      </c>
      <c r="X27" s="711"/>
      <c r="Y27" s="3509"/>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09"/>
      <c r="Q28" s="1505">
        <f t="shared" si="11"/>
        <v>111</v>
      </c>
      <c r="R28" s="713" t="s">
        <v>17</v>
      </c>
      <c r="S28" s="714">
        <f t="shared" ref="S28:S40" si="12">F28</f>
        <v>100</v>
      </c>
      <c r="T28" s="713" t="s">
        <v>17</v>
      </c>
      <c r="U28" s="714">
        <f t="shared" ref="U28:U40" si="13">H28</f>
        <v>100</v>
      </c>
      <c r="V28" s="713" t="s">
        <v>17</v>
      </c>
      <c r="W28" s="714">
        <f t="shared" ref="W28:W40" si="14">J28</f>
        <v>100</v>
      </c>
      <c r="X28" s="1508"/>
      <c r="Y28" s="3509"/>
      <c r="Z28" s="1509">
        <f t="shared" ref="Z28:Z40" si="15">Q28</f>
        <v>111</v>
      </c>
      <c r="AA28" s="1506">
        <f t="shared" si="3"/>
        <v>1</v>
      </c>
      <c r="AB28" s="1506">
        <f t="shared" si="4"/>
        <v>1</v>
      </c>
      <c r="AC28" s="1506">
        <f t="shared" si="5"/>
        <v>1</v>
      </c>
    </row>
    <row r="29" spans="1:29" ht="28.5">
      <c r="A29" s="424" t="s">
        <v>2322</v>
      </c>
      <c r="B29" s="67" t="s">
        <v>2452</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534" t="s">
        <v>2324</v>
      </c>
      <c r="Q29" s="1505" t="str">
        <f t="shared" si="11"/>
        <v>建筑类型</v>
      </c>
      <c r="R29" s="713" t="s">
        <v>17</v>
      </c>
      <c r="S29" s="714">
        <f t="shared" si="12"/>
        <v>100</v>
      </c>
      <c r="T29" s="713" t="s">
        <v>17</v>
      </c>
      <c r="U29" s="714">
        <f t="shared" si="13"/>
        <v>100</v>
      </c>
      <c r="V29" s="713" t="s">
        <v>17</v>
      </c>
      <c r="W29" s="714">
        <f t="shared" si="14"/>
        <v>100</v>
      </c>
      <c r="X29" s="1508"/>
      <c r="Y29" s="3513" t="s">
        <v>2324</v>
      </c>
      <c r="Z29" s="1509" t="str">
        <f t="shared" si="15"/>
        <v>建筑类型</v>
      </c>
      <c r="AA29" s="1506">
        <f t="shared" si="3"/>
        <v>1</v>
      </c>
      <c r="AB29" s="1506">
        <f t="shared" si="4"/>
        <v>1</v>
      </c>
      <c r="AC29" s="1506">
        <f t="shared" si="5"/>
        <v>1</v>
      </c>
    </row>
    <row r="30" spans="1:29" s="429" customFormat="1" ht="15">
      <c r="A30" s="426"/>
      <c r="B30" s="380" t="s">
        <v>2325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13"/>
      <c r="Q30" s="715" t="str">
        <f t="shared" si="11"/>
        <v>项目建筑规模</v>
      </c>
      <c r="R30" s="716" t="s">
        <v>17</v>
      </c>
      <c r="S30" s="717" t="e">
        <f t="shared" si="12"/>
        <v>#N/A</v>
      </c>
      <c r="T30" s="716" t="s">
        <v>17</v>
      </c>
      <c r="U30" s="717" t="e">
        <f t="shared" si="13"/>
        <v>#N/A</v>
      </c>
      <c r="V30" s="716" t="s">
        <v>17</v>
      </c>
      <c r="W30" s="717" t="e">
        <f t="shared" si="14"/>
        <v>#N/A</v>
      </c>
      <c r="X30" s="718"/>
      <c r="Y30" s="3513"/>
      <c r="Z30" s="719" t="str">
        <f t="shared" si="15"/>
        <v>项目建筑规模</v>
      </c>
      <c r="AA30" s="1506" t="e">
        <f t="shared" si="3"/>
        <v>#N/A</v>
      </c>
      <c r="AB30" s="1506" t="e">
        <f t="shared" si="4"/>
        <v>#N/A</v>
      </c>
      <c r="AC30" s="1506" t="e">
        <f t="shared" si="5"/>
        <v>#N/A</v>
      </c>
    </row>
    <row r="31" spans="1:29" ht="15">
      <c r="A31" s="430"/>
      <c r="B31" s="380" t="s">
        <v>2326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13"/>
      <c r="Q31" s="1505" t="str">
        <f t="shared" si="11"/>
        <v>建筑结构</v>
      </c>
      <c r="R31" s="713" t="s">
        <v>17</v>
      </c>
      <c r="S31" s="714">
        <f t="shared" si="12"/>
        <v>100</v>
      </c>
      <c r="T31" s="713" t="s">
        <v>17</v>
      </c>
      <c r="U31" s="714">
        <f t="shared" si="13"/>
        <v>100</v>
      </c>
      <c r="V31" s="713" t="s">
        <v>17</v>
      </c>
      <c r="W31" s="714">
        <f t="shared" si="14"/>
        <v>100</v>
      </c>
      <c r="X31" s="1508"/>
      <c r="Y31" s="3513"/>
      <c r="Z31" s="1509" t="str">
        <f t="shared" si="15"/>
        <v>建筑结构</v>
      </c>
      <c r="AA31" s="1506">
        <f t="shared" si="3"/>
        <v>1</v>
      </c>
      <c r="AB31" s="1506">
        <f t="shared" si="4"/>
        <v>1</v>
      </c>
      <c r="AC31" s="1506">
        <f t="shared" si="5"/>
        <v>1</v>
      </c>
    </row>
    <row r="32" spans="1:29" ht="15">
      <c r="A32" s="430"/>
      <c r="B32" s="380" t="s">
        <v>2420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13"/>
      <c r="Q32" s="1505" t="str">
        <f t="shared" si="11"/>
        <v>公共部分装修</v>
      </c>
      <c r="R32" s="713" t="s">
        <v>17</v>
      </c>
      <c r="S32" s="714">
        <f t="shared" si="12"/>
        <v>100</v>
      </c>
      <c r="T32" s="713" t="s">
        <v>17</v>
      </c>
      <c r="U32" s="714">
        <f t="shared" si="13"/>
        <v>100</v>
      </c>
      <c r="V32" s="713" t="s">
        <v>17</v>
      </c>
      <c r="W32" s="714">
        <f t="shared" si="14"/>
        <v>100</v>
      </c>
      <c r="X32" s="1508"/>
      <c r="Y32" s="3513"/>
      <c r="Z32" s="1509" t="str">
        <f t="shared" si="15"/>
        <v>公共部分装修</v>
      </c>
      <c r="AA32" s="1506">
        <f t="shared" si="3"/>
        <v>1</v>
      </c>
      <c r="AB32" s="1506">
        <f t="shared" si="4"/>
        <v>1</v>
      </c>
      <c r="AC32" s="1506">
        <f t="shared" si="5"/>
        <v>1</v>
      </c>
    </row>
    <row r="33" spans="1:29" ht="15">
      <c r="A33" s="430"/>
      <c r="B33" s="380" t="s">
        <v>2421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13"/>
      <c r="Q33" s="1505" t="str">
        <f t="shared" si="11"/>
        <v>成新度</v>
      </c>
      <c r="R33" s="713" t="s">
        <v>17</v>
      </c>
      <c r="S33" s="714" t="e">
        <f t="shared" si="12"/>
        <v>#N/A</v>
      </c>
      <c r="T33" s="713" t="s">
        <v>17</v>
      </c>
      <c r="U33" s="714" t="e">
        <f t="shared" si="13"/>
        <v>#N/A</v>
      </c>
      <c r="V33" s="713" t="s">
        <v>17</v>
      </c>
      <c r="W33" s="714" t="e">
        <f t="shared" si="14"/>
        <v>#N/A</v>
      </c>
      <c r="X33" s="1508"/>
      <c r="Y33" s="3513"/>
      <c r="Z33" s="1509" t="str">
        <f t="shared" si="15"/>
        <v>成新度</v>
      </c>
      <c r="AA33" s="1506" t="e">
        <f t="shared" si="3"/>
        <v>#N/A</v>
      </c>
      <c r="AB33" s="1506" t="e">
        <f t="shared" si="4"/>
        <v>#N/A</v>
      </c>
      <c r="AC33" s="1506" t="e">
        <f t="shared" si="5"/>
        <v>#N/A</v>
      </c>
    </row>
    <row r="34" spans="1:29" s="113" customFormat="1" ht="15">
      <c r="A34" s="431"/>
      <c r="B34" s="380" t="s">
        <v>2454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13"/>
      <c r="Q34" s="1496" t="str">
        <f t="shared" si="11"/>
        <v>物业管理</v>
      </c>
      <c r="R34" s="709" t="s">
        <v>17</v>
      </c>
      <c r="S34" s="710">
        <f t="shared" si="12"/>
        <v>100</v>
      </c>
      <c r="T34" s="709" t="s">
        <v>17</v>
      </c>
      <c r="U34" s="710">
        <f t="shared" si="13"/>
        <v>100</v>
      </c>
      <c r="V34" s="709" t="s">
        <v>17</v>
      </c>
      <c r="W34" s="710">
        <f t="shared" si="14"/>
        <v>100</v>
      </c>
      <c r="X34" s="711"/>
      <c r="Y34" s="3513"/>
      <c r="Z34" s="55" t="str">
        <f t="shared" si="15"/>
        <v>物业管理</v>
      </c>
      <c r="AA34" s="712">
        <f t="shared" si="3"/>
        <v>1</v>
      </c>
      <c r="AB34" s="712">
        <f t="shared" si="4"/>
        <v>1</v>
      </c>
      <c r="AC34" s="712">
        <f t="shared" si="5"/>
        <v>1</v>
      </c>
    </row>
    <row r="35" spans="1:29" ht="15">
      <c r="A35" s="430"/>
      <c r="B35" s="380" t="s">
        <v>2422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13" t="s">
        <v>2324</v>
      </c>
      <c r="Q35" s="1505" t="str">
        <f t="shared" si="11"/>
        <v>市政基础设施</v>
      </c>
      <c r="R35" s="713" t="s">
        <v>17</v>
      </c>
      <c r="S35" s="714">
        <f t="shared" si="12"/>
        <v>100</v>
      </c>
      <c r="T35" s="713" t="s">
        <v>17</v>
      </c>
      <c r="U35" s="714">
        <f t="shared" si="13"/>
        <v>100</v>
      </c>
      <c r="V35" s="713" t="s">
        <v>17</v>
      </c>
      <c r="W35" s="714">
        <f t="shared" si="14"/>
        <v>100</v>
      </c>
      <c r="X35" s="1508"/>
      <c r="Y35" s="3513" t="s">
        <v>2324</v>
      </c>
      <c r="Z35" s="1509" t="str">
        <f t="shared" si="15"/>
        <v>市政基础设施</v>
      </c>
      <c r="AA35" s="1506">
        <f t="shared" si="3"/>
        <v>1</v>
      </c>
      <c r="AB35" s="1506">
        <f t="shared" si="4"/>
        <v>1</v>
      </c>
      <c r="AC35" s="1506">
        <f t="shared" si="5"/>
        <v>1</v>
      </c>
    </row>
    <row r="36" spans="1:29" ht="15">
      <c r="A36" s="430"/>
      <c r="B36" s="380" t="s">
        <v>2427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13"/>
      <c r="Q36" s="1505" t="str">
        <f t="shared" si="11"/>
        <v>内部装修</v>
      </c>
      <c r="R36" s="713" t="s">
        <v>17</v>
      </c>
      <c r="S36" s="714">
        <f t="shared" si="12"/>
        <v>100</v>
      </c>
      <c r="T36" s="713" t="s">
        <v>17</v>
      </c>
      <c r="U36" s="714">
        <f t="shared" si="13"/>
        <v>100</v>
      </c>
      <c r="V36" s="713" t="s">
        <v>17</v>
      </c>
      <c r="W36" s="714">
        <f t="shared" si="14"/>
        <v>100</v>
      </c>
      <c r="X36" s="1508"/>
      <c r="Y36" s="3513"/>
      <c r="Z36" s="1509" t="str">
        <f t="shared" si="15"/>
        <v>内部装修</v>
      </c>
      <c r="AA36" s="1506">
        <f t="shared" si="3"/>
        <v>1</v>
      </c>
      <c r="AB36" s="1506">
        <f t="shared" si="4"/>
        <v>1</v>
      </c>
      <c r="AC36" s="1506">
        <f t="shared" si="5"/>
        <v>1</v>
      </c>
    </row>
    <row r="37" spans="1:29" ht="15">
      <c r="A37" s="430"/>
      <c r="B37" s="380" t="s">
        <v>2463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13"/>
      <c r="Q37" s="1505" t="str">
        <f t="shared" si="11"/>
        <v>内部装修状况</v>
      </c>
      <c r="R37" s="713" t="s">
        <v>17</v>
      </c>
      <c r="S37" s="714">
        <f t="shared" si="12"/>
        <v>100</v>
      </c>
      <c r="T37" s="713" t="s">
        <v>17</v>
      </c>
      <c r="U37" s="714">
        <f t="shared" si="13"/>
        <v>100</v>
      </c>
      <c r="V37" s="713" t="s">
        <v>17</v>
      </c>
      <c r="W37" s="714">
        <f t="shared" si="14"/>
        <v>100</v>
      </c>
      <c r="X37" s="1508"/>
      <c r="Y37" s="3513"/>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13"/>
      <c r="Q38" s="715">
        <f t="shared" si="11"/>
        <v>111</v>
      </c>
      <c r="R38" s="716" t="s">
        <v>17</v>
      </c>
      <c r="S38" s="717">
        <f t="shared" si="12"/>
        <v>100</v>
      </c>
      <c r="T38" s="716" t="s">
        <v>17</v>
      </c>
      <c r="U38" s="717">
        <f t="shared" si="13"/>
        <v>100</v>
      </c>
      <c r="V38" s="716" t="s">
        <v>17</v>
      </c>
      <c r="W38" s="717">
        <f t="shared" si="14"/>
        <v>100</v>
      </c>
      <c r="X38" s="718"/>
      <c r="Y38" s="3513"/>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13"/>
      <c r="Q39" s="1505">
        <f t="shared" si="11"/>
        <v>111</v>
      </c>
      <c r="R39" s="713" t="s">
        <v>17</v>
      </c>
      <c r="S39" s="714">
        <f t="shared" si="12"/>
        <v>100</v>
      </c>
      <c r="T39" s="713" t="s">
        <v>17</v>
      </c>
      <c r="U39" s="714">
        <f t="shared" si="13"/>
        <v>100</v>
      </c>
      <c r="V39" s="713" t="s">
        <v>17</v>
      </c>
      <c r="W39" s="714">
        <f t="shared" si="14"/>
        <v>100</v>
      </c>
      <c r="X39" s="1508"/>
      <c r="Y39" s="3513"/>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14"/>
      <c r="Q40" s="1505">
        <f t="shared" si="11"/>
        <v>111</v>
      </c>
      <c r="R40" s="713" t="s">
        <v>17</v>
      </c>
      <c r="S40" s="714">
        <f t="shared" si="12"/>
        <v>100</v>
      </c>
      <c r="T40" s="713" t="s">
        <v>17</v>
      </c>
      <c r="U40" s="714">
        <f t="shared" si="13"/>
        <v>100</v>
      </c>
      <c r="V40" s="713" t="s">
        <v>17</v>
      </c>
      <c r="W40" s="714">
        <f t="shared" si="14"/>
        <v>100</v>
      </c>
      <c r="X40" s="1508"/>
      <c r="Y40" s="3514"/>
      <c r="Z40" s="1509">
        <f t="shared" si="15"/>
        <v>111</v>
      </c>
      <c r="AA40" s="1506">
        <f t="shared" si="3"/>
        <v>1</v>
      </c>
      <c r="AB40" s="1506">
        <f t="shared" si="4"/>
        <v>1</v>
      </c>
      <c r="AC40" s="1506">
        <f t="shared" si="5"/>
        <v>1</v>
      </c>
    </row>
    <row r="41" spans="1:29" ht="15">
      <c r="A41" s="437" t="s">
        <v>2336</v>
      </c>
      <c r="B41" s="438"/>
      <c r="C41" s="1287" t="s">
        <v>1</v>
      </c>
      <c r="D41" s="1288"/>
      <c r="E41" s="1289"/>
      <c r="F41" s="1290"/>
      <c r="G41" s="1291"/>
      <c r="H41" s="1292"/>
      <c r="I41" s="1289"/>
      <c r="J41" s="1292"/>
      <c r="K41" s="722"/>
      <c r="L41" s="1056"/>
      <c r="M41" s="1057"/>
      <c r="N41" s="1044"/>
      <c r="O41" s="1057"/>
      <c r="P41" s="3506" t="str">
        <f>A41</f>
        <v>成交单价（元/平方米）</v>
      </c>
      <c r="Q41" s="3506"/>
      <c r="R41" s="3507">
        <f>E41</f>
        <v>0</v>
      </c>
      <c r="S41" s="3507"/>
      <c r="T41" s="3507">
        <f>G41</f>
        <v>0</v>
      </c>
      <c r="U41" s="3507"/>
      <c r="V41" s="3507">
        <f>I41</f>
        <v>0</v>
      </c>
      <c r="W41" s="3507"/>
      <c r="X41" s="698"/>
      <c r="Y41" s="720"/>
      <c r="Z41" s="698"/>
      <c r="AA41" s="698"/>
      <c r="AB41" s="698"/>
      <c r="AC41" s="698"/>
    </row>
    <row r="42" spans="1:29" ht="15.75" thickBot="1">
      <c r="A42" s="444" t="s">
        <v>2428</v>
      </c>
      <c r="B42" s="445"/>
      <c r="C42" s="1293" t="e">
        <f>R43</f>
        <v>#DIV/0!</v>
      </c>
      <c r="D42" s="2507" t="s">
        <v>2819</v>
      </c>
      <c r="E42" s="1294" t="e">
        <f>R42</f>
        <v>#DIV/0!</v>
      </c>
      <c r="F42" s="2508"/>
      <c r="G42" s="1293" t="e">
        <f>T42</f>
        <v>#DIV/0!</v>
      </c>
      <c r="H42" s="2508"/>
      <c r="I42" s="1294" t="e">
        <f>V42</f>
        <v>#DIV/0!</v>
      </c>
      <c r="J42" s="2508"/>
      <c r="K42" s="2510">
        <f>F42+H42+J42</f>
        <v>0</v>
      </c>
      <c r="L42" s="1056"/>
      <c r="M42" s="1057"/>
      <c r="N42" s="1044"/>
      <c r="O42" s="1057"/>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8"/>
      <c r="Y42" s="698"/>
      <c r="Z42" s="698"/>
      <c r="AA42" s="698"/>
      <c r="AB42" s="698"/>
      <c r="AC42" s="698"/>
    </row>
    <row r="43" spans="1:29" ht="15.75" thickBot="1">
      <c r="A43" s="448" t="s">
        <v>2429</v>
      </c>
      <c r="B43" s="449"/>
      <c r="C43" s="1296" t="e">
        <f>R43</f>
        <v>#DIV/0!</v>
      </c>
      <c r="D43" s="1296"/>
      <c r="E43" s="1296"/>
      <c r="F43" s="1296"/>
      <c r="G43" s="1296"/>
      <c r="H43" s="1296"/>
      <c r="I43" s="1296"/>
      <c r="J43" s="1296"/>
      <c r="K43" s="723"/>
      <c r="L43" s="1056"/>
      <c r="M43" s="1057"/>
      <c r="N43" s="1057"/>
      <c r="O43" s="1057"/>
      <c r="P43" s="3503" t="str">
        <f>A43</f>
        <v>估价对象XX用房的比较价值（楼面单价，元/平方米）</v>
      </c>
      <c r="Q43" s="3504"/>
      <c r="R43" s="3505" t="e">
        <f>IF(F1="售价",ROUND(IF(D42="简单平均",AVERAGE(R42:V42),R42*F42+T42*H42+V42*J42),0),ROUND(IF(D42="简单平均",AVERAGE(R42:V42),R42*F42+T42*H42+V42*J42),1))</f>
        <v>#DIV/0!</v>
      </c>
      <c r="S43" s="3505"/>
      <c r="T43" s="3505"/>
      <c r="U43" s="3505"/>
      <c r="V43" s="3505"/>
      <c r="W43" s="3505"/>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2433</v>
      </c>
      <c r="B51" s="698"/>
      <c r="C51" s="703"/>
      <c r="D51" s="703"/>
      <c r="E51" s="703"/>
      <c r="F51" s="704"/>
      <c r="G51" s="704"/>
      <c r="H51" s="703"/>
      <c r="I51" s="703"/>
      <c r="J51" s="703"/>
      <c r="K51" s="1071"/>
      <c r="L51" s="1072"/>
      <c r="M51" s="1070"/>
      <c r="N51" s="1070"/>
      <c r="O51" s="1070"/>
      <c r="P51" s="459"/>
      <c r="Q51" s="460"/>
    </row>
    <row r="52" spans="1:17" s="464" customFormat="1" ht="15">
      <c r="A52" s="461" t="s">
        <v>2307</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2344</v>
      </c>
      <c r="B54" s="472"/>
      <c r="C54" s="473"/>
      <c r="D54" s="474"/>
      <c r="E54" s="474"/>
      <c r="F54" s="474"/>
      <c r="G54" s="474"/>
      <c r="H54" s="474"/>
      <c r="I54" s="474"/>
      <c r="J54" s="474"/>
      <c r="K54" s="474"/>
      <c r="L54" s="474"/>
      <c r="M54" s="475"/>
      <c r="N54" s="2968"/>
      <c r="O54" s="2969"/>
      <c r="P54" s="460"/>
      <c r="Q54" s="460"/>
    </row>
    <row r="55" spans="1:17" s="113" customFormat="1" ht="15">
      <c r="A55" s="477" t="s">
        <v>2309</v>
      </c>
      <c r="B55" s="466"/>
      <c r="C55" s="478" t="s">
        <v>2411</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2347</v>
      </c>
      <c r="B57" s="484" t="s">
        <v>2313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2316</v>
      </c>
      <c r="C59" s="495" t="s">
        <v>2348</v>
      </c>
      <c r="D59" s="495" t="s">
        <v>2349</v>
      </c>
      <c r="E59" s="495" t="s">
        <v>2350</v>
      </c>
      <c r="F59" s="495" t="s">
        <v>2351</v>
      </c>
      <c r="G59" s="495" t="s">
        <v>2352</v>
      </c>
      <c r="H59" s="495" t="s">
        <v>2353</v>
      </c>
      <c r="I59" s="495" t="s">
        <v>2354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2318</v>
      </c>
      <c r="B70" s="484" t="s">
        <v>2464</v>
      </c>
      <c r="C70" s="529" t="s">
        <v>2356</v>
      </c>
      <c r="D70" s="529" t="s">
        <v>2357</v>
      </c>
      <c r="E70" s="529" t="s">
        <v>2358</v>
      </c>
      <c r="F70" s="529" t="s">
        <v>2359</v>
      </c>
      <c r="G70" s="529" t="s">
        <v>2360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2361</v>
      </c>
      <c r="C72" s="534" t="s">
        <v>2356</v>
      </c>
      <c r="D72" s="534" t="s">
        <v>2357</v>
      </c>
      <c r="E72" s="534" t="s">
        <v>2358</v>
      </c>
      <c r="F72" s="534" t="s">
        <v>2359</v>
      </c>
      <c r="G72" s="534" t="s">
        <v>2360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2362</v>
      </c>
      <c r="C74" s="534" t="s">
        <v>2356</v>
      </c>
      <c r="D74" s="534" t="s">
        <v>2357</v>
      </c>
      <c r="E74" s="534" t="s">
        <v>2358</v>
      </c>
      <c r="F74" s="534" t="s">
        <v>2359</v>
      </c>
      <c r="G74" s="534" t="s">
        <v>2360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2448</v>
      </c>
      <c r="C76" s="615" t="s">
        <v>2434</v>
      </c>
      <c r="D76" s="615" t="s">
        <v>2435</v>
      </c>
      <c r="E76" s="615" t="s">
        <v>2436</v>
      </c>
      <c r="F76" s="615" t="s">
        <v>2437</v>
      </c>
      <c r="G76" s="615" t="s">
        <v>2438</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2457</v>
      </c>
      <c r="C78" s="534" t="s">
        <v>2356</v>
      </c>
      <c r="D78" s="534" t="s">
        <v>2357</v>
      </c>
      <c r="E78" s="534" t="s">
        <v>2358</v>
      </c>
      <c r="F78" s="534" t="s">
        <v>2359</v>
      </c>
      <c r="G78" s="534" t="s">
        <v>2360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2322</v>
      </c>
      <c r="B88" s="484" t="s">
        <v>2371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2379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2465</v>
      </c>
      <c r="C106" s="534" t="s">
        <v>2356</v>
      </c>
      <c r="D106" s="534" t="s">
        <v>2357</v>
      </c>
      <c r="E106" s="534" t="s">
        <v>2358</v>
      </c>
      <c r="F106" s="534" t="s">
        <v>2359</v>
      </c>
      <c r="G106" s="534" t="s">
        <v>2360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2466</v>
      </c>
      <c r="B1" s="1362"/>
      <c r="C1" s="1363" t="s">
        <v>2289</v>
      </c>
      <c r="D1" s="1364"/>
      <c r="E1" s="1365"/>
      <c r="F1" s="2034"/>
      <c r="G1" s="1366" t="s">
        <v>2402</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2089</v>
      </c>
      <c r="B2" s="1297" t="e">
        <f ca="1">IF(C2="——",IF(B37="元/平方米",ROUND(C39*D3/10000,0),ROUND(F3*C39/10000,0)),IF(B37="元/平方米",ROUND(C39*D3/10000,0),ROUND(F3*C39/10000,0))-D2)</f>
        <v>#DIV/0!</v>
      </c>
      <c r="C2" s="2036"/>
      <c r="D2" s="1037" t="e">
        <f ca="1">SUMIF(INDIRECT("'"&amp;F2&amp;"'"&amp;"!A:A"),"承租人权益价值",INDIRECT("'"&amp;F2&amp;"'"&amp;"!c:c"))</f>
        <v>#REF!</v>
      </c>
      <c r="E2" s="2037" t="s">
        <v>2090</v>
      </c>
      <c r="F2" s="2038"/>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28.5" customHeight="1" thickBot="1">
      <c r="A3" s="208" t="s">
        <v>2091</v>
      </c>
      <c r="B3" s="565" t="e">
        <f ca="1">IF(AND(C2="——",B37="元/平方米"),C39,ROUND(B2*10000/D3,0))</f>
        <v>#DIV/0!</v>
      </c>
      <c r="C3" s="359" t="s">
        <v>2403</v>
      </c>
      <c r="D3" s="358">
        <f>SUMIF('数据-汇总表'!$C19:$C33,D1,'数据-汇总表'!$E19:$E33)</f>
        <v>0</v>
      </c>
      <c r="E3" s="359" t="s">
        <v>2467</v>
      </c>
      <c r="F3" s="358">
        <f>SUMIF('数据-取费表'!A5:A15,D1,'数据-取费表'!AH5:AH15)</f>
        <v>0</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2404</v>
      </c>
      <c r="B4" s="361"/>
      <c r="C4" s="3489" t="s">
        <v>2405</v>
      </c>
      <c r="D4" s="3490"/>
      <c r="E4" s="3491" t="s">
        <v>2406</v>
      </c>
      <c r="F4" s="3492"/>
      <c r="G4" s="3489" t="s">
        <v>2407</v>
      </c>
      <c r="H4" s="3490"/>
      <c r="I4" s="3489" t="s">
        <v>2408</v>
      </c>
      <c r="J4" s="3490"/>
      <c r="K4" s="566" t="s">
        <v>2409</v>
      </c>
      <c r="L4" s="2913"/>
      <c r="M4" s="2914"/>
      <c r="N4" s="2914"/>
      <c r="O4" s="2914"/>
      <c r="P4" s="3493" t="s">
        <v>2410</v>
      </c>
      <c r="Q4" s="3494"/>
      <c r="R4" s="3476" t="s">
        <v>2406</v>
      </c>
      <c r="S4" s="3477"/>
      <c r="T4" s="3476" t="s">
        <v>2407</v>
      </c>
      <c r="U4" s="3477"/>
      <c r="V4" s="3501" t="s">
        <v>2408</v>
      </c>
      <c r="W4" s="3501"/>
      <c r="X4" s="1508"/>
      <c r="Y4" s="3476" t="s">
        <v>2410</v>
      </c>
      <c r="Z4" s="3477"/>
      <c r="AA4" s="3471" t="s">
        <v>2406</v>
      </c>
      <c r="AB4" s="3472" t="s">
        <v>2407</v>
      </c>
      <c r="AC4" s="3471" t="s">
        <v>2408</v>
      </c>
    </row>
    <row r="5" spans="1:29" ht="15">
      <c r="A5" s="363"/>
      <c r="B5" s="364"/>
      <c r="C5" s="3482" t="s">
        <v>2301</v>
      </c>
      <c r="D5" s="3483"/>
      <c r="E5" s="3517" t="s">
        <v>2302</v>
      </c>
      <c r="F5" s="3518"/>
      <c r="G5" s="3482" t="s">
        <v>2303</v>
      </c>
      <c r="H5" s="3483"/>
      <c r="I5" s="3482" t="s">
        <v>2304</v>
      </c>
      <c r="J5" s="3483"/>
      <c r="K5" s="566"/>
      <c r="L5" s="2913"/>
      <c r="M5" s="2914"/>
      <c r="N5" s="2914"/>
      <c r="O5" s="2914"/>
      <c r="P5" s="3495"/>
      <c r="Q5" s="3496"/>
      <c r="R5" s="3478"/>
      <c r="S5" s="3479"/>
      <c r="T5" s="3478"/>
      <c r="U5" s="3479"/>
      <c r="V5" s="3501"/>
      <c r="W5" s="3501"/>
      <c r="X5" s="1508"/>
      <c r="Y5" s="3478"/>
      <c r="Z5" s="3479"/>
      <c r="AA5" s="3472"/>
      <c r="AB5" s="3472"/>
      <c r="AC5" s="3472"/>
    </row>
    <row r="6" spans="1:29" ht="15.75" thickBot="1">
      <c r="A6" s="365"/>
      <c r="B6" s="366"/>
      <c r="C6" s="3484" t="s">
        <v>2305</v>
      </c>
      <c r="D6" s="3485"/>
      <c r="E6" s="3486" t="s">
        <v>2305</v>
      </c>
      <c r="F6" s="3487"/>
      <c r="G6" s="3484" t="s">
        <v>2305</v>
      </c>
      <c r="H6" s="3485"/>
      <c r="I6" s="3484" t="s">
        <v>2305</v>
      </c>
      <c r="J6" s="3485"/>
      <c r="K6" s="566" t="s">
        <v>2306</v>
      </c>
      <c r="L6" s="2913"/>
      <c r="M6" s="2914"/>
      <c r="N6" s="2914"/>
      <c r="O6" s="2914"/>
      <c r="P6" s="3497"/>
      <c r="Q6" s="3498"/>
      <c r="R6" s="3478"/>
      <c r="S6" s="3479"/>
      <c r="T6" s="3499"/>
      <c r="U6" s="3500"/>
      <c r="V6" s="3501"/>
      <c r="W6" s="3501"/>
      <c r="X6" s="1508"/>
      <c r="Y6" s="3499"/>
      <c r="Z6" s="3500"/>
      <c r="AA6" s="3473"/>
      <c r="AB6" s="3473"/>
      <c r="AC6" s="3473"/>
    </row>
    <row r="7" spans="1:29" s="113" customFormat="1" ht="15.75" thickBot="1">
      <c r="A7" s="367" t="s">
        <v>2307</v>
      </c>
      <c r="B7" s="368"/>
      <c r="C7" s="369">
        <f>'数据-取费表'!B2</f>
        <v>44575</v>
      </c>
      <c r="D7" s="370">
        <v>100</v>
      </c>
      <c r="E7" s="371"/>
      <c r="F7" s="372">
        <f>SUMIF(48:48,YEAR(E7)&amp;"-"&amp;MONTH(E7),49:49)</f>
        <v>0</v>
      </c>
      <c r="G7" s="371"/>
      <c r="H7" s="370">
        <f>SUMIF(48:48,YEAR(G7)&amp;"-"&amp;MONTH(G7),49:49)</f>
        <v>0</v>
      </c>
      <c r="I7" s="371"/>
      <c r="J7" s="370">
        <f>SUMIF(48:48,YEAR(I7)&amp;"-"&amp;MONTH(I7),49:49)</f>
        <v>0</v>
      </c>
      <c r="K7" s="567"/>
      <c r="L7" s="2915"/>
      <c r="M7" s="2916"/>
      <c r="N7" s="2916"/>
      <c r="O7" s="2916"/>
      <c r="P7" s="3474" t="s">
        <v>2308</v>
      </c>
      <c r="Q7" s="3502"/>
      <c r="R7" s="709" t="s">
        <v>17</v>
      </c>
      <c r="S7" s="710">
        <f t="shared" ref="S7:S14" si="0">F7</f>
        <v>0</v>
      </c>
      <c r="T7" s="709" t="s">
        <v>17</v>
      </c>
      <c r="U7" s="710">
        <f t="shared" ref="U7:U14" si="1">H7</f>
        <v>0</v>
      </c>
      <c r="V7" s="709" t="s">
        <v>17</v>
      </c>
      <c r="W7" s="710">
        <f t="shared" ref="W7:W14" si="2">J7</f>
        <v>0</v>
      </c>
      <c r="X7" s="711"/>
      <c r="Y7" s="3474" t="s">
        <v>2308</v>
      </c>
      <c r="Z7" s="3475"/>
      <c r="AA7" s="712" t="e">
        <f>D7/F7</f>
        <v>#DIV/0!</v>
      </c>
      <c r="AB7" s="712" t="e">
        <f>D7/H7</f>
        <v>#DIV/0!</v>
      </c>
      <c r="AC7" s="712" t="e">
        <f>D7/J7</f>
        <v>#DIV/0!</v>
      </c>
    </row>
    <row r="8" spans="1:29" s="113" customFormat="1" ht="15.75" thickBot="1">
      <c r="A8" s="367" t="s">
        <v>2309</v>
      </c>
      <c r="B8" s="368"/>
      <c r="C8" s="373" t="s">
        <v>2411</v>
      </c>
      <c r="D8" s="370">
        <v>100</v>
      </c>
      <c r="E8" s="373"/>
      <c r="F8" s="372">
        <f>SUMIF(51:51,E8,52:52)-SUMIF(51:51,C8,52:52)+100</f>
        <v>0</v>
      </c>
      <c r="G8" s="373"/>
      <c r="H8" s="370">
        <f>SUMIF(51:51,G8,52:52)-SUMIF(51:51,C8,52:52)+100</f>
        <v>0</v>
      </c>
      <c r="I8" s="373"/>
      <c r="J8" s="370">
        <f>SUMIF(51:51,I8,52:52)-SUMIF(51:51,C8,52:52)+100</f>
        <v>0</v>
      </c>
      <c r="K8" s="567"/>
      <c r="L8" s="2915"/>
      <c r="M8" s="2916"/>
      <c r="N8" s="2916"/>
      <c r="O8" s="2916"/>
      <c r="P8" s="3474" t="s">
        <v>2311</v>
      </c>
      <c r="Q8" s="3475"/>
      <c r="R8" s="709" t="s">
        <v>17</v>
      </c>
      <c r="S8" s="710">
        <f t="shared" si="0"/>
        <v>0</v>
      </c>
      <c r="T8" s="709" t="s">
        <v>17</v>
      </c>
      <c r="U8" s="710">
        <f t="shared" si="1"/>
        <v>0</v>
      </c>
      <c r="V8" s="709" t="s">
        <v>17</v>
      </c>
      <c r="W8" s="710">
        <f t="shared" si="2"/>
        <v>0</v>
      </c>
      <c r="X8" s="711"/>
      <c r="Y8" s="3474" t="s">
        <v>2311</v>
      </c>
      <c r="Z8" s="3475"/>
      <c r="AA8" s="712" t="e">
        <f t="shared" ref="AA8:AA36" si="3">D8/F8</f>
        <v>#DIV/0!</v>
      </c>
      <c r="AB8" s="712" t="e">
        <f t="shared" ref="AB8:AB36" si="4">D8/H8</f>
        <v>#DIV/0!</v>
      </c>
      <c r="AC8" s="712" t="e">
        <f t="shared" ref="AC8:AC36" si="5">D8/J8</f>
        <v>#DIV/0!</v>
      </c>
    </row>
    <row r="9" spans="1:29" s="113" customFormat="1">
      <c r="A9" s="64" t="s">
        <v>2312</v>
      </c>
      <c r="B9" s="595" t="s">
        <v>2313</v>
      </c>
      <c r="C9" s="375"/>
      <c r="D9" s="130">
        <v>100</v>
      </c>
      <c r="E9" s="378"/>
      <c r="F9" s="130">
        <f>SUMIF(53:53,E9,54:54)-SUMIF(53:53,C9,54:54)+100</f>
        <v>100</v>
      </c>
      <c r="G9" s="376"/>
      <c r="H9" s="130">
        <f>SUMIF(53:53,G9,54:54)-SUMIF(53:53,C9,54:54)+100</f>
        <v>100</v>
      </c>
      <c r="I9" s="376"/>
      <c r="J9" s="130">
        <f>SUMIF(53:53,I9,54:54)-SUMIF(53:53,C9,54:54)+100</f>
        <v>100</v>
      </c>
      <c r="K9" s="567"/>
      <c r="L9" s="2915"/>
      <c r="M9" s="2916"/>
      <c r="N9" s="2916"/>
      <c r="O9" s="2916"/>
      <c r="P9" s="3506" t="s">
        <v>2314</v>
      </c>
      <c r="Q9" s="1496" t="str">
        <f t="shared" ref="Q9:Q14" si="6">B9</f>
        <v>用途</v>
      </c>
      <c r="R9" s="709" t="s">
        <v>17</v>
      </c>
      <c r="S9" s="710">
        <f t="shared" si="0"/>
        <v>100</v>
      </c>
      <c r="T9" s="709" t="s">
        <v>17</v>
      </c>
      <c r="U9" s="710">
        <f t="shared" si="1"/>
        <v>100</v>
      </c>
      <c r="V9" s="709" t="s">
        <v>17</v>
      </c>
      <c r="W9" s="710">
        <f t="shared" si="2"/>
        <v>100</v>
      </c>
      <c r="X9" s="711"/>
      <c r="Y9" s="3418" t="s">
        <v>2315</v>
      </c>
      <c r="Z9" s="55" t="str">
        <f t="shared" ref="Z9:Z14" si="7">Q9</f>
        <v>用途</v>
      </c>
      <c r="AA9" s="712">
        <f t="shared" si="3"/>
        <v>1</v>
      </c>
      <c r="AB9" s="712">
        <f t="shared" si="4"/>
        <v>1</v>
      </c>
      <c r="AC9" s="712">
        <f t="shared" si="5"/>
        <v>1</v>
      </c>
    </row>
    <row r="10" spans="1:29" s="385" customFormat="1" ht="27">
      <c r="A10" s="596"/>
      <c r="B10" s="597" t="s">
        <v>2316</v>
      </c>
      <c r="C10" s="381"/>
      <c r="D10" s="131">
        <v>100</v>
      </c>
      <c r="E10" s="381"/>
      <c r="F10" s="131">
        <f>SUMIF(55:55,E10,56:56)-SUMIF(55:55,C10,56:56)+100</f>
        <v>100</v>
      </c>
      <c r="G10" s="382"/>
      <c r="H10" s="131">
        <f>SUMIF(55:55,G10,56:56)-SUMIF(55:55,C10,56:56)+100</f>
        <v>100</v>
      </c>
      <c r="I10" s="381"/>
      <c r="J10" s="131">
        <f>SUMIF(55:55,I10,56:56)-SUMIF(55:55,C10,56:56)+100</f>
        <v>100</v>
      </c>
      <c r="K10" s="568"/>
      <c r="L10" s="2917"/>
      <c r="M10" s="2918"/>
      <c r="N10" s="2918"/>
      <c r="O10" s="2918"/>
      <c r="P10" s="3506"/>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9"/>
      <c r="M11" s="2914"/>
      <c r="N11" s="2914"/>
      <c r="O11" s="2914"/>
      <c r="P11" s="3506"/>
      <c r="Q11" s="1496">
        <f t="shared" si="6"/>
        <v>111</v>
      </c>
      <c r="R11" s="709" t="s">
        <v>17</v>
      </c>
      <c r="S11" s="710">
        <f t="shared" si="0"/>
        <v>100</v>
      </c>
      <c r="T11" s="709" t="s">
        <v>17</v>
      </c>
      <c r="U11" s="710">
        <f t="shared" si="1"/>
        <v>100</v>
      </c>
      <c r="V11" s="709" t="s">
        <v>17</v>
      </c>
      <c r="W11" s="710">
        <f t="shared" si="2"/>
        <v>100</v>
      </c>
      <c r="X11" s="711"/>
      <c r="Y11" s="341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5"/>
      <c r="M12" s="2916"/>
      <c r="N12" s="2916"/>
      <c r="O12" s="2916"/>
      <c r="P12" s="3506"/>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20"/>
      <c r="M13" s="2914"/>
      <c r="N13" s="2914"/>
      <c r="O13" s="2914"/>
      <c r="P13" s="3506"/>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712">
        <f t="shared" si="5"/>
        <v>1</v>
      </c>
    </row>
    <row r="14" spans="1:29" ht="85.5">
      <c r="A14" s="360" t="s">
        <v>2318</v>
      </c>
      <c r="B14" s="584" t="s">
        <v>2468</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0"/>
      <c r="M14" s="2914"/>
      <c r="N14" s="2914"/>
      <c r="O14" s="2914"/>
      <c r="P14" s="3508" t="s">
        <v>2319</v>
      </c>
      <c r="Q14" s="1505" t="str">
        <f t="shared" si="6"/>
        <v>交通便捷度</v>
      </c>
      <c r="R14" s="713" t="s">
        <v>17</v>
      </c>
      <c r="S14" s="714">
        <f t="shared" si="0"/>
        <v>100</v>
      </c>
      <c r="T14" s="713" t="s">
        <v>17</v>
      </c>
      <c r="U14" s="714">
        <f t="shared" si="1"/>
        <v>100</v>
      </c>
      <c r="V14" s="713" t="s">
        <v>17</v>
      </c>
      <c r="W14" s="714">
        <f t="shared" si="2"/>
        <v>100</v>
      </c>
      <c r="X14" s="1508"/>
      <c r="Y14" s="3508" t="s">
        <v>2319</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20"/>
      <c r="M15" s="2914"/>
      <c r="N15" s="2914"/>
      <c r="O15" s="2914"/>
      <c r="P15" s="3509"/>
      <c r="Q15" s="1505"/>
      <c r="R15" s="713"/>
      <c r="S15" s="714"/>
      <c r="T15" s="713"/>
      <c r="U15" s="714"/>
      <c r="V15" s="713"/>
      <c r="W15" s="714"/>
      <c r="X15" s="1508"/>
      <c r="Y15" s="3509"/>
      <c r="Z15" s="1509"/>
      <c r="AA15" s="1506">
        <v>1</v>
      </c>
      <c r="AB15" s="1506">
        <v>1</v>
      </c>
      <c r="AC15" s="1506">
        <v>1</v>
      </c>
    </row>
    <row r="16" spans="1:29" ht="42.75">
      <c r="A16" s="363"/>
      <c r="B16" s="586" t="s">
        <v>2447</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20"/>
      <c r="M16" s="2914"/>
      <c r="N16" s="2914"/>
      <c r="O16" s="2914"/>
      <c r="P16" s="3509"/>
      <c r="Q16" s="1505" t="str">
        <f>B16</f>
        <v>公共配套设施</v>
      </c>
      <c r="R16" s="713" t="s">
        <v>17</v>
      </c>
      <c r="S16" s="714">
        <f>F16</f>
        <v>100</v>
      </c>
      <c r="T16" s="713" t="s">
        <v>17</v>
      </c>
      <c r="U16" s="714">
        <f>H16</f>
        <v>100</v>
      </c>
      <c r="V16" s="713" t="s">
        <v>17</v>
      </c>
      <c r="W16" s="714">
        <f>J16</f>
        <v>100</v>
      </c>
      <c r="X16" s="1508"/>
      <c r="Y16" s="3509"/>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20"/>
      <c r="M17" s="2914"/>
      <c r="N17" s="2914"/>
      <c r="O17" s="2914"/>
      <c r="P17" s="3509"/>
      <c r="Q17" s="1505"/>
      <c r="R17" s="713"/>
      <c r="S17" s="714"/>
      <c r="T17" s="713"/>
      <c r="U17" s="714"/>
      <c r="V17" s="713"/>
      <c r="W17" s="714"/>
      <c r="X17" s="1508"/>
      <c r="Y17" s="3509"/>
      <c r="Z17" s="1509"/>
      <c r="AA17" s="1506">
        <v>1</v>
      </c>
      <c r="AB17" s="1506">
        <v>1</v>
      </c>
      <c r="AC17" s="1506">
        <v>1</v>
      </c>
    </row>
    <row r="18" spans="1:29" ht="28.5">
      <c r="A18" s="363"/>
      <c r="B18" s="588" t="s">
        <v>2448</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20"/>
      <c r="M18" s="2914"/>
      <c r="N18" s="2914"/>
      <c r="O18" s="2914"/>
      <c r="P18" s="3509"/>
      <c r="Q18" s="1505" t="str">
        <f>B18</f>
        <v>基础设施水平</v>
      </c>
      <c r="R18" s="713" t="s">
        <v>17</v>
      </c>
      <c r="S18" s="714">
        <f>F18</f>
        <v>100</v>
      </c>
      <c r="T18" s="713" t="s">
        <v>17</v>
      </c>
      <c r="U18" s="714">
        <f>H18</f>
        <v>100</v>
      </c>
      <c r="V18" s="713" t="s">
        <v>17</v>
      </c>
      <c r="W18" s="714">
        <f>J18</f>
        <v>100</v>
      </c>
      <c r="X18" s="1508"/>
      <c r="Y18" s="3509"/>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20"/>
      <c r="M19" s="2914"/>
      <c r="N19" s="2914"/>
      <c r="O19" s="2914"/>
      <c r="P19" s="3509"/>
      <c r="Q19" s="1505"/>
      <c r="R19" s="713"/>
      <c r="S19" s="714"/>
      <c r="T19" s="713"/>
      <c r="U19" s="714"/>
      <c r="V19" s="713"/>
      <c r="W19" s="714"/>
      <c r="X19" s="1508"/>
      <c r="Y19" s="3509"/>
      <c r="Z19" s="1509"/>
      <c r="AA19" s="1506">
        <v>1</v>
      </c>
      <c r="AB19" s="1506">
        <v>1</v>
      </c>
      <c r="AC19" s="1506">
        <v>1</v>
      </c>
    </row>
    <row r="20" spans="1:29" ht="57">
      <c r="A20" s="363"/>
      <c r="B20" s="586" t="s">
        <v>2469</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0"/>
      <c r="M20" s="2914"/>
      <c r="N20" s="2914"/>
      <c r="O20" s="2914"/>
      <c r="P20" s="3509"/>
      <c r="Q20" s="1505" t="str">
        <f>B20</f>
        <v>自然及人文环境</v>
      </c>
      <c r="R20" s="713" t="s">
        <v>17</v>
      </c>
      <c r="S20" s="714">
        <f>F20</f>
        <v>100</v>
      </c>
      <c r="T20" s="713" t="s">
        <v>17</v>
      </c>
      <c r="U20" s="714">
        <f>H20</f>
        <v>100</v>
      </c>
      <c r="V20" s="713" t="s">
        <v>17</v>
      </c>
      <c r="W20" s="714">
        <f>J20</f>
        <v>100</v>
      </c>
      <c r="X20" s="1508"/>
      <c r="Y20" s="3509"/>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20"/>
      <c r="M21" s="2914"/>
      <c r="N21" s="2914"/>
      <c r="O21" s="2914"/>
      <c r="P21" s="3509"/>
      <c r="Q21" s="1505"/>
      <c r="R21" s="713"/>
      <c r="S21" s="714"/>
      <c r="T21" s="713"/>
      <c r="U21" s="714"/>
      <c r="V21" s="713"/>
      <c r="W21" s="714"/>
      <c r="X21" s="1508"/>
      <c r="Y21" s="3509"/>
      <c r="Z21" s="1509"/>
      <c r="AA21" s="1506">
        <v>1</v>
      </c>
      <c r="AB21" s="1506">
        <v>1</v>
      </c>
      <c r="AC21" s="1506">
        <v>1</v>
      </c>
    </row>
    <row r="22" spans="1:29" ht="15">
      <c r="A22" s="363"/>
      <c r="B22" s="586" t="s">
        <v>2470</v>
      </c>
      <c r="C22" s="572"/>
      <c r="D22" s="408">
        <v>100</v>
      </c>
      <c r="E22" s="572"/>
      <c r="F22" s="419">
        <f>SUMIF(71:71,E22,72:72)-SUMIF(71:71,C22,72:72)+100</f>
        <v>100</v>
      </c>
      <c r="G22" s="572"/>
      <c r="H22" s="393">
        <f>SUMIF(71:71,G22,72:72)-SUMIF(71:71,C22,72:72)+100</f>
        <v>100</v>
      </c>
      <c r="I22" s="572"/>
      <c r="J22" s="393">
        <f>SUMIF(71:71,I22,72:72)-SUMIF(71:71,C22,72:72)+100</f>
        <v>100</v>
      </c>
      <c r="K22" s="568"/>
      <c r="L22" s="2920"/>
      <c r="M22" s="2914"/>
      <c r="N22" s="2914"/>
      <c r="O22" s="2914"/>
      <c r="P22" s="3509"/>
      <c r="Q22" s="1505" t="str">
        <f>B22</f>
        <v>楼层</v>
      </c>
      <c r="R22" s="713" t="s">
        <v>17</v>
      </c>
      <c r="S22" s="714">
        <f>F22</f>
        <v>100</v>
      </c>
      <c r="T22" s="713" t="s">
        <v>17</v>
      </c>
      <c r="U22" s="714">
        <f>H22</f>
        <v>100</v>
      </c>
      <c r="V22" s="713" t="s">
        <v>17</v>
      </c>
      <c r="W22" s="714">
        <f>J22</f>
        <v>100</v>
      </c>
      <c r="X22" s="1508"/>
      <c r="Y22" s="3509"/>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509"/>
      <c r="Q23" s="1505">
        <f>B23</f>
        <v>111</v>
      </c>
      <c r="R23" s="713" t="s">
        <v>17</v>
      </c>
      <c r="S23" s="714">
        <f>F23</f>
        <v>100</v>
      </c>
      <c r="T23" s="713" t="s">
        <v>17</v>
      </c>
      <c r="U23" s="714">
        <f>H23</f>
        <v>100</v>
      </c>
      <c r="V23" s="713" t="s">
        <v>17</v>
      </c>
      <c r="W23" s="714">
        <f>J23</f>
        <v>100</v>
      </c>
      <c r="X23" s="1508"/>
      <c r="Y23" s="3509"/>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509"/>
      <c r="Q24" s="1505">
        <f t="shared" ref="Q24:Q36" si="11">B24</f>
        <v>111</v>
      </c>
      <c r="R24" s="713" t="s">
        <v>17</v>
      </c>
      <c r="S24" s="714">
        <f>F24</f>
        <v>100</v>
      </c>
      <c r="T24" s="713" t="s">
        <v>17</v>
      </c>
      <c r="U24" s="714">
        <f>H24</f>
        <v>100</v>
      </c>
      <c r="V24" s="713" t="s">
        <v>17</v>
      </c>
      <c r="W24" s="714">
        <f>J24</f>
        <v>100</v>
      </c>
      <c r="X24" s="1508"/>
      <c r="Y24" s="3509"/>
      <c r="Z24" s="1509">
        <f>Q24</f>
        <v>111</v>
      </c>
      <c r="AA24" s="1506">
        <f t="shared" si="3"/>
        <v>1</v>
      </c>
      <c r="AB24" s="1506">
        <f t="shared" si="4"/>
        <v>1</v>
      </c>
      <c r="AC24" s="150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509"/>
      <c r="Q25" s="1496">
        <f t="shared" si="11"/>
        <v>111</v>
      </c>
      <c r="R25" s="709" t="s">
        <v>17</v>
      </c>
      <c r="S25" s="710">
        <f>F25</f>
        <v>100</v>
      </c>
      <c r="T25" s="709" t="s">
        <v>17</v>
      </c>
      <c r="U25" s="710">
        <f>H25</f>
        <v>100</v>
      </c>
      <c r="V25" s="709" t="s">
        <v>17</v>
      </c>
      <c r="W25" s="710">
        <f>J25</f>
        <v>100</v>
      </c>
      <c r="X25" s="711"/>
      <c r="Y25" s="3509"/>
      <c r="Z25" s="55">
        <f>Q25</f>
        <v>111</v>
      </c>
      <c r="AA25" s="1506">
        <f>D25/F25</f>
        <v>1</v>
      </c>
      <c r="AB25" s="1506">
        <f>D25/H25</f>
        <v>1</v>
      </c>
      <c r="AC25" s="1506">
        <f>D25/J25</f>
        <v>1</v>
      </c>
    </row>
    <row r="26" spans="1:29" ht="28.5">
      <c r="A26" s="607" t="s">
        <v>2322</v>
      </c>
      <c r="B26" s="66" t="s">
        <v>2471</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20"/>
      <c r="M26" s="2914"/>
      <c r="N26" s="2914"/>
      <c r="O26" s="2914"/>
      <c r="P26" s="3534" t="s">
        <v>2324</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513" t="s">
        <v>2324</v>
      </c>
      <c r="Z26" s="1509" t="str">
        <f t="shared" ref="Z26:Z36" si="15">Q26</f>
        <v>配套类型</v>
      </c>
      <c r="AA26" s="1506">
        <f t="shared" si="3"/>
        <v>1</v>
      </c>
      <c r="AB26" s="1506">
        <f t="shared" si="4"/>
        <v>1</v>
      </c>
      <c r="AC26" s="1506">
        <f t="shared" si="5"/>
        <v>1</v>
      </c>
    </row>
    <row r="27" spans="1:29" s="429" customFormat="1" ht="15">
      <c r="A27" s="608"/>
      <c r="B27" s="609" t="s">
        <v>2472</v>
      </c>
      <c r="C27" s="610"/>
      <c r="D27" s="131">
        <v>100</v>
      </c>
      <c r="E27" s="610"/>
      <c r="F27" s="419">
        <f>SUMIF(81:81,E27,82:82)-SUMIF(81:81,C27,82:82)+100</f>
        <v>100</v>
      </c>
      <c r="G27" s="610"/>
      <c r="H27" s="393">
        <f>SUMIF(81:81,G27,82:82)-SUMIF(81:81,C27,82:82)+100</f>
        <v>100</v>
      </c>
      <c r="I27" s="610"/>
      <c r="J27" s="393">
        <f>SUMIF(81:81,I27,82:82)-SUMIF(81:81,C27,82:82)+100</f>
        <v>100</v>
      </c>
      <c r="K27" s="569"/>
      <c r="L27" s="2919"/>
      <c r="M27" s="2921"/>
      <c r="N27" s="2921"/>
      <c r="O27" s="2921"/>
      <c r="P27" s="3513"/>
      <c r="Q27" s="715" t="str">
        <f t="shared" si="11"/>
        <v>项目停车位配比</v>
      </c>
      <c r="R27" s="716" t="s">
        <v>17</v>
      </c>
      <c r="S27" s="717">
        <f t="shared" si="12"/>
        <v>100</v>
      </c>
      <c r="T27" s="716" t="s">
        <v>17</v>
      </c>
      <c r="U27" s="717">
        <f t="shared" si="13"/>
        <v>100</v>
      </c>
      <c r="V27" s="716" t="s">
        <v>17</v>
      </c>
      <c r="W27" s="717">
        <f t="shared" si="14"/>
        <v>100</v>
      </c>
      <c r="X27" s="718"/>
      <c r="Y27" s="3513"/>
      <c r="Z27" s="719" t="str">
        <f t="shared" si="15"/>
        <v>项目停车位配比</v>
      </c>
      <c r="AA27" s="1506">
        <f t="shared" si="3"/>
        <v>1</v>
      </c>
      <c r="AB27" s="1506">
        <f t="shared" si="4"/>
        <v>1</v>
      </c>
      <c r="AC27" s="1506">
        <f t="shared" si="5"/>
        <v>1</v>
      </c>
    </row>
    <row r="28" spans="1:29" ht="15">
      <c r="A28" s="611"/>
      <c r="B28" s="609" t="s">
        <v>2473</v>
      </c>
      <c r="C28" s="418"/>
      <c r="D28" s="393">
        <v>100</v>
      </c>
      <c r="E28" s="418"/>
      <c r="F28" s="419">
        <f>SUMIF(83:83,E28,84:84)-SUMIF(83:83,C28,84:84)+100</f>
        <v>100</v>
      </c>
      <c r="G28" s="418"/>
      <c r="H28" s="393">
        <f>SUMIF(83:83,G28,84:84)-SUMIF(83:83,C28,84:84)+100</f>
        <v>100</v>
      </c>
      <c r="I28" s="418"/>
      <c r="J28" s="393">
        <f>SUMIF(83:83,I28,84:84)-SUMIF(83:83,C28,84:84)+100</f>
        <v>100</v>
      </c>
      <c r="K28" s="568"/>
      <c r="L28" s="2920"/>
      <c r="M28" s="2914"/>
      <c r="N28" s="2914"/>
      <c r="O28" s="2914"/>
      <c r="P28" s="3513"/>
      <c r="Q28" s="1505" t="str">
        <f t="shared" si="11"/>
        <v>公共部分装修</v>
      </c>
      <c r="R28" s="713" t="s">
        <v>17</v>
      </c>
      <c r="S28" s="714">
        <f t="shared" si="12"/>
        <v>100</v>
      </c>
      <c r="T28" s="713" t="s">
        <v>17</v>
      </c>
      <c r="U28" s="714">
        <f t="shared" si="13"/>
        <v>100</v>
      </c>
      <c r="V28" s="713" t="s">
        <v>17</v>
      </c>
      <c r="W28" s="714">
        <f t="shared" si="14"/>
        <v>100</v>
      </c>
      <c r="X28" s="1508"/>
      <c r="Y28" s="3513"/>
      <c r="Z28" s="1509" t="str">
        <f t="shared" si="15"/>
        <v>公共部分装修</v>
      </c>
      <c r="AA28" s="1506">
        <f t="shared" si="3"/>
        <v>1</v>
      </c>
      <c r="AB28" s="1506">
        <f t="shared" si="4"/>
        <v>1</v>
      </c>
      <c r="AC28" s="1506">
        <f t="shared" si="5"/>
        <v>1</v>
      </c>
    </row>
    <row r="29" spans="1:29" ht="15">
      <c r="A29" s="611"/>
      <c r="B29" s="609" t="s">
        <v>2474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0"/>
      <c r="M29" s="2914"/>
      <c r="N29" s="2914"/>
      <c r="O29" s="2914"/>
      <c r="P29" s="3513"/>
      <c r="Q29" s="1505" t="str">
        <f t="shared" si="11"/>
        <v>成新率</v>
      </c>
      <c r="R29" s="713" t="s">
        <v>17</v>
      </c>
      <c r="S29" s="714" t="e">
        <f t="shared" si="12"/>
        <v>#N/A</v>
      </c>
      <c r="T29" s="713" t="s">
        <v>17</v>
      </c>
      <c r="U29" s="714" t="e">
        <f t="shared" si="13"/>
        <v>#N/A</v>
      </c>
      <c r="V29" s="713" t="s">
        <v>17</v>
      </c>
      <c r="W29" s="714" t="e">
        <f t="shared" si="14"/>
        <v>#N/A</v>
      </c>
      <c r="X29" s="1508"/>
      <c r="Y29" s="3513"/>
      <c r="Z29" s="1509" t="str">
        <f t="shared" si="15"/>
        <v>成新率</v>
      </c>
      <c r="AA29" s="1506" t="e">
        <f t="shared" si="3"/>
        <v>#N/A</v>
      </c>
      <c r="AB29" s="1506" t="e">
        <f t="shared" si="4"/>
        <v>#N/A</v>
      </c>
      <c r="AC29" s="1506" t="e">
        <f t="shared" si="5"/>
        <v>#N/A</v>
      </c>
    </row>
    <row r="30" spans="1:29" ht="15">
      <c r="A30" s="611"/>
      <c r="B30" s="609" t="s">
        <v>2475</v>
      </c>
      <c r="C30" s="612"/>
      <c r="D30" s="393">
        <v>100</v>
      </c>
      <c r="E30" s="612"/>
      <c r="F30" s="419">
        <f>SUMIF(88:88,E30,89:89)-SUMIF(88:88,C30,89:89)+100</f>
        <v>100</v>
      </c>
      <c r="G30" s="612"/>
      <c r="H30" s="393">
        <f>SUMIF(88:88,E30,89:89)-SUMIF(88:88,C30,89:89)+100</f>
        <v>100</v>
      </c>
      <c r="I30" s="612"/>
      <c r="J30" s="393">
        <f>SUMIF(88:88,E30,89:89)-SUMIF(88:88,C30,89:89)+100</f>
        <v>100</v>
      </c>
      <c r="K30" s="568"/>
      <c r="L30" s="2920"/>
      <c r="M30" s="2914"/>
      <c r="N30" s="2914"/>
      <c r="O30" s="2914"/>
      <c r="P30" s="3513"/>
      <c r="Q30" s="1505" t="str">
        <f t="shared" si="11"/>
        <v>物业等级</v>
      </c>
      <c r="R30" s="713" t="s">
        <v>17</v>
      </c>
      <c r="S30" s="714">
        <f t="shared" si="12"/>
        <v>100</v>
      </c>
      <c r="T30" s="713" t="s">
        <v>17</v>
      </c>
      <c r="U30" s="714">
        <f t="shared" si="13"/>
        <v>100</v>
      </c>
      <c r="V30" s="713" t="s">
        <v>17</v>
      </c>
      <c r="W30" s="714">
        <f t="shared" si="14"/>
        <v>100</v>
      </c>
      <c r="X30" s="1508"/>
      <c r="Y30" s="3513"/>
      <c r="Z30" s="1509" t="str">
        <f t="shared" si="15"/>
        <v>物业等级</v>
      </c>
      <c r="AA30" s="1506">
        <f t="shared" si="3"/>
        <v>1</v>
      </c>
      <c r="AB30" s="1506">
        <f t="shared" si="4"/>
        <v>1</v>
      </c>
      <c r="AC30" s="1506">
        <f t="shared" si="5"/>
        <v>1</v>
      </c>
    </row>
    <row r="31" spans="1:29" s="113" customFormat="1" ht="15">
      <c r="A31" s="613"/>
      <c r="B31" s="609" t="s">
        <v>2476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5"/>
      <c r="M31" s="2916"/>
      <c r="N31" s="2916"/>
      <c r="O31" s="2916"/>
      <c r="P31" s="3513"/>
      <c r="Q31" s="1496" t="str">
        <f t="shared" si="11"/>
        <v>停车位面积</v>
      </c>
      <c r="R31" s="709" t="s">
        <v>17</v>
      </c>
      <c r="S31" s="710" t="e">
        <f t="shared" si="12"/>
        <v>#N/A</v>
      </c>
      <c r="T31" s="709" t="s">
        <v>17</v>
      </c>
      <c r="U31" s="710" t="e">
        <f t="shared" si="13"/>
        <v>#N/A</v>
      </c>
      <c r="V31" s="709" t="s">
        <v>17</v>
      </c>
      <c r="W31" s="710" t="e">
        <f t="shared" si="14"/>
        <v>#N/A</v>
      </c>
      <c r="X31" s="711"/>
      <c r="Y31" s="3513"/>
      <c r="Z31" s="55" t="str">
        <f t="shared" si="15"/>
        <v>停车位面积</v>
      </c>
      <c r="AA31" s="712" t="e">
        <f t="shared" si="3"/>
        <v>#N/A</v>
      </c>
      <c r="AB31" s="712" t="e">
        <f t="shared" si="4"/>
        <v>#N/A</v>
      </c>
      <c r="AC31" s="712" t="e">
        <f t="shared" si="5"/>
        <v>#N/A</v>
      </c>
    </row>
    <row r="32" spans="1:29" ht="15">
      <c r="A32" s="611"/>
      <c r="B32" s="609" t="s">
        <v>2477</v>
      </c>
      <c r="C32" s="418"/>
      <c r="D32" s="393">
        <v>100</v>
      </c>
      <c r="E32" s="418"/>
      <c r="F32" s="419">
        <f>SUMIF(93:93,E32,94:94)-SUMIF(93:93,C32,94:94)+100</f>
        <v>100</v>
      </c>
      <c r="G32" s="418"/>
      <c r="H32" s="393">
        <f>SUMIF(93:93,G32,94:94)-SUMIF(93:93,C32,94:94)+100</f>
        <v>100</v>
      </c>
      <c r="I32" s="418"/>
      <c r="J32" s="393">
        <f>SUMIF(93:93,I32,94:94)-SUMIF(93:93,C32,94:94)+100</f>
        <v>100</v>
      </c>
      <c r="K32" s="568"/>
      <c r="L32" s="2920"/>
      <c r="M32" s="2914"/>
      <c r="N32" s="2914"/>
      <c r="O32" s="2914"/>
      <c r="P32" s="3513" t="s">
        <v>2324</v>
      </c>
      <c r="Q32" s="1505" t="str">
        <f t="shared" si="11"/>
        <v>车位类型</v>
      </c>
      <c r="R32" s="713" t="s">
        <v>17</v>
      </c>
      <c r="S32" s="714">
        <f t="shared" si="12"/>
        <v>100</v>
      </c>
      <c r="T32" s="713" t="s">
        <v>17</v>
      </c>
      <c r="U32" s="714">
        <f t="shared" si="13"/>
        <v>100</v>
      </c>
      <c r="V32" s="713" t="s">
        <v>17</v>
      </c>
      <c r="W32" s="714">
        <f t="shared" si="14"/>
        <v>100</v>
      </c>
      <c r="X32" s="1508"/>
      <c r="Y32" s="3513" t="s">
        <v>2324</v>
      </c>
      <c r="Z32" s="1509" t="str">
        <f t="shared" si="15"/>
        <v>车位类型</v>
      </c>
      <c r="AA32" s="1506">
        <f t="shared" si="3"/>
        <v>1</v>
      </c>
      <c r="AB32" s="1506">
        <f t="shared" si="4"/>
        <v>1</v>
      </c>
      <c r="AC32" s="1506">
        <f t="shared" si="5"/>
        <v>1</v>
      </c>
    </row>
    <row r="33" spans="1:29" ht="15">
      <c r="A33" s="611"/>
      <c r="B33" s="609" t="s">
        <v>2478</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513"/>
      <c r="Q33" s="1505" t="str">
        <f t="shared" si="11"/>
        <v>是否直接入户</v>
      </c>
      <c r="R33" s="713" t="s">
        <v>17</v>
      </c>
      <c r="S33" s="714">
        <f t="shared" si="12"/>
        <v>100</v>
      </c>
      <c r="T33" s="713" t="s">
        <v>17</v>
      </c>
      <c r="U33" s="714">
        <f t="shared" si="13"/>
        <v>100</v>
      </c>
      <c r="V33" s="713" t="s">
        <v>17</v>
      </c>
      <c r="W33" s="714">
        <f t="shared" si="14"/>
        <v>100</v>
      </c>
      <c r="X33" s="1508"/>
      <c r="Y33" s="3513"/>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20"/>
      <c r="M34" s="2914"/>
      <c r="N34" s="2914"/>
      <c r="O34" s="2914"/>
      <c r="P34" s="3513"/>
      <c r="Q34" s="1505">
        <f t="shared" si="11"/>
        <v>111</v>
      </c>
      <c r="R34" s="713" t="s">
        <v>17</v>
      </c>
      <c r="S34" s="714">
        <f t="shared" si="12"/>
        <v>100</v>
      </c>
      <c r="T34" s="713" t="s">
        <v>17</v>
      </c>
      <c r="U34" s="714">
        <f t="shared" si="13"/>
        <v>100</v>
      </c>
      <c r="V34" s="713" t="s">
        <v>17</v>
      </c>
      <c r="W34" s="714">
        <f t="shared" si="14"/>
        <v>100</v>
      </c>
      <c r="X34" s="1508"/>
      <c r="Y34" s="3513"/>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513"/>
      <c r="Q35" s="715">
        <f t="shared" si="11"/>
        <v>111</v>
      </c>
      <c r="R35" s="716" t="s">
        <v>17</v>
      </c>
      <c r="S35" s="717">
        <f t="shared" si="12"/>
        <v>100</v>
      </c>
      <c r="T35" s="716" t="s">
        <v>17</v>
      </c>
      <c r="U35" s="717">
        <f t="shared" si="13"/>
        <v>100</v>
      </c>
      <c r="V35" s="716" t="s">
        <v>17</v>
      </c>
      <c r="W35" s="717">
        <f t="shared" si="14"/>
        <v>100</v>
      </c>
      <c r="X35" s="718"/>
      <c r="Y35" s="3513"/>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513"/>
      <c r="Q36" s="1505">
        <f t="shared" si="11"/>
        <v>111</v>
      </c>
      <c r="R36" s="713" t="s">
        <v>17</v>
      </c>
      <c r="S36" s="714">
        <f t="shared" si="12"/>
        <v>100</v>
      </c>
      <c r="T36" s="713" t="s">
        <v>17</v>
      </c>
      <c r="U36" s="714">
        <f t="shared" si="13"/>
        <v>100</v>
      </c>
      <c r="V36" s="713" t="s">
        <v>17</v>
      </c>
      <c r="W36" s="714">
        <f t="shared" si="14"/>
        <v>100</v>
      </c>
      <c r="X36" s="1508"/>
      <c r="Y36" s="3513"/>
      <c r="Z36" s="1509">
        <f t="shared" si="15"/>
        <v>111</v>
      </c>
      <c r="AA36" s="1506">
        <f t="shared" si="3"/>
        <v>1</v>
      </c>
      <c r="AB36" s="1506">
        <f t="shared" si="4"/>
        <v>1</v>
      </c>
      <c r="AC36" s="1506">
        <f t="shared" si="5"/>
        <v>1</v>
      </c>
    </row>
    <row r="37" spans="1:29" ht="15">
      <c r="A37" s="437" t="s">
        <v>2479</v>
      </c>
      <c r="B37" s="2128" t="s">
        <v>2480</v>
      </c>
      <c r="C37" s="1287" t="s">
        <v>1</v>
      </c>
      <c r="D37" s="1288"/>
      <c r="E37" s="1289"/>
      <c r="F37" s="1290"/>
      <c r="G37" s="1291"/>
      <c r="H37" s="1292"/>
      <c r="I37" s="1289"/>
      <c r="J37" s="1292"/>
      <c r="K37" s="575"/>
      <c r="L37" s="2922"/>
      <c r="M37" s="2923"/>
      <c r="N37" s="2914"/>
      <c r="O37" s="2923"/>
      <c r="P37" s="3506" t="str">
        <f>A37</f>
        <v>成交单价</v>
      </c>
      <c r="Q37" s="3506"/>
      <c r="R37" s="3507">
        <f>E37</f>
        <v>0</v>
      </c>
      <c r="S37" s="3507"/>
      <c r="T37" s="3507">
        <f>G37</f>
        <v>0</v>
      </c>
      <c r="U37" s="3507"/>
      <c r="V37" s="3507">
        <f>I37</f>
        <v>0</v>
      </c>
      <c r="W37" s="3507"/>
      <c r="X37" s="698"/>
      <c r="Y37" s="720"/>
      <c r="Z37" s="698"/>
      <c r="AA37" s="698"/>
      <c r="AB37" s="698"/>
      <c r="AC37" s="698"/>
    </row>
    <row r="38" spans="1:29" ht="15.75" thickBot="1">
      <c r="A38" s="444" t="s">
        <v>2481</v>
      </c>
      <c r="B38" s="445" t="str">
        <f>B37</f>
        <v>元/车位</v>
      </c>
      <c r="C38" s="1293" t="e">
        <f>R39</f>
        <v>#DIV/0!</v>
      </c>
      <c r="D38" s="2507" t="s">
        <v>2819</v>
      </c>
      <c r="E38" s="1294" t="e">
        <f>R38</f>
        <v>#DIV/0!</v>
      </c>
      <c r="F38" s="2508"/>
      <c r="G38" s="1293" t="e">
        <f>T38</f>
        <v>#DIV/0!</v>
      </c>
      <c r="H38" s="2508"/>
      <c r="I38" s="1294" t="e">
        <f>V38</f>
        <v>#DIV/0!</v>
      </c>
      <c r="J38" s="2508"/>
      <c r="K38" s="2510">
        <f>F38+H38+J38</f>
        <v>0</v>
      </c>
      <c r="L38" s="2922"/>
      <c r="M38" s="2923"/>
      <c r="N38" s="2923"/>
      <c r="O38" s="2923"/>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8"/>
      <c r="Y38" s="698"/>
      <c r="Z38" s="698"/>
      <c r="AA38" s="698"/>
      <c r="AB38" s="698"/>
      <c r="AC38" s="698"/>
    </row>
    <row r="39" spans="1:29" ht="15.75" thickBot="1">
      <c r="A39" s="448" t="s">
        <v>2482</v>
      </c>
      <c r="B39" s="449"/>
      <c r="C39" s="1296" t="e">
        <f>R39</f>
        <v>#DIV/0!</v>
      </c>
      <c r="D39" s="1296"/>
      <c r="E39" s="1296"/>
      <c r="F39" s="1296"/>
      <c r="G39" s="1296"/>
      <c r="H39" s="1296"/>
      <c r="I39" s="1296"/>
      <c r="J39" s="1296"/>
      <c r="K39" s="576"/>
      <c r="L39" s="2922"/>
      <c r="M39" s="2923"/>
      <c r="N39" s="2923"/>
      <c r="O39" s="2923"/>
      <c r="P39" s="3503" t="str">
        <f>A39</f>
        <v>估价对象XX用房的比较价值（楼面单价，元/平方米）</v>
      </c>
      <c r="Q39" s="3504"/>
      <c r="R39" s="3535" t="e">
        <f>IF(F1="售价",ROUND(IF(D38="简单平均",AVERAGE(R38:W38),R38*F38+T38*H38+V38*J38),0),ROUND(IF(D38="简单平均",AVERAGE(R38:V38),R38*F38+T38*H38+V38*J38),1))</f>
        <v>#DIV/0!</v>
      </c>
      <c r="S39" s="3535"/>
      <c r="T39" s="3535"/>
      <c r="U39" s="3535"/>
      <c r="V39" s="3535"/>
      <c r="W39" s="3535"/>
      <c r="X39" s="698"/>
      <c r="Y39" s="698"/>
      <c r="Z39" s="698"/>
      <c r="AA39" s="698"/>
      <c r="AB39" s="698"/>
      <c r="AC39" s="698"/>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2486</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2487</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2344</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2309</v>
      </c>
      <c r="B51" s="466"/>
      <c r="C51" s="478" t="s">
        <v>2411</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2347</v>
      </c>
      <c r="B53" s="484" t="s">
        <v>2313</v>
      </c>
      <c r="C53" s="485">
        <f>C9</f>
        <v>0</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2316</v>
      </c>
      <c r="C55" s="495" t="s">
        <v>2348</v>
      </c>
      <c r="D55" s="495" t="s">
        <v>2349</v>
      </c>
      <c r="E55" s="495" t="s">
        <v>2350</v>
      </c>
      <c r="F55" s="495" t="s">
        <v>2351</v>
      </c>
      <c r="G55" s="495" t="s">
        <v>2352</v>
      </c>
      <c r="H55" s="495" t="s">
        <v>2353</v>
      </c>
      <c r="I55" s="495" t="s">
        <v>2354</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f>B11</f>
        <v>111</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2318</v>
      </c>
      <c r="B63" s="484" t="s">
        <v>2361</v>
      </c>
      <c r="C63" s="529" t="s">
        <v>2356</v>
      </c>
      <c r="D63" s="529" t="s">
        <v>2357</v>
      </c>
      <c r="E63" s="529" t="s">
        <v>2358</v>
      </c>
      <c r="F63" s="529" t="s">
        <v>2359</v>
      </c>
      <c r="G63" s="529" t="s">
        <v>2360</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2362</v>
      </c>
      <c r="C65" s="534" t="s">
        <v>2356</v>
      </c>
      <c r="D65" s="534" t="s">
        <v>2357</v>
      </c>
      <c r="E65" s="534" t="s">
        <v>2358</v>
      </c>
      <c r="F65" s="534" t="s">
        <v>2359</v>
      </c>
      <c r="G65" s="534" t="s">
        <v>2360</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2448</v>
      </c>
      <c r="C67" s="615" t="s">
        <v>2434</v>
      </c>
      <c r="D67" s="615" t="s">
        <v>2435</v>
      </c>
      <c r="E67" s="615" t="s">
        <v>2436</v>
      </c>
      <c r="F67" s="615" t="s">
        <v>2437</v>
      </c>
      <c r="G67" s="615" t="s">
        <v>2438</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2368</v>
      </c>
      <c r="C69" s="534" t="s">
        <v>2356</v>
      </c>
      <c r="D69" s="534" t="s">
        <v>2357</v>
      </c>
      <c r="E69" s="534" t="s">
        <v>2358</v>
      </c>
      <c r="F69" s="534" t="s">
        <v>2359</v>
      </c>
      <c r="G69" s="534" t="s">
        <v>2360</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2488</v>
      </c>
      <c r="C71" s="510"/>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2322</v>
      </c>
      <c r="B79" s="484" t="s">
        <v>2489</v>
      </c>
      <c r="C79" s="485">
        <f>C26</f>
        <v>0</v>
      </c>
      <c r="D79" s="486"/>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2490</v>
      </c>
      <c r="C81" s="616"/>
      <c r="D81" s="616"/>
      <c r="E81" s="616"/>
      <c r="F81" s="616"/>
      <c r="G81" s="616"/>
      <c r="H81" s="616"/>
      <c r="I81" s="61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c r="D82" s="492"/>
      <c r="E82" s="492"/>
      <c r="F82" s="492"/>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2375</v>
      </c>
      <c r="C83" s="510"/>
      <c r="D83" s="510"/>
      <c r="E83" s="539"/>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2492</v>
      </c>
      <c r="C88" s="486"/>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c r="D91" s="551"/>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c r="D92" s="492"/>
      <c r="E92" s="492"/>
      <c r="F92" s="492"/>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2494</v>
      </c>
      <c r="C93" s="510"/>
      <c r="D93" s="510"/>
      <c r="E93" s="539"/>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2495</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f>B34</f>
        <v>111</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2466</v>
      </c>
      <c r="B1" s="1362"/>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2089</v>
      </c>
      <c r="B2" s="1297" t="e">
        <f ca="1">IF(C2="——",ROUND(C37*D3/10000,0),ROUND(C37*D3/10000,0)-D2)</f>
        <v>#DIV/0!</v>
      </c>
      <c r="C2" s="2036"/>
      <c r="D2" s="1037" t="e">
        <f ca="1">SUMIF(INDIRECT("'"&amp;F2&amp;"'"&amp;"!A:A"),"承租人权益价值",INDIRECT("'"&amp;F2&amp;"'"&amp;"!c:c"))</f>
        <v>#REF!</v>
      </c>
      <c r="E2" s="2037" t="s">
        <v>2090</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2091</v>
      </c>
      <c r="B3" s="565" t="e">
        <f ca="1">IF(C2="——",C37,ROUND(B2*10000/D3,0))</f>
        <v>#DIV/0!</v>
      </c>
      <c r="C3" s="359" t="s">
        <v>2403</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2404</v>
      </c>
      <c r="B4" s="361"/>
      <c r="C4" s="3489" t="s">
        <v>2405</v>
      </c>
      <c r="D4" s="3490"/>
      <c r="E4" s="3491" t="s">
        <v>2406</v>
      </c>
      <c r="F4" s="3492"/>
      <c r="G4" s="3489" t="s">
        <v>2407</v>
      </c>
      <c r="H4" s="3490"/>
      <c r="I4" s="3489" t="s">
        <v>2408</v>
      </c>
      <c r="J4" s="3490"/>
      <c r="K4" s="566" t="s">
        <v>2409</v>
      </c>
      <c r="L4" s="2913"/>
      <c r="M4" s="2914"/>
      <c r="N4" s="2914"/>
      <c r="O4" s="2914"/>
      <c r="P4" s="3493" t="s">
        <v>2410</v>
      </c>
      <c r="Q4" s="3494"/>
      <c r="R4" s="3476" t="s">
        <v>2406</v>
      </c>
      <c r="S4" s="3477"/>
      <c r="T4" s="3476" t="s">
        <v>2407</v>
      </c>
      <c r="U4" s="3477"/>
      <c r="V4" s="3501" t="s">
        <v>2408</v>
      </c>
      <c r="W4" s="3501"/>
      <c r="X4" s="1508"/>
      <c r="Y4" s="3476" t="s">
        <v>2410</v>
      </c>
      <c r="Z4" s="3477"/>
      <c r="AA4" s="3471" t="s">
        <v>2406</v>
      </c>
      <c r="AB4" s="3472" t="s">
        <v>2407</v>
      </c>
      <c r="AC4" s="3471" t="s">
        <v>2408</v>
      </c>
    </row>
    <row r="5" spans="1:29" ht="15">
      <c r="A5" s="363"/>
      <c r="B5" s="364"/>
      <c r="C5" s="3482" t="s">
        <v>2301</v>
      </c>
      <c r="D5" s="3483"/>
      <c r="E5" s="3517" t="s">
        <v>2302</v>
      </c>
      <c r="F5" s="3518"/>
      <c r="G5" s="3482" t="s">
        <v>2303</v>
      </c>
      <c r="H5" s="3483"/>
      <c r="I5" s="3482" t="s">
        <v>2304</v>
      </c>
      <c r="J5" s="3483"/>
      <c r="K5" s="566"/>
      <c r="L5" s="2913"/>
      <c r="M5" s="2914"/>
      <c r="N5" s="2914"/>
      <c r="O5" s="2914"/>
      <c r="P5" s="3495"/>
      <c r="Q5" s="3496"/>
      <c r="R5" s="3478"/>
      <c r="S5" s="3479"/>
      <c r="T5" s="3478"/>
      <c r="U5" s="3479"/>
      <c r="V5" s="3501"/>
      <c r="W5" s="3501"/>
      <c r="X5" s="1508"/>
      <c r="Y5" s="3478"/>
      <c r="Z5" s="3479"/>
      <c r="AA5" s="3472"/>
      <c r="AB5" s="3472"/>
      <c r="AC5" s="3472"/>
    </row>
    <row r="6" spans="1:29" ht="15.75" thickBot="1">
      <c r="A6" s="365"/>
      <c r="B6" s="366"/>
      <c r="C6" s="3484" t="s">
        <v>2305</v>
      </c>
      <c r="D6" s="3485"/>
      <c r="E6" s="3486" t="s">
        <v>2305</v>
      </c>
      <c r="F6" s="3487"/>
      <c r="G6" s="3484" t="s">
        <v>2305</v>
      </c>
      <c r="H6" s="3485"/>
      <c r="I6" s="3484" t="s">
        <v>2305</v>
      </c>
      <c r="J6" s="3485"/>
      <c r="K6" s="566" t="s">
        <v>2306</v>
      </c>
      <c r="L6" s="2913"/>
      <c r="M6" s="2914"/>
      <c r="N6" s="2914"/>
      <c r="O6" s="2914"/>
      <c r="P6" s="3497"/>
      <c r="Q6" s="3498"/>
      <c r="R6" s="3478"/>
      <c r="S6" s="3479"/>
      <c r="T6" s="3499"/>
      <c r="U6" s="3500"/>
      <c r="V6" s="3501"/>
      <c r="W6" s="3501"/>
      <c r="X6" s="1508"/>
      <c r="Y6" s="3499"/>
      <c r="Z6" s="3500"/>
      <c r="AA6" s="3473"/>
      <c r="AB6" s="3473"/>
      <c r="AC6" s="3473"/>
    </row>
    <row r="7" spans="1:29" s="113" customFormat="1" ht="15.75" thickBot="1">
      <c r="A7" s="367" t="s">
        <v>2307</v>
      </c>
      <c r="B7" s="368"/>
      <c r="C7" s="369">
        <f>'数据-取费表'!B2</f>
        <v>44575</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474" t="s">
        <v>2308</v>
      </c>
      <c r="Q7" s="3502"/>
      <c r="R7" s="709" t="s">
        <v>17</v>
      </c>
      <c r="S7" s="710">
        <f t="shared" ref="S7:S14" si="0">F7</f>
        <v>0</v>
      </c>
      <c r="T7" s="709" t="s">
        <v>17</v>
      </c>
      <c r="U7" s="710">
        <f t="shared" ref="U7:U14" si="1">H7</f>
        <v>0</v>
      </c>
      <c r="V7" s="709" t="s">
        <v>17</v>
      </c>
      <c r="W7" s="710">
        <f t="shared" ref="W7:W14" si="2">J7</f>
        <v>0</v>
      </c>
      <c r="X7" s="711"/>
      <c r="Y7" s="3474" t="s">
        <v>2308</v>
      </c>
      <c r="Z7" s="3475"/>
      <c r="AA7" s="712" t="e">
        <f>D7/F7</f>
        <v>#DIV/0!</v>
      </c>
      <c r="AB7" s="712" t="e">
        <f>D7/H7</f>
        <v>#DIV/0!</v>
      </c>
      <c r="AC7" s="712" t="e">
        <f>D7/J7</f>
        <v>#DIV/0!</v>
      </c>
    </row>
    <row r="8" spans="1:29" s="113" customFormat="1" ht="15.75" thickBot="1">
      <c r="A8" s="367" t="s">
        <v>2309</v>
      </c>
      <c r="B8" s="368"/>
      <c r="C8" s="373" t="s">
        <v>2411</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474" t="s">
        <v>2311</v>
      </c>
      <c r="Q8" s="3475"/>
      <c r="R8" s="709" t="s">
        <v>17</v>
      </c>
      <c r="S8" s="710">
        <f t="shared" si="0"/>
        <v>0</v>
      </c>
      <c r="T8" s="709" t="s">
        <v>17</v>
      </c>
      <c r="U8" s="710">
        <f t="shared" si="1"/>
        <v>0</v>
      </c>
      <c r="V8" s="709" t="s">
        <v>17</v>
      </c>
      <c r="W8" s="710">
        <f t="shared" si="2"/>
        <v>0</v>
      </c>
      <c r="X8" s="711"/>
      <c r="Y8" s="3474" t="s">
        <v>2311</v>
      </c>
      <c r="Z8" s="3475"/>
      <c r="AA8" s="712" t="e">
        <f t="shared" ref="AA8:AA34" si="3">D8/F8</f>
        <v>#DIV/0!</v>
      </c>
      <c r="AB8" s="712" t="e">
        <f t="shared" ref="AB8:AB34" si="4">D8/H8</f>
        <v>#DIV/0!</v>
      </c>
      <c r="AC8" s="712" t="e">
        <f t="shared" ref="AC8:AC34" si="5">D8/J8</f>
        <v>#DIV/0!</v>
      </c>
    </row>
    <row r="9" spans="1:29" s="113" customFormat="1">
      <c r="A9" s="374" t="s">
        <v>2312</v>
      </c>
      <c r="B9" s="67" t="s">
        <v>2313</v>
      </c>
      <c r="C9" s="375"/>
      <c r="D9" s="130">
        <v>100</v>
      </c>
      <c r="E9" s="378"/>
      <c r="F9" s="377">
        <f>SUMIF(51:51,E9,52:52)-SUMIF(51:51,C9,52:52)+100</f>
        <v>100</v>
      </c>
      <c r="G9" s="378"/>
      <c r="H9" s="130">
        <f>SUMIF(51:51,G9,52:52)-SUMIF(51:51,C9,52:52)+100</f>
        <v>100</v>
      </c>
      <c r="I9" s="378"/>
      <c r="J9" s="130">
        <f>SUMIF(51:51,I9,52:52)-SUMIF(51:51,C9,52:52)+100</f>
        <v>100</v>
      </c>
      <c r="K9" s="567"/>
      <c r="L9" s="2915"/>
      <c r="M9" s="2916"/>
      <c r="N9" s="2916"/>
      <c r="O9" s="2970"/>
      <c r="P9" s="3506" t="s">
        <v>2314</v>
      </c>
      <c r="Q9" s="1496" t="str">
        <f t="shared" ref="Q9:Q14" si="6">B9</f>
        <v>用途</v>
      </c>
      <c r="R9" s="709" t="s">
        <v>17</v>
      </c>
      <c r="S9" s="710">
        <f t="shared" si="0"/>
        <v>100</v>
      </c>
      <c r="T9" s="709" t="s">
        <v>17</v>
      </c>
      <c r="U9" s="710">
        <f t="shared" si="1"/>
        <v>100</v>
      </c>
      <c r="V9" s="709" t="s">
        <v>17</v>
      </c>
      <c r="W9" s="710">
        <f t="shared" si="2"/>
        <v>100</v>
      </c>
      <c r="X9" s="711"/>
      <c r="Y9" s="3418" t="s">
        <v>2315</v>
      </c>
      <c r="Z9" s="55" t="str">
        <f t="shared" ref="Z9:Z14" si="7">Q9</f>
        <v>用途</v>
      </c>
      <c r="AA9" s="712">
        <f t="shared" si="3"/>
        <v>1</v>
      </c>
      <c r="AB9" s="712">
        <f t="shared" si="4"/>
        <v>1</v>
      </c>
      <c r="AC9" s="712">
        <f t="shared" si="5"/>
        <v>1</v>
      </c>
    </row>
    <row r="10" spans="1:29" s="385" customFormat="1" ht="27">
      <c r="A10" s="379"/>
      <c r="B10" s="380" t="s">
        <v>2316</v>
      </c>
      <c r="C10" s="381"/>
      <c r="D10" s="131">
        <v>100</v>
      </c>
      <c r="E10" s="381"/>
      <c r="F10" s="383">
        <f>SUMIF(53:53,E10,54:54)-SUMIF(53:53,C10,54:54)+100</f>
        <v>100</v>
      </c>
      <c r="G10" s="381"/>
      <c r="H10" s="131">
        <f>SUMIF(53:53,G10,54:54)-SUMIF(53:53,C10,54:54)+100</f>
        <v>100</v>
      </c>
      <c r="I10" s="381"/>
      <c r="J10" s="131">
        <f>SUMIF(53:53,I10,54:54)-SUMIF(53:53,C10,54:54)+100</f>
        <v>100</v>
      </c>
      <c r="K10" s="568"/>
      <c r="L10" s="2917"/>
      <c r="M10" s="2918"/>
      <c r="N10" s="2918"/>
      <c r="O10" s="2971"/>
      <c r="P10" s="3506"/>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9"/>
      <c r="M11" s="2914"/>
      <c r="N11" s="2914"/>
      <c r="O11" s="2972"/>
      <c r="P11" s="3506"/>
      <c r="Q11" s="1496">
        <f t="shared" si="6"/>
        <v>111</v>
      </c>
      <c r="R11" s="709" t="s">
        <v>17</v>
      </c>
      <c r="S11" s="710">
        <f t="shared" si="0"/>
        <v>100</v>
      </c>
      <c r="T11" s="709" t="s">
        <v>17</v>
      </c>
      <c r="U11" s="710">
        <f t="shared" si="1"/>
        <v>100</v>
      </c>
      <c r="V11" s="709" t="s">
        <v>17</v>
      </c>
      <c r="W11" s="710">
        <f t="shared" si="2"/>
        <v>100</v>
      </c>
      <c r="X11" s="711"/>
      <c r="Y11" s="3418"/>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5"/>
      <c r="M12" s="2916"/>
      <c r="N12" s="2916"/>
      <c r="O12" s="2970"/>
      <c r="P12" s="3506"/>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506"/>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712">
        <f t="shared" si="5"/>
        <v>1</v>
      </c>
    </row>
    <row r="14" spans="1:29" ht="85.5">
      <c r="A14" s="398" t="s">
        <v>2318</v>
      </c>
      <c r="B14" s="65" t="s">
        <v>2468</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508" t="s">
        <v>2319</v>
      </c>
      <c r="Q14" s="1505" t="str">
        <f t="shared" si="6"/>
        <v>交通便捷度</v>
      </c>
      <c r="R14" s="713" t="s">
        <v>17</v>
      </c>
      <c r="S14" s="714">
        <f t="shared" si="0"/>
        <v>100</v>
      </c>
      <c r="T14" s="713" t="s">
        <v>17</v>
      </c>
      <c r="U14" s="714">
        <f t="shared" si="1"/>
        <v>100</v>
      </c>
      <c r="V14" s="713" t="s">
        <v>17</v>
      </c>
      <c r="W14" s="714">
        <f t="shared" si="2"/>
        <v>100</v>
      </c>
      <c r="X14" s="1508"/>
      <c r="Y14" s="3508" t="s">
        <v>2319</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509"/>
      <c r="Q15" s="1505"/>
      <c r="R15" s="713"/>
      <c r="S15" s="714"/>
      <c r="T15" s="713"/>
      <c r="U15" s="714"/>
      <c r="V15" s="713"/>
      <c r="W15" s="714"/>
      <c r="X15" s="1508"/>
      <c r="Y15" s="3509"/>
      <c r="Z15" s="1509"/>
      <c r="AA15" s="1506">
        <v>1</v>
      </c>
      <c r="AB15" s="1506">
        <v>1</v>
      </c>
      <c r="AC15" s="1506">
        <v>1</v>
      </c>
    </row>
    <row r="16" spans="1:29" ht="42.75">
      <c r="A16" s="386"/>
      <c r="B16" s="409" t="s">
        <v>2447</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509"/>
      <c r="Q16" s="1505" t="str">
        <f>B16</f>
        <v>公共配套设施</v>
      </c>
      <c r="R16" s="713" t="s">
        <v>17</v>
      </c>
      <c r="S16" s="714">
        <f>F16</f>
        <v>100</v>
      </c>
      <c r="T16" s="713" t="s">
        <v>17</v>
      </c>
      <c r="U16" s="714">
        <f>H16</f>
        <v>100</v>
      </c>
      <c r="V16" s="713" t="s">
        <v>17</v>
      </c>
      <c r="W16" s="714">
        <f>J16</f>
        <v>100</v>
      </c>
      <c r="X16" s="1508"/>
      <c r="Y16" s="3509"/>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509"/>
      <c r="Q17" s="1505"/>
      <c r="R17" s="713"/>
      <c r="S17" s="714"/>
      <c r="T17" s="713"/>
      <c r="U17" s="714"/>
      <c r="V17" s="713"/>
      <c r="W17" s="714"/>
      <c r="X17" s="1508"/>
      <c r="Y17" s="3509"/>
      <c r="Z17" s="1509"/>
      <c r="AA17" s="1506">
        <v>1</v>
      </c>
      <c r="AB17" s="1506">
        <v>1</v>
      </c>
      <c r="AC17" s="1506">
        <v>1</v>
      </c>
    </row>
    <row r="18" spans="1:29" ht="28.5">
      <c r="A18" s="386"/>
      <c r="B18" s="1264" t="s">
        <v>2448</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509"/>
      <c r="Q18" s="1505" t="str">
        <f>B18</f>
        <v>基础设施水平</v>
      </c>
      <c r="R18" s="713" t="s">
        <v>17</v>
      </c>
      <c r="S18" s="714">
        <f>F18</f>
        <v>100</v>
      </c>
      <c r="T18" s="713" t="s">
        <v>17</v>
      </c>
      <c r="U18" s="714">
        <f>H18</f>
        <v>100</v>
      </c>
      <c r="V18" s="713" t="s">
        <v>17</v>
      </c>
      <c r="W18" s="714">
        <f>J18</f>
        <v>100</v>
      </c>
      <c r="X18" s="1508"/>
      <c r="Y18" s="3509"/>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509"/>
      <c r="Q19" s="1505"/>
      <c r="R19" s="713"/>
      <c r="S19" s="714"/>
      <c r="T19" s="713"/>
      <c r="U19" s="714"/>
      <c r="V19" s="713"/>
      <c r="W19" s="714"/>
      <c r="X19" s="1508"/>
      <c r="Y19" s="3509"/>
      <c r="Z19" s="1509"/>
      <c r="AA19" s="1506">
        <v>1</v>
      </c>
      <c r="AB19" s="1506">
        <v>1</v>
      </c>
      <c r="AC19" s="1506">
        <v>1</v>
      </c>
    </row>
    <row r="20" spans="1:29" ht="57">
      <c r="A20" s="386"/>
      <c r="B20" s="409" t="s">
        <v>2469</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509"/>
      <c r="Q20" s="1505" t="str">
        <f>B20</f>
        <v>自然及人文环境</v>
      </c>
      <c r="R20" s="713" t="s">
        <v>17</v>
      </c>
      <c r="S20" s="714">
        <f>F20</f>
        <v>100</v>
      </c>
      <c r="T20" s="713" t="s">
        <v>17</v>
      </c>
      <c r="U20" s="714">
        <f>H20</f>
        <v>100</v>
      </c>
      <c r="V20" s="713" t="s">
        <v>17</v>
      </c>
      <c r="W20" s="714">
        <f>J20</f>
        <v>100</v>
      </c>
      <c r="X20" s="1508"/>
      <c r="Y20" s="3509"/>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509"/>
      <c r="Q21" s="1505"/>
      <c r="R21" s="713"/>
      <c r="S21" s="714"/>
      <c r="T21" s="713"/>
      <c r="U21" s="714"/>
      <c r="V21" s="713"/>
      <c r="W21" s="714"/>
      <c r="X21" s="1508"/>
      <c r="Y21" s="3509"/>
      <c r="Z21" s="1509"/>
      <c r="AA21" s="1506">
        <v>1</v>
      </c>
      <c r="AB21" s="1506">
        <v>1</v>
      </c>
      <c r="AC21" s="1506">
        <v>1</v>
      </c>
    </row>
    <row r="22" spans="1:29" ht="15">
      <c r="A22" s="386"/>
      <c r="B22" s="409" t="s">
        <v>2470</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509"/>
      <c r="Q22" s="1505" t="str">
        <f>B22</f>
        <v>楼层</v>
      </c>
      <c r="R22" s="713" t="s">
        <v>17</v>
      </c>
      <c r="S22" s="714">
        <f>F22</f>
        <v>100</v>
      </c>
      <c r="T22" s="713" t="s">
        <v>17</v>
      </c>
      <c r="U22" s="714">
        <f>H22</f>
        <v>100</v>
      </c>
      <c r="V22" s="713" t="s">
        <v>17</v>
      </c>
      <c r="W22" s="714">
        <f>J22</f>
        <v>100</v>
      </c>
      <c r="X22" s="1508"/>
      <c r="Y22" s="3509"/>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509"/>
      <c r="Q23" s="1505">
        <f>B23</f>
        <v>111</v>
      </c>
      <c r="R23" s="713" t="s">
        <v>17</v>
      </c>
      <c r="S23" s="714">
        <f>F23</f>
        <v>100</v>
      </c>
      <c r="T23" s="713" t="s">
        <v>17</v>
      </c>
      <c r="U23" s="714">
        <f>H23</f>
        <v>100</v>
      </c>
      <c r="V23" s="713" t="s">
        <v>17</v>
      </c>
      <c r="W23" s="714">
        <f>J23</f>
        <v>100</v>
      </c>
      <c r="X23" s="1508"/>
      <c r="Y23" s="3509"/>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509"/>
      <c r="Q24" s="1505">
        <f t="shared" ref="Q24:Q34" si="11">B24</f>
        <v>111</v>
      </c>
      <c r="R24" s="713" t="s">
        <v>17</v>
      </c>
      <c r="S24" s="714">
        <f>F24</f>
        <v>100</v>
      </c>
      <c r="T24" s="713" t="s">
        <v>17</v>
      </c>
      <c r="U24" s="714">
        <f>H24</f>
        <v>100</v>
      </c>
      <c r="V24" s="713" t="s">
        <v>17</v>
      </c>
      <c r="W24" s="714">
        <f>J24</f>
        <v>100</v>
      </c>
      <c r="X24" s="1508"/>
      <c r="Y24" s="3509"/>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509"/>
      <c r="Q25" s="1496">
        <f t="shared" si="11"/>
        <v>111</v>
      </c>
      <c r="R25" s="709" t="s">
        <v>17</v>
      </c>
      <c r="S25" s="710">
        <f>F25</f>
        <v>100</v>
      </c>
      <c r="T25" s="709" t="s">
        <v>17</v>
      </c>
      <c r="U25" s="710">
        <f>H25</f>
        <v>100</v>
      </c>
      <c r="V25" s="709" t="s">
        <v>17</v>
      </c>
      <c r="W25" s="710">
        <f>J25</f>
        <v>100</v>
      </c>
      <c r="X25" s="711"/>
      <c r="Y25" s="3509"/>
      <c r="Z25" s="55">
        <f>Q25</f>
        <v>111</v>
      </c>
      <c r="AA25" s="1506">
        <f>D25/F25</f>
        <v>1</v>
      </c>
      <c r="AB25" s="1506">
        <f>D25/H25</f>
        <v>1</v>
      </c>
      <c r="AC25" s="1506">
        <f>D25/J25</f>
        <v>1</v>
      </c>
    </row>
    <row r="26" spans="1:29" ht="28.5">
      <c r="A26" s="424" t="s">
        <v>2322</v>
      </c>
      <c r="B26" s="67" t="s">
        <v>2473</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534" t="s">
        <v>2324</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513" t="s">
        <v>2324</v>
      </c>
      <c r="Z26" s="1509" t="str">
        <f t="shared" ref="Z26:Z34" si="15">Q26</f>
        <v>公共部分装修</v>
      </c>
      <c r="AA26" s="1506">
        <f t="shared" si="3"/>
        <v>1</v>
      </c>
      <c r="AB26" s="1506">
        <f t="shared" si="4"/>
        <v>1</v>
      </c>
      <c r="AC26" s="1506">
        <f t="shared" si="5"/>
        <v>1</v>
      </c>
    </row>
    <row r="27" spans="1:29" s="429" customFormat="1" ht="15">
      <c r="A27" s="426"/>
      <c r="B27" s="380" t="s">
        <v>2474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513"/>
      <c r="Q27" s="715" t="str">
        <f t="shared" si="11"/>
        <v>成新率</v>
      </c>
      <c r="R27" s="716" t="s">
        <v>17</v>
      </c>
      <c r="S27" s="717" t="e">
        <f t="shared" si="12"/>
        <v>#N/A</v>
      </c>
      <c r="T27" s="716" t="s">
        <v>17</v>
      </c>
      <c r="U27" s="717" t="e">
        <f t="shared" si="13"/>
        <v>#N/A</v>
      </c>
      <c r="V27" s="716" t="s">
        <v>17</v>
      </c>
      <c r="W27" s="717" t="e">
        <f t="shared" si="14"/>
        <v>#N/A</v>
      </c>
      <c r="X27" s="718"/>
      <c r="Y27" s="3513"/>
      <c r="Z27" s="719" t="str">
        <f t="shared" si="15"/>
        <v>成新率</v>
      </c>
      <c r="AA27" s="1506" t="e">
        <f t="shared" si="3"/>
        <v>#N/A</v>
      </c>
      <c r="AB27" s="1506" t="e">
        <f t="shared" si="4"/>
        <v>#N/A</v>
      </c>
      <c r="AC27" s="1506" t="e">
        <f t="shared" si="5"/>
        <v>#N/A</v>
      </c>
    </row>
    <row r="28" spans="1:29" ht="15">
      <c r="A28" s="430"/>
      <c r="B28" s="380" t="s">
        <v>2475</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513"/>
      <c r="Q28" s="1505" t="str">
        <f t="shared" si="11"/>
        <v>物业等级</v>
      </c>
      <c r="R28" s="713" t="s">
        <v>17</v>
      </c>
      <c r="S28" s="714">
        <f t="shared" si="12"/>
        <v>100</v>
      </c>
      <c r="T28" s="713" t="s">
        <v>17</v>
      </c>
      <c r="U28" s="714">
        <f t="shared" si="13"/>
        <v>100</v>
      </c>
      <c r="V28" s="713" t="s">
        <v>17</v>
      </c>
      <c r="W28" s="714">
        <f t="shared" si="14"/>
        <v>100</v>
      </c>
      <c r="X28" s="1508"/>
      <c r="Y28" s="3513"/>
      <c r="Z28" s="1509" t="str">
        <f t="shared" si="15"/>
        <v>物业等级</v>
      </c>
      <c r="AA28" s="1506">
        <f t="shared" si="3"/>
        <v>1</v>
      </c>
      <c r="AB28" s="1506">
        <f t="shared" si="4"/>
        <v>1</v>
      </c>
      <c r="AC28" s="1506">
        <f t="shared" si="5"/>
        <v>1</v>
      </c>
    </row>
    <row r="29" spans="1:29" ht="15">
      <c r="A29" s="430"/>
      <c r="B29" s="380" t="s">
        <v>2496</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513"/>
      <c r="Q29" s="1505" t="str">
        <f t="shared" si="11"/>
        <v>有无电梯</v>
      </c>
      <c r="R29" s="713" t="s">
        <v>17</v>
      </c>
      <c r="S29" s="714">
        <f t="shared" si="12"/>
        <v>100</v>
      </c>
      <c r="T29" s="713" t="s">
        <v>17</v>
      </c>
      <c r="U29" s="714">
        <f t="shared" si="13"/>
        <v>100</v>
      </c>
      <c r="V29" s="713" t="s">
        <v>17</v>
      </c>
      <c r="W29" s="714">
        <f t="shared" si="14"/>
        <v>100</v>
      </c>
      <c r="X29" s="1508"/>
      <c r="Y29" s="3513"/>
      <c r="Z29" s="1509" t="str">
        <f t="shared" si="15"/>
        <v>有无电梯</v>
      </c>
      <c r="AA29" s="1506">
        <f t="shared" si="3"/>
        <v>1</v>
      </c>
      <c r="AB29" s="1506">
        <f t="shared" si="4"/>
        <v>1</v>
      </c>
      <c r="AC29" s="1506">
        <f t="shared" si="5"/>
        <v>1</v>
      </c>
    </row>
    <row r="30" spans="1:29" ht="15">
      <c r="A30" s="430"/>
      <c r="B30" s="380" t="s">
        <v>2497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513"/>
      <c r="Q30" s="1505" t="str">
        <f t="shared" si="11"/>
        <v>建筑面积</v>
      </c>
      <c r="R30" s="713" t="s">
        <v>17</v>
      </c>
      <c r="S30" s="714" t="e">
        <f t="shared" si="12"/>
        <v>#N/A</v>
      </c>
      <c r="T30" s="713" t="s">
        <v>17</v>
      </c>
      <c r="U30" s="714" t="e">
        <f t="shared" si="13"/>
        <v>#N/A</v>
      </c>
      <c r="V30" s="713" t="s">
        <v>17</v>
      </c>
      <c r="W30" s="714" t="e">
        <f t="shared" si="14"/>
        <v>#N/A</v>
      </c>
      <c r="X30" s="1508"/>
      <c r="Y30" s="3513"/>
      <c r="Z30" s="1509" t="str">
        <f t="shared" si="15"/>
        <v>建筑面积</v>
      </c>
      <c r="AA30" s="1506" t="e">
        <f t="shared" si="3"/>
        <v>#N/A</v>
      </c>
      <c r="AB30" s="1506" t="e">
        <f t="shared" si="4"/>
        <v>#N/A</v>
      </c>
      <c r="AC30" s="1506" t="e">
        <f t="shared" si="5"/>
        <v>#N/A</v>
      </c>
    </row>
    <row r="31" spans="1:29" s="113" customFormat="1" ht="15">
      <c r="A31" s="431"/>
      <c r="B31" s="380" t="s">
        <v>2498</v>
      </c>
      <c r="C31" s="612"/>
      <c r="D31" s="131">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513"/>
      <c r="Q31" s="1496" t="str">
        <f t="shared" si="11"/>
        <v>是否封闭</v>
      </c>
      <c r="R31" s="709" t="s">
        <v>17</v>
      </c>
      <c r="S31" s="710">
        <f t="shared" si="12"/>
        <v>100</v>
      </c>
      <c r="T31" s="709" t="s">
        <v>17</v>
      </c>
      <c r="U31" s="710">
        <f t="shared" si="13"/>
        <v>100</v>
      </c>
      <c r="V31" s="709" t="s">
        <v>17</v>
      </c>
      <c r="W31" s="710">
        <f t="shared" si="14"/>
        <v>100</v>
      </c>
      <c r="X31" s="711"/>
      <c r="Y31" s="3513"/>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513" t="s">
        <v>2324</v>
      </c>
      <c r="Q32" s="1505">
        <f t="shared" si="11"/>
        <v>111</v>
      </c>
      <c r="R32" s="713" t="s">
        <v>17</v>
      </c>
      <c r="S32" s="714">
        <f t="shared" si="12"/>
        <v>100</v>
      </c>
      <c r="T32" s="713" t="s">
        <v>17</v>
      </c>
      <c r="U32" s="714">
        <f t="shared" si="13"/>
        <v>100</v>
      </c>
      <c r="V32" s="713" t="s">
        <v>17</v>
      </c>
      <c r="W32" s="714">
        <f t="shared" si="14"/>
        <v>100</v>
      </c>
      <c r="X32" s="1508"/>
      <c r="Y32" s="3513" t="s">
        <v>2324</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513"/>
      <c r="Q33" s="1505">
        <f t="shared" si="11"/>
        <v>111</v>
      </c>
      <c r="R33" s="713" t="s">
        <v>17</v>
      </c>
      <c r="S33" s="714">
        <f t="shared" si="12"/>
        <v>100</v>
      </c>
      <c r="T33" s="713" t="s">
        <v>17</v>
      </c>
      <c r="U33" s="714">
        <f t="shared" si="13"/>
        <v>100</v>
      </c>
      <c r="V33" s="713" t="s">
        <v>17</v>
      </c>
      <c r="W33" s="714">
        <f t="shared" si="14"/>
        <v>100</v>
      </c>
      <c r="X33" s="1508"/>
      <c r="Y33" s="3513"/>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513"/>
      <c r="Q34" s="1505">
        <f t="shared" si="11"/>
        <v>111</v>
      </c>
      <c r="R34" s="713" t="s">
        <v>17</v>
      </c>
      <c r="S34" s="714">
        <f t="shared" si="12"/>
        <v>100</v>
      </c>
      <c r="T34" s="713" t="s">
        <v>17</v>
      </c>
      <c r="U34" s="714">
        <f t="shared" si="13"/>
        <v>100</v>
      </c>
      <c r="V34" s="713" t="s">
        <v>17</v>
      </c>
      <c r="W34" s="714">
        <f t="shared" si="14"/>
        <v>100</v>
      </c>
      <c r="X34" s="1508"/>
      <c r="Y34" s="3513"/>
      <c r="Z34" s="1509">
        <f t="shared" si="15"/>
        <v>111</v>
      </c>
      <c r="AA34" s="1506">
        <f t="shared" si="3"/>
        <v>1</v>
      </c>
      <c r="AB34" s="1506">
        <f t="shared" si="4"/>
        <v>1</v>
      </c>
      <c r="AC34" s="1506">
        <f t="shared" si="5"/>
        <v>1</v>
      </c>
    </row>
    <row r="35" spans="1:30" ht="15">
      <c r="A35" s="437" t="s">
        <v>2336</v>
      </c>
      <c r="B35" s="438"/>
      <c r="C35" s="1287" t="s">
        <v>1</v>
      </c>
      <c r="D35" s="1288"/>
      <c r="E35" s="1289"/>
      <c r="F35" s="1290"/>
      <c r="G35" s="1291"/>
      <c r="H35" s="1292"/>
      <c r="I35" s="1289"/>
      <c r="J35" s="1292"/>
      <c r="K35" s="722"/>
      <c r="L35" s="2922"/>
      <c r="M35" s="2923"/>
      <c r="N35" s="2914"/>
      <c r="O35" s="2923"/>
      <c r="P35" s="3506" t="str">
        <f>A35</f>
        <v>成交单价（元/平方米）</v>
      </c>
      <c r="Q35" s="3506"/>
      <c r="R35" s="3507">
        <f>E35</f>
        <v>0</v>
      </c>
      <c r="S35" s="3507"/>
      <c r="T35" s="3507">
        <f>G35</f>
        <v>0</v>
      </c>
      <c r="U35" s="3507"/>
      <c r="V35" s="3507">
        <f>I35</f>
        <v>0</v>
      </c>
      <c r="W35" s="3507"/>
      <c r="X35" s="698"/>
      <c r="Y35" s="720"/>
      <c r="Z35" s="698"/>
      <c r="AA35" s="698"/>
      <c r="AB35" s="698"/>
      <c r="AC35" s="698"/>
    </row>
    <row r="36" spans="1:30" ht="15.75" thickBot="1">
      <c r="A36" s="444" t="s">
        <v>2428</v>
      </c>
      <c r="B36" s="445"/>
      <c r="C36" s="1293" t="e">
        <f>R37</f>
        <v>#DIV/0!</v>
      </c>
      <c r="D36" s="2507" t="s">
        <v>2819</v>
      </c>
      <c r="E36" s="1294" t="e">
        <f>R36</f>
        <v>#DIV/0!</v>
      </c>
      <c r="F36" s="2508"/>
      <c r="G36" s="1293" t="e">
        <f>T36</f>
        <v>#DIV/0!</v>
      </c>
      <c r="H36" s="2508"/>
      <c r="I36" s="1294" t="e">
        <f>V36</f>
        <v>#DIV/0!</v>
      </c>
      <c r="J36" s="2508"/>
      <c r="K36" s="2510">
        <f>F36+H36+J36</f>
        <v>0</v>
      </c>
      <c r="L36" s="2922"/>
      <c r="M36" s="2923"/>
      <c r="N36" s="2914"/>
      <c r="O36" s="2923"/>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8"/>
      <c r="Y36" s="698"/>
      <c r="Z36" s="698"/>
      <c r="AA36" s="698"/>
      <c r="AB36" s="698"/>
      <c r="AC36" s="698"/>
    </row>
    <row r="37" spans="1:30" ht="15.75" thickBot="1">
      <c r="A37" s="448" t="s">
        <v>2429</v>
      </c>
      <c r="B37" s="449"/>
      <c r="C37" s="1296" t="e">
        <f>R37</f>
        <v>#DIV/0!</v>
      </c>
      <c r="D37" s="1296"/>
      <c r="E37" s="1296"/>
      <c r="F37" s="1296"/>
      <c r="G37" s="1296"/>
      <c r="H37" s="1296"/>
      <c r="I37" s="1296"/>
      <c r="J37" s="1296"/>
      <c r="K37" s="723"/>
      <c r="L37" s="2922"/>
      <c r="M37" s="2923"/>
      <c r="N37" s="2923"/>
      <c r="O37" s="2923"/>
      <c r="P37" s="3503" t="str">
        <f>A37</f>
        <v>估价对象XX用房的比较价值（楼面单价，元/平方米）</v>
      </c>
      <c r="Q37" s="3504"/>
      <c r="R37" s="3535" t="e">
        <f>IF(F1="售价",ROUND(IF(D36="简单平均",AVERAGE(R36:W36),R36*F36+T36*H36+V36*J36),0),ROUND(IF(D36="简单平均",AVERAGE(R36:V36),R36*F36+T36*H36+V36*J36),1))</f>
        <v>#DIV/0!</v>
      </c>
      <c r="S37" s="3535"/>
      <c r="T37" s="3535"/>
      <c r="U37" s="3535"/>
      <c r="V37" s="3535"/>
      <c r="W37" s="3535"/>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2433</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2307</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2344</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2309</v>
      </c>
      <c r="B49" s="466"/>
      <c r="C49" s="478" t="s">
        <v>2411</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2347</v>
      </c>
      <c r="B51" s="484" t="s">
        <v>2313</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2316</v>
      </c>
      <c r="C53" s="495" t="s">
        <v>2348</v>
      </c>
      <c r="D53" s="495" t="s">
        <v>2349</v>
      </c>
      <c r="E53" s="495" t="s">
        <v>2350</v>
      </c>
      <c r="F53" s="495" t="s">
        <v>2351</v>
      </c>
      <c r="G53" s="495" t="s">
        <v>2352</v>
      </c>
      <c r="H53" s="495" t="s">
        <v>2353</v>
      </c>
      <c r="I53" s="495" t="s">
        <v>2354</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2318</v>
      </c>
      <c r="B61" s="484" t="s">
        <v>2361</v>
      </c>
      <c r="C61" s="529" t="s">
        <v>2356</v>
      </c>
      <c r="D61" s="529" t="s">
        <v>2357</v>
      </c>
      <c r="E61" s="529" t="s">
        <v>2358</v>
      </c>
      <c r="F61" s="529" t="s">
        <v>2359</v>
      </c>
      <c r="G61" s="529" t="s">
        <v>2360</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2499</v>
      </c>
      <c r="C63" s="534" t="s">
        <v>2356</v>
      </c>
      <c r="D63" s="534" t="s">
        <v>2357</v>
      </c>
      <c r="E63" s="534" t="s">
        <v>2358</v>
      </c>
      <c r="F63" s="534" t="s">
        <v>2359</v>
      </c>
      <c r="G63" s="534" t="s">
        <v>2360</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2448</v>
      </c>
      <c r="C65" s="615" t="s">
        <v>2434</v>
      </c>
      <c r="D65" s="615" t="s">
        <v>2435</v>
      </c>
      <c r="E65" s="615" t="s">
        <v>2436</v>
      </c>
      <c r="F65" s="615" t="s">
        <v>2437</v>
      </c>
      <c r="G65" s="615" t="s">
        <v>2438</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2368</v>
      </c>
      <c r="C67" s="534" t="s">
        <v>2356</v>
      </c>
      <c r="D67" s="534" t="s">
        <v>2357</v>
      </c>
      <c r="E67" s="534" t="s">
        <v>2358</v>
      </c>
      <c r="F67" s="534" t="s">
        <v>2359</v>
      </c>
      <c r="G67" s="534" t="s">
        <v>2360</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2488</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2322</v>
      </c>
      <c r="B77" s="484" t="s">
        <v>2375</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2492</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2500</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2502</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2503</v>
      </c>
      <c r="B1" s="354"/>
      <c r="C1" s="355" t="s">
        <v>2555</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2089</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2091</v>
      </c>
      <c r="B3" s="565" t="e">
        <f>ROUND(IF(D3="",B2*10000/'数据-汇总表'!E3,B2*10000/D3),0)</f>
        <v>#DIV/0!</v>
      </c>
      <c r="C3" s="208" t="s">
        <v>2505</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2404</v>
      </c>
      <c r="B4" s="361"/>
      <c r="C4" s="3489" t="s">
        <v>2405</v>
      </c>
      <c r="D4" s="3490"/>
      <c r="E4" s="3491" t="s">
        <v>2406</v>
      </c>
      <c r="F4" s="3492"/>
      <c r="G4" s="3489" t="s">
        <v>2407</v>
      </c>
      <c r="H4" s="3490"/>
      <c r="I4" s="3489" t="s">
        <v>2408</v>
      </c>
      <c r="J4" s="3490"/>
      <c r="K4" s="566" t="s">
        <v>2409</v>
      </c>
      <c r="L4" s="2913"/>
      <c r="M4" s="2914"/>
      <c r="N4" s="2914"/>
      <c r="O4" s="2914"/>
      <c r="P4" s="3493" t="s">
        <v>2410</v>
      </c>
      <c r="Q4" s="3494"/>
      <c r="R4" s="3476" t="s">
        <v>2406</v>
      </c>
      <c r="S4" s="3477"/>
      <c r="T4" s="3476" t="s">
        <v>2407</v>
      </c>
      <c r="U4" s="3477"/>
      <c r="V4" s="3501" t="s">
        <v>2408</v>
      </c>
      <c r="W4" s="3501"/>
      <c r="X4" s="1508"/>
      <c r="Y4" s="3476" t="s">
        <v>2410</v>
      </c>
      <c r="Z4" s="3477"/>
      <c r="AA4" s="3471" t="s">
        <v>2406</v>
      </c>
      <c r="AB4" s="3472" t="s">
        <v>2407</v>
      </c>
      <c r="AC4" s="3471" t="s">
        <v>2408</v>
      </c>
    </row>
    <row r="5" spans="1:29" ht="15">
      <c r="A5" s="363"/>
      <c r="B5" s="364"/>
      <c r="C5" s="3482" t="s">
        <v>2301</v>
      </c>
      <c r="D5" s="3483"/>
      <c r="E5" s="3517" t="s">
        <v>2302</v>
      </c>
      <c r="F5" s="3518"/>
      <c r="G5" s="3482" t="s">
        <v>2303</v>
      </c>
      <c r="H5" s="3483"/>
      <c r="I5" s="3482" t="s">
        <v>2304</v>
      </c>
      <c r="J5" s="3483"/>
      <c r="K5" s="566"/>
      <c r="L5" s="2913"/>
      <c r="M5" s="2914"/>
      <c r="N5" s="2914"/>
      <c r="O5" s="2914"/>
      <c r="P5" s="3495"/>
      <c r="Q5" s="3496"/>
      <c r="R5" s="3478"/>
      <c r="S5" s="3479"/>
      <c r="T5" s="3478"/>
      <c r="U5" s="3479"/>
      <c r="V5" s="3501"/>
      <c r="W5" s="3501"/>
      <c r="X5" s="1508"/>
      <c r="Y5" s="3478"/>
      <c r="Z5" s="3479"/>
      <c r="AA5" s="3472"/>
      <c r="AB5" s="3472"/>
      <c r="AC5" s="3472"/>
    </row>
    <row r="6" spans="1:29" ht="15.75" thickBot="1">
      <c r="A6" s="365"/>
      <c r="B6" s="366"/>
      <c r="C6" s="3541" t="s">
        <v>2556</v>
      </c>
      <c r="D6" s="3542"/>
      <c r="E6" s="3543" t="s">
        <v>2556</v>
      </c>
      <c r="F6" s="3544"/>
      <c r="G6" s="3541" t="s">
        <v>2556</v>
      </c>
      <c r="H6" s="3542"/>
      <c r="I6" s="3541" t="s">
        <v>2556</v>
      </c>
      <c r="J6" s="3542"/>
      <c r="K6" s="566" t="s">
        <v>2306</v>
      </c>
      <c r="L6" s="2913"/>
      <c r="M6" s="2914"/>
      <c r="N6" s="2914"/>
      <c r="O6" s="2914"/>
      <c r="P6" s="3497"/>
      <c r="Q6" s="3498"/>
      <c r="R6" s="3478"/>
      <c r="S6" s="3479"/>
      <c r="T6" s="3499"/>
      <c r="U6" s="3500"/>
      <c r="V6" s="3501"/>
      <c r="W6" s="3501"/>
      <c r="X6" s="1508"/>
      <c r="Y6" s="3499"/>
      <c r="Z6" s="3500"/>
      <c r="AA6" s="3473"/>
      <c r="AB6" s="3473"/>
      <c r="AC6" s="3473"/>
    </row>
    <row r="7" spans="1:29" s="113" customFormat="1" ht="15.75" thickBot="1">
      <c r="A7" s="367" t="s">
        <v>2307</v>
      </c>
      <c r="B7" s="368"/>
      <c r="C7" s="369">
        <f>'数据-取费表'!B2</f>
        <v>44575</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474" t="s">
        <v>2308</v>
      </c>
      <c r="Q7" s="3502"/>
      <c r="R7" s="709" t="s">
        <v>17</v>
      </c>
      <c r="S7" s="710">
        <f t="shared" ref="S7:S15" si="0">F7</f>
        <v>0</v>
      </c>
      <c r="T7" s="709" t="s">
        <v>17</v>
      </c>
      <c r="U7" s="710">
        <f t="shared" ref="U7:U15" si="1">H7</f>
        <v>0</v>
      </c>
      <c r="V7" s="709" t="s">
        <v>17</v>
      </c>
      <c r="W7" s="710">
        <f t="shared" ref="W7:W15" si="2">J7</f>
        <v>0</v>
      </c>
      <c r="X7" s="711"/>
      <c r="Y7" s="3474" t="s">
        <v>2308</v>
      </c>
      <c r="Z7" s="3475"/>
      <c r="AA7" s="712" t="e">
        <f>D7/F7</f>
        <v>#DIV/0!</v>
      </c>
      <c r="AB7" s="712" t="e">
        <f>D7/H7</f>
        <v>#DIV/0!</v>
      </c>
      <c r="AC7" s="712" t="e">
        <f>D7/J7</f>
        <v>#DIV/0!</v>
      </c>
    </row>
    <row r="8" spans="1:29" s="113" customFormat="1" ht="15.75" thickBot="1">
      <c r="A8" s="367" t="s">
        <v>2309</v>
      </c>
      <c r="B8" s="368"/>
      <c r="C8" s="373" t="s">
        <v>2310</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474" t="s">
        <v>2311</v>
      </c>
      <c r="Q8" s="3475"/>
      <c r="R8" s="709" t="s">
        <v>17</v>
      </c>
      <c r="S8" s="710">
        <f t="shared" si="0"/>
        <v>0</v>
      </c>
      <c r="T8" s="709" t="s">
        <v>17</v>
      </c>
      <c r="U8" s="710">
        <f t="shared" si="1"/>
        <v>0</v>
      </c>
      <c r="V8" s="709" t="s">
        <v>17</v>
      </c>
      <c r="W8" s="710">
        <f t="shared" si="2"/>
        <v>0</v>
      </c>
      <c r="X8" s="711"/>
      <c r="Y8" s="3474" t="s">
        <v>2311</v>
      </c>
      <c r="Z8" s="3475"/>
      <c r="AA8" s="712" t="e">
        <f t="shared" ref="AA8:AA40" si="3">D8/F8</f>
        <v>#DIV/0!</v>
      </c>
      <c r="AB8" s="712" t="e">
        <f t="shared" ref="AB8:AB40" si="4">D8/H8</f>
        <v>#DIV/0!</v>
      </c>
      <c r="AC8" s="712" t="e">
        <f t="shared" ref="AC8:AC40" si="5">D8/J8</f>
        <v>#DIV/0!</v>
      </c>
    </row>
    <row r="9" spans="1:29" s="113" customFormat="1">
      <c r="A9" s="374" t="s">
        <v>2312</v>
      </c>
      <c r="B9" s="67" t="s">
        <v>2313</v>
      </c>
      <c r="C9" s="2132"/>
      <c r="D9" s="130">
        <v>100</v>
      </c>
      <c r="E9" s="2132"/>
      <c r="F9" s="130">
        <f>SUMIF(70:70,E9,71:71)-SUMIF(70:70,C9,71:71)+100</f>
        <v>100</v>
      </c>
      <c r="G9" s="2132"/>
      <c r="H9" s="130">
        <f>SUMIF(70:70,G9,71:71)-SUMIF(70:70,C9,71:71)+100</f>
        <v>100</v>
      </c>
      <c r="I9" s="2132"/>
      <c r="J9" s="130">
        <f>SUMIF(70:70,I9,71:71)-SUMIF(70:70,C9,71:71)+100</f>
        <v>100</v>
      </c>
      <c r="K9" s="567"/>
      <c r="L9" s="2915"/>
      <c r="M9" s="2916"/>
      <c r="N9" s="2916"/>
      <c r="O9" s="2970"/>
      <c r="P9" s="3506" t="s">
        <v>2314</v>
      </c>
      <c r="Q9" s="1496" t="str">
        <f t="shared" ref="Q9:Q15" si="6">B9</f>
        <v>用途</v>
      </c>
      <c r="R9" s="709" t="s">
        <v>17</v>
      </c>
      <c r="S9" s="710">
        <f t="shared" si="0"/>
        <v>100</v>
      </c>
      <c r="T9" s="709" t="s">
        <v>17</v>
      </c>
      <c r="U9" s="710">
        <f t="shared" si="1"/>
        <v>100</v>
      </c>
      <c r="V9" s="709" t="s">
        <v>17</v>
      </c>
      <c r="W9" s="710">
        <f t="shared" si="2"/>
        <v>100</v>
      </c>
      <c r="X9" s="711"/>
      <c r="Y9" s="3418" t="s">
        <v>2315</v>
      </c>
      <c r="Z9" s="55" t="str">
        <f t="shared" ref="Z9:Z15" si="7">Q9</f>
        <v>用途</v>
      </c>
      <c r="AA9" s="712">
        <f t="shared" si="3"/>
        <v>1</v>
      </c>
      <c r="AB9" s="712">
        <f t="shared" si="4"/>
        <v>1</v>
      </c>
      <c r="AC9" s="712">
        <f t="shared" si="5"/>
        <v>1</v>
      </c>
    </row>
    <row r="10" spans="1:29" s="385" customFormat="1" ht="27">
      <c r="A10" s="379"/>
      <c r="B10" s="380" t="s">
        <v>2316</v>
      </c>
      <c r="C10" s="390"/>
      <c r="D10" s="131">
        <v>100</v>
      </c>
      <c r="E10" s="390"/>
      <c r="F10" s="131">
        <f>ROUND(100/'数据-取费表'!G16,0)</f>
        <v>100</v>
      </c>
      <c r="G10" s="390"/>
      <c r="H10" s="131">
        <f>ROUND(100/'数据-取费表'!G16,0)</f>
        <v>100</v>
      </c>
      <c r="I10" s="390"/>
      <c r="J10" s="131">
        <f>ROUND(100/'数据-取费表'!G16,0)</f>
        <v>100</v>
      </c>
      <c r="K10" s="627"/>
      <c r="L10" s="2917"/>
      <c r="M10" s="2918"/>
      <c r="N10" s="2918"/>
      <c r="O10" s="2971"/>
      <c r="P10" s="3506"/>
      <c r="Q10" s="1496" t="str">
        <f t="shared" si="6"/>
        <v>土地使用年限（年）</v>
      </c>
      <c r="R10" s="709" t="s">
        <v>17</v>
      </c>
      <c r="S10" s="710">
        <f t="shared" si="0"/>
        <v>100</v>
      </c>
      <c r="T10" s="709" t="s">
        <v>17</v>
      </c>
      <c r="U10" s="710">
        <f t="shared" si="1"/>
        <v>100</v>
      </c>
      <c r="V10" s="709" t="s">
        <v>17</v>
      </c>
      <c r="W10" s="710">
        <f t="shared" si="2"/>
        <v>100</v>
      </c>
      <c r="X10" s="711"/>
      <c r="Y10" s="3418"/>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9"/>
      <c r="M11" s="2914"/>
      <c r="N11" s="2914"/>
      <c r="O11" s="2972"/>
      <c r="P11" s="3506"/>
      <c r="Q11" s="1496" t="str">
        <f t="shared" si="6"/>
        <v>容积率</v>
      </c>
      <c r="R11" s="709" t="s">
        <v>17</v>
      </c>
      <c r="S11" s="710" t="e">
        <f t="shared" si="0"/>
        <v>#N/A</v>
      </c>
      <c r="T11" s="709" t="s">
        <v>17</v>
      </c>
      <c r="U11" s="710" t="e">
        <f t="shared" si="1"/>
        <v>#N/A</v>
      </c>
      <c r="V11" s="709" t="s">
        <v>17</v>
      </c>
      <c r="W11" s="710" t="e">
        <f t="shared" si="2"/>
        <v>#N/A</v>
      </c>
      <c r="X11" s="711"/>
      <c r="Y11" s="3418"/>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5"/>
      <c r="M12" s="2916"/>
      <c r="N12" s="2916"/>
      <c r="O12" s="2970"/>
      <c r="P12" s="3506"/>
      <c r="Q12" s="1496">
        <f t="shared" si="6"/>
        <v>111</v>
      </c>
      <c r="R12" s="709" t="s">
        <v>17</v>
      </c>
      <c r="S12" s="710">
        <f t="shared" si="0"/>
        <v>100</v>
      </c>
      <c r="T12" s="709" t="s">
        <v>17</v>
      </c>
      <c r="U12" s="710">
        <f t="shared" si="1"/>
        <v>100</v>
      </c>
      <c r="V12" s="709" t="s">
        <v>17</v>
      </c>
      <c r="W12" s="710">
        <f t="shared" si="2"/>
        <v>100</v>
      </c>
      <c r="X12" s="711"/>
      <c r="Y12" s="3418"/>
      <c r="Z12" s="55">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20"/>
      <c r="M13" s="2914"/>
      <c r="N13" s="2914"/>
      <c r="O13" s="2972"/>
      <c r="P13" s="3506"/>
      <c r="Q13" s="1496">
        <f t="shared" si="6"/>
        <v>111</v>
      </c>
      <c r="R13" s="709" t="s">
        <v>17</v>
      </c>
      <c r="S13" s="710">
        <f t="shared" si="0"/>
        <v>100</v>
      </c>
      <c r="T13" s="709" t="s">
        <v>17</v>
      </c>
      <c r="U13" s="710">
        <f t="shared" si="1"/>
        <v>100</v>
      </c>
      <c r="V13" s="709" t="s">
        <v>17</v>
      </c>
      <c r="W13" s="710">
        <f t="shared" si="2"/>
        <v>100</v>
      </c>
      <c r="X13" s="711"/>
      <c r="Y13" s="3418"/>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506"/>
      <c r="Q14" s="1496">
        <f t="shared" si="6"/>
        <v>111</v>
      </c>
      <c r="R14" s="709" t="s">
        <v>17</v>
      </c>
      <c r="S14" s="710">
        <f t="shared" si="0"/>
        <v>100</v>
      </c>
      <c r="T14" s="709" t="s">
        <v>17</v>
      </c>
      <c r="U14" s="710">
        <f t="shared" si="1"/>
        <v>100</v>
      </c>
      <c r="V14" s="709" t="s">
        <v>17</v>
      </c>
      <c r="W14" s="710">
        <f t="shared" si="2"/>
        <v>100</v>
      </c>
      <c r="X14" s="711"/>
      <c r="Y14" s="3418"/>
      <c r="Z14" s="55">
        <f t="shared" si="7"/>
        <v>111</v>
      </c>
      <c r="AA14" s="712">
        <f t="shared" si="3"/>
        <v>1</v>
      </c>
      <c r="AB14" s="712">
        <f t="shared" si="4"/>
        <v>1</v>
      </c>
      <c r="AC14" s="712">
        <f t="shared" si="5"/>
        <v>1</v>
      </c>
    </row>
    <row r="15" spans="1:29" ht="57">
      <c r="A15" s="398" t="s">
        <v>2318</v>
      </c>
      <c r="B15" s="584" t="s">
        <v>2557</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508" t="s">
        <v>2319</v>
      </c>
      <c r="Q15" s="1505" t="str">
        <f t="shared" si="6"/>
        <v>产业集聚程度</v>
      </c>
      <c r="R15" s="713" t="s">
        <v>17</v>
      </c>
      <c r="S15" s="714">
        <f t="shared" si="0"/>
        <v>100</v>
      </c>
      <c r="T15" s="713" t="s">
        <v>17</v>
      </c>
      <c r="U15" s="714">
        <f t="shared" si="1"/>
        <v>100</v>
      </c>
      <c r="V15" s="713" t="s">
        <v>17</v>
      </c>
      <c r="W15" s="714">
        <f t="shared" si="2"/>
        <v>100</v>
      </c>
      <c r="X15" s="1508"/>
      <c r="Y15" s="3508" t="s">
        <v>2319</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509"/>
      <c r="Q16" s="1505"/>
      <c r="R16" s="713"/>
      <c r="S16" s="714"/>
      <c r="T16" s="713"/>
      <c r="U16" s="714"/>
      <c r="V16" s="713"/>
      <c r="W16" s="714"/>
      <c r="X16" s="1508"/>
      <c r="Y16" s="3509"/>
      <c r="Z16" s="1509"/>
      <c r="AA16" s="1506">
        <v>1</v>
      </c>
      <c r="AB16" s="1506">
        <v>1</v>
      </c>
      <c r="AC16" s="1506">
        <v>1</v>
      </c>
    </row>
    <row r="17" spans="1:29" ht="85.5">
      <c r="A17" s="386"/>
      <c r="B17" s="586" t="s">
        <v>2468</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509"/>
      <c r="Q17" s="1505" t="str">
        <f>B17</f>
        <v>交通便捷度</v>
      </c>
      <c r="R17" s="713" t="s">
        <v>17</v>
      </c>
      <c r="S17" s="714">
        <f>F17</f>
        <v>100</v>
      </c>
      <c r="T17" s="713" t="s">
        <v>17</v>
      </c>
      <c r="U17" s="714">
        <f>H17</f>
        <v>100</v>
      </c>
      <c r="V17" s="713" t="s">
        <v>17</v>
      </c>
      <c r="W17" s="714">
        <f>J17</f>
        <v>100</v>
      </c>
      <c r="X17" s="1508"/>
      <c r="Y17" s="3509"/>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509"/>
      <c r="Q18" s="1505"/>
      <c r="R18" s="713"/>
      <c r="S18" s="714"/>
      <c r="T18" s="713"/>
      <c r="U18" s="714"/>
      <c r="V18" s="713"/>
      <c r="W18" s="714"/>
      <c r="X18" s="1508"/>
      <c r="Y18" s="3509"/>
      <c r="Z18" s="1509"/>
      <c r="AA18" s="1506">
        <v>1</v>
      </c>
      <c r="AB18" s="1506">
        <v>1</v>
      </c>
      <c r="AC18" s="1506">
        <v>1</v>
      </c>
    </row>
    <row r="19" spans="1:29" ht="15">
      <c r="A19" s="386"/>
      <c r="B19" s="586" t="s">
        <v>2507</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509"/>
      <c r="Q19" s="1505" t="str">
        <f t="shared" ref="Q19:Q33" si="8">B19</f>
        <v>区域土地利用方向</v>
      </c>
      <c r="R19" s="713" t="s">
        <v>17</v>
      </c>
      <c r="S19" s="714">
        <f>F19</f>
        <v>100</v>
      </c>
      <c r="T19" s="713" t="s">
        <v>17</v>
      </c>
      <c r="U19" s="714">
        <f>H19</f>
        <v>100</v>
      </c>
      <c r="V19" s="713" t="s">
        <v>17</v>
      </c>
      <c r="W19" s="714">
        <f>J19</f>
        <v>100</v>
      </c>
      <c r="X19" s="1508"/>
      <c r="Y19" s="3509"/>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509"/>
      <c r="Q20" s="1505"/>
      <c r="R20" s="713"/>
      <c r="S20" s="714"/>
      <c r="T20" s="713"/>
      <c r="U20" s="714"/>
      <c r="V20" s="713"/>
      <c r="W20" s="714"/>
      <c r="X20" s="1508"/>
      <c r="Y20" s="3509"/>
      <c r="Z20" s="1509"/>
      <c r="AA20" s="1506"/>
      <c r="AB20" s="1506"/>
      <c r="AC20" s="1506"/>
    </row>
    <row r="21" spans="1:29" ht="71.25">
      <c r="A21" s="363"/>
      <c r="B21" s="586" t="s">
        <v>2558</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509"/>
      <c r="Q21" s="1505" t="str">
        <f t="shared" si="8"/>
        <v>环境状况</v>
      </c>
      <c r="R21" s="713" t="s">
        <v>17</v>
      </c>
      <c r="S21" s="714">
        <f>F21</f>
        <v>100</v>
      </c>
      <c r="T21" s="713" t="s">
        <v>17</v>
      </c>
      <c r="U21" s="714">
        <f>H21</f>
        <v>100</v>
      </c>
      <c r="V21" s="713" t="s">
        <v>17</v>
      </c>
      <c r="W21" s="714">
        <f>J21</f>
        <v>100</v>
      </c>
      <c r="X21" s="1508"/>
      <c r="Y21" s="3509"/>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509"/>
      <c r="Q22" s="1505"/>
      <c r="R22" s="713"/>
      <c r="S22" s="714"/>
      <c r="T22" s="713"/>
      <c r="U22" s="714"/>
      <c r="V22" s="713"/>
      <c r="W22" s="714"/>
      <c r="X22" s="1508"/>
      <c r="Y22" s="3509"/>
      <c r="Z22" s="1509"/>
      <c r="AA22" s="1506">
        <v>1</v>
      </c>
      <c r="AB22" s="1506">
        <v>1</v>
      </c>
      <c r="AC22" s="1506">
        <v>1</v>
      </c>
    </row>
    <row r="23" spans="1:29" s="113" customFormat="1" ht="42.75">
      <c r="A23" s="604"/>
      <c r="B23" s="588" t="s">
        <v>2413</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509"/>
      <c r="Q23" s="1496" t="str">
        <f t="shared" si="8"/>
        <v>公共配套设施</v>
      </c>
      <c r="R23" s="709" t="s">
        <v>17</v>
      </c>
      <c r="S23" s="710">
        <f>F23</f>
        <v>100</v>
      </c>
      <c r="T23" s="709" t="s">
        <v>17</v>
      </c>
      <c r="U23" s="710">
        <f>H23</f>
        <v>100</v>
      </c>
      <c r="V23" s="709" t="s">
        <v>17</v>
      </c>
      <c r="W23" s="710">
        <f>J23</f>
        <v>100</v>
      </c>
      <c r="X23" s="711"/>
      <c r="Y23" s="3509"/>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509"/>
      <c r="Q24" s="1496"/>
      <c r="R24" s="709"/>
      <c r="S24" s="710"/>
      <c r="T24" s="709"/>
      <c r="U24" s="710"/>
      <c r="V24" s="709"/>
      <c r="W24" s="710"/>
      <c r="X24" s="711"/>
      <c r="Y24" s="3509"/>
      <c r="Z24" s="55"/>
      <c r="AA24" s="712">
        <v>1</v>
      </c>
      <c r="AB24" s="712">
        <v>1</v>
      </c>
      <c r="AC24" s="712">
        <v>1</v>
      </c>
    </row>
    <row r="25" spans="1:29" s="113" customFormat="1" ht="28.5">
      <c r="A25" s="604"/>
      <c r="B25" s="588" t="s">
        <v>2414</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509"/>
      <c r="Q25" s="1496" t="str">
        <f t="shared" ref="Q25" si="9">B25</f>
        <v>基础设施水平</v>
      </c>
      <c r="R25" s="709" t="s">
        <v>17</v>
      </c>
      <c r="S25" s="710">
        <f>F25</f>
        <v>100</v>
      </c>
      <c r="T25" s="709" t="s">
        <v>17</v>
      </c>
      <c r="U25" s="710">
        <f>H25</f>
        <v>100</v>
      </c>
      <c r="V25" s="709" t="s">
        <v>17</v>
      </c>
      <c r="W25" s="710">
        <f>J25</f>
        <v>100</v>
      </c>
      <c r="X25" s="711"/>
      <c r="Y25" s="3509"/>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509"/>
      <c r="Q26" s="1496"/>
      <c r="R26" s="709"/>
      <c r="S26" s="710"/>
      <c r="T26" s="709"/>
      <c r="U26" s="710"/>
      <c r="V26" s="709"/>
      <c r="W26" s="710"/>
      <c r="X26" s="711"/>
      <c r="Y26" s="3509"/>
      <c r="Z26" s="55"/>
      <c r="AA26" s="712">
        <v>1</v>
      </c>
      <c r="AB26" s="712">
        <v>1</v>
      </c>
      <c r="AC26" s="712">
        <v>1</v>
      </c>
    </row>
    <row r="27" spans="1:29" ht="15">
      <c r="A27" s="386"/>
      <c r="B27" s="587" t="s">
        <v>2415</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509"/>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509"/>
      <c r="Z27" s="1509" t="str">
        <f t="shared" ref="Z27:Z40" si="13">Q27</f>
        <v>临街状况</v>
      </c>
      <c r="AA27" s="1506">
        <f t="shared" si="3"/>
        <v>1</v>
      </c>
      <c r="AB27" s="1506">
        <f t="shared" si="4"/>
        <v>1</v>
      </c>
      <c r="AC27" s="1506">
        <f t="shared" si="5"/>
        <v>1</v>
      </c>
    </row>
    <row r="28" spans="1:29" ht="27">
      <c r="A28" s="386"/>
      <c r="B28" s="588" t="s">
        <v>2450</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509"/>
      <c r="Q28" s="1505" t="str">
        <f t="shared" si="8"/>
        <v>毗邻道路的类型与等级</v>
      </c>
      <c r="R28" s="713" t="s">
        <v>17</v>
      </c>
      <c r="S28" s="714">
        <f t="shared" si="10"/>
        <v>100</v>
      </c>
      <c r="T28" s="713" t="s">
        <v>17</v>
      </c>
      <c r="U28" s="714">
        <f t="shared" si="11"/>
        <v>100</v>
      </c>
      <c r="V28" s="713" t="s">
        <v>17</v>
      </c>
      <c r="W28" s="714">
        <f t="shared" si="12"/>
        <v>100</v>
      </c>
      <c r="X28" s="1508"/>
      <c r="Y28" s="3509"/>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509"/>
      <c r="Q29" s="1505"/>
      <c r="R29" s="713"/>
      <c r="S29" s="714"/>
      <c r="T29" s="713"/>
      <c r="U29" s="714"/>
      <c r="V29" s="713"/>
      <c r="W29" s="714"/>
      <c r="X29" s="1508"/>
      <c r="Y29" s="3509"/>
      <c r="Z29" s="1509"/>
      <c r="AA29" s="1506">
        <v>1</v>
      </c>
      <c r="AB29" s="1506">
        <v>1</v>
      </c>
      <c r="AC29" s="1506">
        <v>1</v>
      </c>
    </row>
    <row r="30" spans="1:29" ht="15">
      <c r="A30" s="386"/>
      <c r="B30" s="609" t="s">
        <v>2509</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509"/>
      <c r="Q30" s="1505" t="str">
        <f t="shared" si="8"/>
        <v>土地级别</v>
      </c>
      <c r="R30" s="713" t="s">
        <v>17</v>
      </c>
      <c r="S30" s="714">
        <f t="shared" si="10"/>
        <v>100</v>
      </c>
      <c r="T30" s="713" t="s">
        <v>17</v>
      </c>
      <c r="U30" s="714">
        <f t="shared" si="11"/>
        <v>100</v>
      </c>
      <c r="V30" s="713" t="s">
        <v>17</v>
      </c>
      <c r="W30" s="714">
        <f t="shared" si="12"/>
        <v>100</v>
      </c>
      <c r="X30" s="1508"/>
      <c r="Y30" s="3509"/>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509"/>
      <c r="Q31" s="1505">
        <f t="shared" si="8"/>
        <v>111</v>
      </c>
      <c r="R31" s="713" t="s">
        <v>17</v>
      </c>
      <c r="S31" s="714">
        <f t="shared" si="10"/>
        <v>100</v>
      </c>
      <c r="T31" s="713" t="s">
        <v>17</v>
      </c>
      <c r="U31" s="714">
        <f t="shared" si="11"/>
        <v>100</v>
      </c>
      <c r="V31" s="713" t="s">
        <v>17</v>
      </c>
      <c r="W31" s="714">
        <f t="shared" si="12"/>
        <v>100</v>
      </c>
      <c r="X31" s="1508"/>
      <c r="Y31" s="3509"/>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534" t="s">
        <v>2324</v>
      </c>
      <c r="Q32" s="1505">
        <f t="shared" si="8"/>
        <v>111</v>
      </c>
      <c r="R32" s="713" t="s">
        <v>17</v>
      </c>
      <c r="S32" s="714">
        <f t="shared" si="10"/>
        <v>100</v>
      </c>
      <c r="T32" s="713" t="s">
        <v>17</v>
      </c>
      <c r="U32" s="714">
        <f t="shared" si="11"/>
        <v>100</v>
      </c>
      <c r="V32" s="713" t="s">
        <v>17</v>
      </c>
      <c r="W32" s="714">
        <f t="shared" si="12"/>
        <v>100</v>
      </c>
      <c r="X32" s="1508"/>
      <c r="Y32" s="3513" t="s">
        <v>2324</v>
      </c>
      <c r="Z32" s="1509">
        <f t="shared" si="13"/>
        <v>111</v>
      </c>
      <c r="AA32" s="1506">
        <f t="shared" si="3"/>
        <v>1</v>
      </c>
      <c r="AB32" s="1506">
        <f t="shared" si="4"/>
        <v>1</v>
      </c>
      <c r="AC32" s="1506">
        <f t="shared" si="5"/>
        <v>1</v>
      </c>
    </row>
    <row r="33" spans="1:31" s="429" customFormat="1" ht="15.75"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513"/>
      <c r="Q33" s="1505">
        <f t="shared" si="8"/>
        <v>111</v>
      </c>
      <c r="R33" s="716" t="s">
        <v>17</v>
      </c>
      <c r="S33" s="717">
        <f t="shared" si="10"/>
        <v>100</v>
      </c>
      <c r="T33" s="716" t="s">
        <v>17</v>
      </c>
      <c r="U33" s="717">
        <f t="shared" si="11"/>
        <v>100</v>
      </c>
      <c r="V33" s="716" t="s">
        <v>17</v>
      </c>
      <c r="W33" s="717">
        <f t="shared" si="12"/>
        <v>100</v>
      </c>
      <c r="X33" s="718"/>
      <c r="Y33" s="3513"/>
      <c r="Z33" s="719">
        <f t="shared" si="13"/>
        <v>111</v>
      </c>
      <c r="AA33" s="1506">
        <f t="shared" si="3"/>
        <v>1</v>
      </c>
      <c r="AB33" s="1506">
        <f t="shared" si="4"/>
        <v>1</v>
      </c>
      <c r="AC33" s="1506">
        <f t="shared" si="5"/>
        <v>1</v>
      </c>
    </row>
    <row r="34" spans="1:31" ht="15">
      <c r="A34" s="398" t="s">
        <v>2322</v>
      </c>
      <c r="B34" s="414" t="s">
        <v>2510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513"/>
      <c r="Q34" s="1505" t="str">
        <f>B34</f>
        <v>宗地面积</v>
      </c>
      <c r="R34" s="713" t="s">
        <v>17</v>
      </c>
      <c r="S34" s="714" t="e">
        <f t="shared" si="10"/>
        <v>#N/A</v>
      </c>
      <c r="T34" s="713" t="s">
        <v>17</v>
      </c>
      <c r="U34" s="714" t="e">
        <f t="shared" si="11"/>
        <v>#N/A</v>
      </c>
      <c r="V34" s="713" t="s">
        <v>17</v>
      </c>
      <c r="W34" s="714" t="e">
        <f t="shared" si="12"/>
        <v>#N/A</v>
      </c>
      <c r="X34" s="1508"/>
      <c r="Y34" s="3513"/>
      <c r="Z34" s="1509" t="str">
        <f t="shared" si="13"/>
        <v>宗地面积</v>
      </c>
      <c r="AA34" s="1506" t="e">
        <f t="shared" si="3"/>
        <v>#N/A</v>
      </c>
      <c r="AB34" s="1506" t="e">
        <f t="shared" si="4"/>
        <v>#N/A</v>
      </c>
      <c r="AC34" s="1506" t="e">
        <f t="shared" si="5"/>
        <v>#N/A</v>
      </c>
    </row>
    <row r="35" spans="1:31" ht="15">
      <c r="A35" s="430"/>
      <c r="B35" s="380" t="s">
        <v>2511</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513"/>
      <c r="Q35" s="1505" t="str">
        <f t="shared" ref="Q35:Q40" si="14">B35</f>
        <v>宗地形状</v>
      </c>
      <c r="R35" s="713" t="s">
        <v>17</v>
      </c>
      <c r="S35" s="714">
        <f t="shared" si="10"/>
        <v>100</v>
      </c>
      <c r="T35" s="713" t="s">
        <v>17</v>
      </c>
      <c r="U35" s="714">
        <f t="shared" si="11"/>
        <v>100</v>
      </c>
      <c r="V35" s="713" t="s">
        <v>17</v>
      </c>
      <c r="W35" s="714">
        <f t="shared" si="12"/>
        <v>100</v>
      </c>
      <c r="X35" s="1508"/>
      <c r="Y35" s="3513"/>
      <c r="Z35" s="1509" t="str">
        <f t="shared" si="13"/>
        <v>宗地形状</v>
      </c>
      <c r="AA35" s="1506">
        <f t="shared" si="3"/>
        <v>1</v>
      </c>
      <c r="AB35" s="1506">
        <f t="shared" si="4"/>
        <v>1</v>
      </c>
      <c r="AC35" s="1506">
        <f t="shared" si="5"/>
        <v>1</v>
      </c>
    </row>
    <row r="36" spans="1:31" s="113" customFormat="1" ht="15">
      <c r="A36" s="431"/>
      <c r="B36" s="380" t="s">
        <v>2513</v>
      </c>
      <c r="C36" s="2135"/>
      <c r="D36" s="131">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513"/>
      <c r="Q36" s="1505" t="str">
        <f t="shared" si="14"/>
        <v>宗地开发程度</v>
      </c>
      <c r="R36" s="709" t="s">
        <v>17</v>
      </c>
      <c r="S36" s="710">
        <f t="shared" si="10"/>
        <v>100</v>
      </c>
      <c r="T36" s="709" t="s">
        <v>17</v>
      </c>
      <c r="U36" s="710">
        <f t="shared" si="11"/>
        <v>100</v>
      </c>
      <c r="V36" s="709" t="s">
        <v>17</v>
      </c>
      <c r="W36" s="710">
        <f t="shared" si="12"/>
        <v>100</v>
      </c>
      <c r="X36" s="711"/>
      <c r="Y36" s="3513"/>
      <c r="Z36" s="55" t="str">
        <f t="shared" si="13"/>
        <v>宗地开发程度</v>
      </c>
      <c r="AA36" s="712">
        <f t="shared" si="3"/>
        <v>1</v>
      </c>
      <c r="AB36" s="712">
        <f t="shared" si="4"/>
        <v>1</v>
      </c>
      <c r="AC36" s="712">
        <f t="shared" si="5"/>
        <v>1</v>
      </c>
    </row>
    <row r="37" spans="1:31" ht="15">
      <c r="A37" s="430"/>
      <c r="B37" s="380" t="s">
        <v>2514</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513" t="s">
        <v>2324</v>
      </c>
      <c r="Q37" s="1505" t="str">
        <f t="shared" si="14"/>
        <v>工程地质条件</v>
      </c>
      <c r="R37" s="713" t="s">
        <v>17</v>
      </c>
      <c r="S37" s="714">
        <f t="shared" si="10"/>
        <v>100</v>
      </c>
      <c r="T37" s="713" t="s">
        <v>17</v>
      </c>
      <c r="U37" s="714">
        <f t="shared" si="11"/>
        <v>100</v>
      </c>
      <c r="V37" s="713" t="s">
        <v>17</v>
      </c>
      <c r="W37" s="714">
        <f t="shared" si="12"/>
        <v>100</v>
      </c>
      <c r="X37" s="1508"/>
      <c r="Y37" s="3513" t="s">
        <v>2324</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513"/>
      <c r="Q38" s="1505">
        <f t="shared" si="14"/>
        <v>111</v>
      </c>
      <c r="R38" s="713" t="s">
        <v>17</v>
      </c>
      <c r="S38" s="714">
        <f t="shared" si="10"/>
        <v>100</v>
      </c>
      <c r="T38" s="713" t="s">
        <v>17</v>
      </c>
      <c r="U38" s="714">
        <f t="shared" si="11"/>
        <v>100</v>
      </c>
      <c r="V38" s="713" t="s">
        <v>17</v>
      </c>
      <c r="W38" s="714">
        <f t="shared" si="12"/>
        <v>100</v>
      </c>
      <c r="X38" s="1508"/>
      <c r="Y38" s="3513"/>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513"/>
      <c r="Q39" s="1505">
        <f t="shared" si="14"/>
        <v>111</v>
      </c>
      <c r="R39" s="713" t="s">
        <v>17</v>
      </c>
      <c r="S39" s="714">
        <f t="shared" si="10"/>
        <v>100</v>
      </c>
      <c r="T39" s="713" t="s">
        <v>17</v>
      </c>
      <c r="U39" s="714">
        <f t="shared" si="11"/>
        <v>100</v>
      </c>
      <c r="V39" s="713" t="s">
        <v>17</v>
      </c>
      <c r="W39" s="714">
        <f t="shared" si="12"/>
        <v>100</v>
      </c>
      <c r="X39" s="1508"/>
      <c r="Y39" s="3513"/>
      <c r="Z39" s="1509">
        <f t="shared" si="13"/>
        <v>111</v>
      </c>
      <c r="AA39" s="1506">
        <f t="shared" si="3"/>
        <v>1</v>
      </c>
      <c r="AB39" s="1506">
        <f t="shared" si="4"/>
        <v>1</v>
      </c>
      <c r="AC39" s="1506">
        <f t="shared" si="5"/>
        <v>1</v>
      </c>
    </row>
    <row r="40" spans="1:31" s="429" customFormat="1" ht="15.75"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513"/>
      <c r="Q40" s="1505">
        <f t="shared" si="14"/>
        <v>111</v>
      </c>
      <c r="R40" s="716" t="s">
        <v>17</v>
      </c>
      <c r="S40" s="717">
        <f t="shared" si="10"/>
        <v>100</v>
      </c>
      <c r="T40" s="716" t="s">
        <v>17</v>
      </c>
      <c r="U40" s="717">
        <f t="shared" si="11"/>
        <v>100</v>
      </c>
      <c r="V40" s="716" t="s">
        <v>17</v>
      </c>
      <c r="W40" s="717">
        <f t="shared" si="12"/>
        <v>100</v>
      </c>
      <c r="X40" s="718"/>
      <c r="Y40" s="3513"/>
      <c r="Z40" s="719">
        <f t="shared" si="13"/>
        <v>111</v>
      </c>
      <c r="AA40" s="1506">
        <f t="shared" si="3"/>
        <v>1</v>
      </c>
      <c r="AB40" s="1506">
        <f t="shared" si="4"/>
        <v>1</v>
      </c>
      <c r="AC40" s="1506">
        <f t="shared" si="5"/>
        <v>1</v>
      </c>
    </row>
    <row r="41" spans="1:31" ht="15">
      <c r="A41" s="437" t="s">
        <v>2479</v>
      </c>
      <c r="B41" s="2137" t="s">
        <v>2559</v>
      </c>
      <c r="C41" s="637" t="s">
        <v>1</v>
      </c>
      <c r="D41" s="439"/>
      <c r="E41" s="440"/>
      <c r="F41" s="441"/>
      <c r="G41" s="442"/>
      <c r="H41" s="443"/>
      <c r="I41" s="440"/>
      <c r="J41" s="443"/>
      <c r="K41" s="722"/>
      <c r="L41" s="2922"/>
      <c r="M41" s="2914"/>
      <c r="N41" s="2914"/>
      <c r="O41" s="2923"/>
      <c r="P41" s="3506" t="str">
        <f>A41</f>
        <v>成交单价</v>
      </c>
      <c r="Q41" s="3506"/>
      <c r="R41" s="3501">
        <f>E41</f>
        <v>0</v>
      </c>
      <c r="S41" s="3501"/>
      <c r="T41" s="3501">
        <f>G41</f>
        <v>0</v>
      </c>
      <c r="U41" s="3501"/>
      <c r="V41" s="3501">
        <f>I41</f>
        <v>0</v>
      </c>
      <c r="W41" s="3501"/>
      <c r="X41" s="698"/>
      <c r="Y41" s="720"/>
      <c r="Z41" s="698"/>
      <c r="AA41" s="698"/>
      <c r="AB41" s="698"/>
      <c r="AC41" s="698"/>
    </row>
    <row r="42" spans="1:31" ht="15.75" thickBot="1">
      <c r="A42" s="444" t="s">
        <v>2428</v>
      </c>
      <c r="B42" s="638"/>
      <c r="C42" s="447" t="e">
        <f>R43</f>
        <v>#DIV/0!</v>
      </c>
      <c r="D42" s="2507" t="s">
        <v>2819</v>
      </c>
      <c r="E42" s="447" t="e">
        <f>R42</f>
        <v>#DIV/0!</v>
      </c>
      <c r="F42" s="2508"/>
      <c r="G42" s="446" t="e">
        <f>T42</f>
        <v>#DIV/0!</v>
      </c>
      <c r="H42" s="2508"/>
      <c r="I42" s="447" t="e">
        <f>V42</f>
        <v>#DIV/0!</v>
      </c>
      <c r="J42" s="2508"/>
      <c r="K42" s="2510">
        <f>F42+H42+J42</f>
        <v>0</v>
      </c>
      <c r="L42" s="2922"/>
      <c r="M42" s="2914"/>
      <c r="N42" s="2914"/>
      <c r="O42" s="2923"/>
      <c r="P42" s="3506" t="str">
        <f>A42</f>
        <v>比较价值（元/平方米）</v>
      </c>
      <c r="Q42" s="3506"/>
      <c r="R42" s="3537" t="e">
        <f>ROUND(PRODUCT(R41,AA7:AA40),0)</f>
        <v>#DIV/0!</v>
      </c>
      <c r="S42" s="3537"/>
      <c r="T42" s="3537" t="e">
        <f>ROUND(PRODUCT(T41,AB7:AB40),0)</f>
        <v>#DIV/0!</v>
      </c>
      <c r="U42" s="3537"/>
      <c r="V42" s="3537" t="e">
        <f>ROUND(PRODUCT(V41,AC7:AC40),0)</f>
        <v>#DIV/0!</v>
      </c>
      <c r="W42" s="3537"/>
      <c r="X42" s="698"/>
      <c r="Y42" s="698"/>
      <c r="Z42" s="698"/>
      <c r="AA42" s="698"/>
      <c r="AB42" s="698"/>
      <c r="AC42" s="698"/>
    </row>
    <row r="43" spans="1:31" ht="15.75" thickBot="1">
      <c r="A43" s="448" t="s">
        <v>2429</v>
      </c>
      <c r="B43" s="449"/>
      <c r="C43" s="450" t="e">
        <f>R43</f>
        <v>#DIV/0!</v>
      </c>
      <c r="D43" s="450"/>
      <c r="E43" s="450"/>
      <c r="F43" s="450"/>
      <c r="G43" s="450"/>
      <c r="H43" s="450"/>
      <c r="I43" s="450"/>
      <c r="J43" s="450"/>
      <c r="K43" s="723"/>
      <c r="L43" s="2922"/>
      <c r="M43" s="2914"/>
      <c r="N43" s="2914"/>
      <c r="O43" s="2923"/>
      <c r="P43" s="3503" t="str">
        <f>A43</f>
        <v>估价对象XX用房的比较价值（楼面单价，元/平方米）</v>
      </c>
      <c r="Q43" s="3504"/>
      <c r="R43" s="3538" t="e">
        <f>ROUND(IF(D42="简单平均",AVERAGE(R42:W42),R42*F42+T42*H42+V42*J42),0)</f>
        <v>#DIV/0!</v>
      </c>
      <c r="S43" s="3538"/>
      <c r="T43" s="3538"/>
      <c r="U43" s="3538"/>
      <c r="V43" s="3538"/>
      <c r="W43" s="3538"/>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2517</v>
      </c>
      <c r="B50" s="640" t="s">
        <v>2518</v>
      </c>
      <c r="C50" s="2138" t="s">
        <v>2519</v>
      </c>
      <c r="D50" s="2139" t="s">
        <v>2520</v>
      </c>
      <c r="E50" s="641" t="s">
        <v>2521</v>
      </c>
      <c r="F50" s="642" t="s">
        <v>2522</v>
      </c>
      <c r="G50" s="3489" t="s">
        <v>2523</v>
      </c>
      <c r="H50" s="3539"/>
      <c r="I50" s="1509" t="s">
        <v>2560</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2526</v>
      </c>
      <c r="B51" s="644" t="e">
        <f>C43</f>
        <v>#DIV/0!</v>
      </c>
      <c r="C51" s="645">
        <v>1</v>
      </c>
      <c r="D51" s="1074">
        <v>1</v>
      </c>
      <c r="E51" s="645">
        <f>'数据-汇总表'!E8+'数据-汇总表'!E9</f>
        <v>33617.25</v>
      </c>
      <c r="F51" s="646" t="e">
        <f t="shared" ref="F51:F60" si="15">ROUND(B51*E51/10000,0)</f>
        <v>#DIV/0!</v>
      </c>
      <c r="G51" s="3488"/>
      <c r="H51" s="3506"/>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2527</v>
      </c>
      <c r="B52" s="223" t="e">
        <f>ROUND($C$43*C52*D52,0)</f>
        <v>#DIV/0!</v>
      </c>
      <c r="C52" s="175">
        <f t="shared" ref="C52:C60" si="16">IF($C$50="北京市系数",I52,J52)</f>
        <v>0.7</v>
      </c>
      <c r="D52" s="1075">
        <v>0.25</v>
      </c>
      <c r="E52" s="649"/>
      <c r="F52" s="646" t="e">
        <f t="shared" si="15"/>
        <v>#DIV/0!</v>
      </c>
      <c r="G52" s="3540" t="s">
        <v>2528</v>
      </c>
      <c r="H52" s="1017" t="str">
        <f>项目基本情况!B37</f>
        <v>四级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2529</v>
      </c>
      <c r="B53" s="223" t="e">
        <f t="shared" ref="B53:B60" si="17">ROUND($C$43*C53*D53,0)</f>
        <v>#DIV/0!</v>
      </c>
      <c r="C53" s="175">
        <f t="shared" si="16"/>
        <v>0.4</v>
      </c>
      <c r="D53" s="1075">
        <v>0.25</v>
      </c>
      <c r="E53" s="649"/>
      <c r="F53" s="646" t="e">
        <f t="shared" si="15"/>
        <v>#DIV/0!</v>
      </c>
      <c r="G53" s="3540"/>
      <c r="H53" s="1017" t="str">
        <f>项目基本情况!B37</f>
        <v>四级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2530</v>
      </c>
      <c r="B54" s="223" t="e">
        <f t="shared" si="17"/>
        <v>#DIV/0!</v>
      </c>
      <c r="C54" s="175">
        <f t="shared" si="16"/>
        <v>0.28000000000000003</v>
      </c>
      <c r="D54" s="1075">
        <v>0.25</v>
      </c>
      <c r="E54" s="649"/>
      <c r="F54" s="646" t="e">
        <f t="shared" si="15"/>
        <v>#DIV/0!</v>
      </c>
      <c r="G54" s="3540"/>
      <c r="H54" s="1017" t="str">
        <f>项目基本情况!B37</f>
        <v>四级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2531</v>
      </c>
      <c r="B55" s="223" t="e">
        <f t="shared" si="17"/>
        <v>#DIV/0!</v>
      </c>
      <c r="C55" s="175">
        <f t="shared" si="16"/>
        <v>0.25</v>
      </c>
      <c r="D55" s="1075">
        <v>0.25</v>
      </c>
      <c r="E55" s="649"/>
      <c r="F55" s="646" t="e">
        <f t="shared" si="15"/>
        <v>#DIV/0!</v>
      </c>
      <c r="G55" s="3540"/>
      <c r="H55" s="1017" t="str">
        <f>项目基本情况!B37</f>
        <v>四级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2532</v>
      </c>
      <c r="B56" s="223" t="e">
        <f t="shared" si="17"/>
        <v>#DIV/0!</v>
      </c>
      <c r="C56" s="175">
        <f t="shared" si="16"/>
        <v>0.25</v>
      </c>
      <c r="D56" s="1075">
        <v>0.25</v>
      </c>
      <c r="E56" s="222">
        <f>'数据-汇总表'!E11</f>
        <v>0</v>
      </c>
      <c r="F56" s="646" t="e">
        <f t="shared" si="15"/>
        <v>#DIV/0!</v>
      </c>
      <c r="G56" s="2142" t="s">
        <v>2533</v>
      </c>
      <c r="H56" s="1017" t="str">
        <f>项目基本情况!C37</f>
        <v>四级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2534</v>
      </c>
      <c r="B57" s="223" t="e">
        <f t="shared" si="17"/>
        <v>#DIV/0!</v>
      </c>
      <c r="C57" s="175">
        <f t="shared" si="16"/>
        <v>0.25</v>
      </c>
      <c r="D57" s="1075">
        <v>0.25</v>
      </c>
      <c r="E57" s="222">
        <f>'数据-汇总表'!E12</f>
        <v>0</v>
      </c>
      <c r="F57" s="646" t="e">
        <f t="shared" si="15"/>
        <v>#DIV/0!</v>
      </c>
      <c r="G57" s="1022" t="s">
        <v>2535</v>
      </c>
      <c r="H57" s="1017" t="str">
        <f>IF(G57="商业",项目基本情况!B37,IF(G57="办公",项目基本情况!C37,IF(G57="住宅",项目基本情况!D37,项目基本情况!E37)))</f>
        <v>四级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2536</v>
      </c>
      <c r="B58" s="223" t="e">
        <f t="shared" si="17"/>
        <v>#DIV/0!</v>
      </c>
      <c r="C58" s="175">
        <f t="shared" si="16"/>
        <v>0.2</v>
      </c>
      <c r="D58" s="1075">
        <v>0.25</v>
      </c>
      <c r="E58" s="222">
        <f>'数据-汇总表'!E13</f>
        <v>0</v>
      </c>
      <c r="F58" s="646" t="e">
        <f t="shared" si="15"/>
        <v>#DIV/0!</v>
      </c>
      <c r="G58" s="1022" t="s">
        <v>2537</v>
      </c>
      <c r="H58" s="1017" t="str">
        <f>IF(G58="商业",项目基本情况!B37,IF(G58="办公",项目基本情况!C37,IF(G58="住宅",项目基本情况!D37,项目基本情况!E37)))</f>
        <v>四级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2538</v>
      </c>
      <c r="B59" s="223" t="e">
        <f t="shared" si="17"/>
        <v>#DIV/0!</v>
      </c>
      <c r="C59" s="175">
        <f t="shared" si="16"/>
        <v>0.2</v>
      </c>
      <c r="D59" s="1075">
        <v>0.25</v>
      </c>
      <c r="E59" s="222">
        <f>'数据-汇总表'!E14</f>
        <v>0</v>
      </c>
      <c r="F59" s="646" t="e">
        <f t="shared" si="15"/>
        <v>#DIV/0!</v>
      </c>
      <c r="G59" s="2142" t="s">
        <v>2528</v>
      </c>
      <c r="H59" s="1017" t="str">
        <f>项目基本情况!B37</f>
        <v>四级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2539</v>
      </c>
      <c r="B60" s="223" t="e">
        <f t="shared" si="17"/>
        <v>#DIV/0!</v>
      </c>
      <c r="C60" s="175">
        <f t="shared" si="16"/>
        <v>0.2</v>
      </c>
      <c r="D60" s="1075">
        <v>0.25</v>
      </c>
      <c r="E60" s="222">
        <f>'数据-汇总表'!E15</f>
        <v>0</v>
      </c>
      <c r="F60" s="646" t="e">
        <f t="shared" si="15"/>
        <v>#DIV/0!</v>
      </c>
      <c r="G60" s="2143" t="s">
        <v>2533</v>
      </c>
      <c r="H60" s="1027" t="str">
        <f>项目基本情况!C37</f>
        <v>四级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2540</v>
      </c>
      <c r="B61" s="651" t="s">
        <v>28</v>
      </c>
      <c r="C61" s="651" t="s">
        <v>29</v>
      </c>
      <c r="D61" s="651" t="s">
        <v>997</v>
      </c>
      <c r="E61" s="651">
        <f>IF(B41="楼面地价",SUM(E51:E60),'数据-汇总表'!D3)</f>
        <v>8422.83</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2" t="s">
        <v>2433</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2541</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2344</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2309</v>
      </c>
      <c r="B68" s="466"/>
      <c r="C68" s="478" t="s">
        <v>2411</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2347</v>
      </c>
      <c r="B70" s="484" t="s">
        <v>2313</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2316</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2318</v>
      </c>
      <c r="B83" s="484" t="s">
        <v>2464</v>
      </c>
      <c r="C83" s="529" t="s">
        <v>2356</v>
      </c>
      <c r="D83" s="529" t="s">
        <v>2357</v>
      </c>
      <c r="E83" s="529" t="s">
        <v>2358</v>
      </c>
      <c r="F83" s="529" t="s">
        <v>2359</v>
      </c>
      <c r="G83" s="529" t="s">
        <v>2360</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2361</v>
      </c>
      <c r="C85" s="534" t="s">
        <v>2356</v>
      </c>
      <c r="D85" s="534" t="s">
        <v>2357</v>
      </c>
      <c r="E85" s="534" t="s">
        <v>2358</v>
      </c>
      <c r="F85" s="534" t="s">
        <v>2359</v>
      </c>
      <c r="G85" s="534" t="s">
        <v>2360</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2544</v>
      </c>
      <c r="C87" s="529" t="s">
        <v>2356</v>
      </c>
      <c r="D87" s="529" t="s">
        <v>2357</v>
      </c>
      <c r="E87" s="529" t="s">
        <v>2358</v>
      </c>
      <c r="F87" s="529" t="s">
        <v>2359</v>
      </c>
      <c r="G87" s="529" t="s">
        <v>2360</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2545</v>
      </c>
      <c r="C89" s="529" t="s">
        <v>2356</v>
      </c>
      <c r="D89" s="529" t="s">
        <v>2357</v>
      </c>
      <c r="E89" s="529" t="s">
        <v>2358</v>
      </c>
      <c r="F89" s="529" t="s">
        <v>2359</v>
      </c>
      <c r="G89" s="529" t="s">
        <v>2360</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2413</v>
      </c>
      <c r="C91" s="529" t="s">
        <v>2356</v>
      </c>
      <c r="D91" s="529" t="s">
        <v>2357</v>
      </c>
      <c r="E91" s="529" t="s">
        <v>2358</v>
      </c>
      <c r="F91" s="529" t="s">
        <v>2359</v>
      </c>
      <c r="G91" s="529" t="s">
        <v>2360</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2562</v>
      </c>
      <c r="C93" s="615" t="s">
        <v>2434</v>
      </c>
      <c r="D93" s="615" t="s">
        <v>2435</v>
      </c>
      <c r="E93" s="615" t="s">
        <v>2436</v>
      </c>
      <c r="F93" s="615" t="s">
        <v>2437</v>
      </c>
      <c r="G93" s="615" t="s">
        <v>2438</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2546</v>
      </c>
      <c r="D95" s="495" t="s">
        <v>2547</v>
      </c>
      <c r="E95" s="495" t="s">
        <v>2548</v>
      </c>
      <c r="F95" s="495" t="s">
        <v>2549</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2450</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2509</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2322</v>
      </c>
      <c r="B107" s="484" t="s">
        <v>2550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2551</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2553</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2554</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2563</v>
      </c>
      <c r="B1" s="202"/>
      <c r="C1" s="206" t="s">
        <v>2564</v>
      </c>
      <c r="D1" s="347">
        <f>SUM(D29:D30,D33:D39)</f>
        <v>0</v>
      </c>
      <c r="E1" s="2150"/>
      <c r="F1" s="2150"/>
      <c r="G1" s="2150"/>
      <c r="H1" s="2150"/>
      <c r="I1" s="2150"/>
      <c r="J1" s="2150"/>
      <c r="K1" s="1251"/>
      <c r="L1" s="2151" t="s">
        <v>2565</v>
      </c>
      <c r="M1" s="993">
        <f>SUMPRODUCT((区片价!B5:B9=I2)*(区片价!C3:F3=E2)*(区片价!C5:F9))</f>
        <v>0</v>
      </c>
      <c r="N1" s="996">
        <f>SUMPRODUCT((因素修正幅度!B5:B9=I2)*(因素修正幅度!C3:F3=E2)*(因素修正幅度!C5:F9))</f>
        <v>0</v>
      </c>
      <c r="O1" s="2152"/>
      <c r="P1" s="2152"/>
      <c r="Q1" s="1251"/>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6" t="s">
        <v>2571</v>
      </c>
      <c r="B2" s="209"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1"/>
      <c r="L2" s="2159" t="s">
        <v>2576</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8" t="s">
        <v>2577</v>
      </c>
      <c r="B3" s="209" t="e">
        <f>ROUND(B2*10000/D1,0)</f>
        <v>#DIV/0!</v>
      </c>
      <c r="C3" s="2154" t="s">
        <v>2578</v>
      </c>
      <c r="D3" s="2155" t="s">
        <v>2579</v>
      </c>
      <c r="E3" s="2160"/>
      <c r="F3" s="2161" t="s">
        <v>2580</v>
      </c>
      <c r="G3" s="854">
        <f>IF(F3="宗地容积率",'数据-汇总表'!I4,IF(F3="估价对象容积率",'数据-汇总表'!I6,'数据-汇总表'!I7))</f>
        <v>3.99</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64"/>
      <c r="B4" s="3565"/>
      <c r="C4" s="3565"/>
      <c r="D4" s="3566"/>
      <c r="E4" s="3566"/>
      <c r="F4" s="3566"/>
      <c r="G4" s="3566"/>
      <c r="H4" s="3566"/>
      <c r="I4" s="3566"/>
      <c r="J4" s="3567"/>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t="e">
        <f>ROUND(IF(E2="商业",C6*C7+C16,(IF(E2="住宅",C6*C12+C16,C6+C16))),0)</f>
        <v>#DIV/0!</v>
      </c>
      <c r="D5" s="1492" t="e">
        <f>ROUND(C6+C16,0)</f>
        <v>#DIV/0!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45" t="str">
        <f>IF(E2="商业",IF(C8="不临58条商业街","",2),"")</f>
        <v/>
      </c>
      <c r="B7" s="2178" t="s">
        <v>2591</v>
      </c>
      <c r="C7" s="857" t="e">
        <f>IF(C8="不临58条商业街",1,ROUND(1+(1.6*E8+1.2*E9+0.8*E10+0.4*E11)*C9,4))</f>
        <v>#DIV/0!</v>
      </c>
      <c r="D7" s="2179" t="s">
        <v>2592</v>
      </c>
      <c r="E7" s="881"/>
      <c r="F7" s="2180"/>
      <c r="G7" s="2181"/>
      <c r="H7" s="2181"/>
      <c r="I7" s="2181"/>
      <c r="J7" s="2182"/>
      <c r="K7" s="1537"/>
      <c r="L7" s="2159" t="s">
        <v>2593</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3.99</v>
      </c>
      <c r="AA7" s="1349"/>
      <c r="AB7" s="1349"/>
      <c r="AC7" s="1350"/>
      <c r="AD7" s="1351"/>
      <c r="AE7" s="1351"/>
      <c r="AF7" s="1351"/>
      <c r="AG7" s="1351"/>
      <c r="AH7" s="1351"/>
      <c r="AI7" s="1351"/>
      <c r="AJ7" s="1352"/>
    </row>
    <row r="8" spans="1:36" ht="15">
      <c r="A8" s="3568"/>
      <c r="B8" s="174" t="s">
        <v>2596</v>
      </c>
      <c r="C8" s="2183"/>
      <c r="D8" s="858" t="s">
        <v>139</v>
      </c>
      <c r="E8" s="859" t="e">
        <f>ROUND(C11/E7,4)</f>
        <v>#DIV/0!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t="e">
        <f t="shared" si="0"/>
        <v>#DIV/0!</v>
      </c>
      <c r="U8" s="1346"/>
      <c r="V8" s="1345" t="e">
        <f t="shared" si="1"/>
        <v>#DIV/0!</v>
      </c>
      <c r="W8" s="3561" t="s">
        <v>2599</v>
      </c>
      <c r="X8" s="3562"/>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8"/>
      <c r="B9" s="174" t="s">
        <v>2612</v>
      </c>
      <c r="C9" s="860">
        <f>SUMIF(修正!C59:C119,C8,修正!E59:E119)</f>
        <v>0</v>
      </c>
      <c r="D9" s="175" t="s">
        <v>140</v>
      </c>
      <c r="E9" s="175" t="e">
        <f>ROUND(C11/E7,4)</f>
        <v>#DIV/0!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t="e">
        <f t="shared" si="0"/>
        <v>#DIV/0!</v>
      </c>
      <c r="U9" s="1346"/>
      <c r="V9" s="1345" t="e">
        <f t="shared" si="1"/>
        <v>#DIV/0!</v>
      </c>
      <c r="W9" s="3563"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8"/>
      <c r="B10" s="174" t="s">
        <v>2617</v>
      </c>
      <c r="C10" s="175">
        <f>SUMIF(修正!C59:C119,C8,修正!F59:F119)</f>
        <v>0</v>
      </c>
      <c r="D10" s="175" t="s">
        <v>141</v>
      </c>
      <c r="E10" s="175" t="e">
        <f>ROUND(C11/E7,4)</f>
        <v>#DIV/0!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t="e">
        <f t="shared" si="0"/>
        <v>#DIV/0!</v>
      </c>
      <c r="U10" s="1346"/>
      <c r="V10" s="1345" t="e">
        <f t="shared" si="1"/>
        <v>#DIV/0!</v>
      </c>
      <c r="W10" s="3563"/>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8"/>
      <c r="B11" s="2187" t="s">
        <v>2620</v>
      </c>
      <c r="C11" s="861">
        <f>C10/4</f>
        <v>0</v>
      </c>
      <c r="D11" s="861" t="s">
        <v>142</v>
      </c>
      <c r="E11" s="861" t="e">
        <f>ROUND(C11/E7,4)</f>
        <v>#DIV/0!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t="e">
        <f t="shared" si="0"/>
        <v>#DIV/0!</v>
      </c>
      <c r="U11" s="1346"/>
      <c r="V11" s="1345" t="e">
        <f t="shared" si="1"/>
        <v>#DIV/0!</v>
      </c>
      <c r="W11" s="3563" t="s">
        <v>2623</v>
      </c>
      <c r="X11" s="1357" t="s">
        <v>2624</v>
      </c>
      <c r="Y11" s="1358">
        <f>$G$3</f>
        <v>3.99</v>
      </c>
      <c r="Z11" s="1358">
        <f t="shared" ref="Z11:AJ11" si="3">$G$3</f>
        <v>3.99</v>
      </c>
      <c r="AA11" s="1358">
        <f t="shared" si="3"/>
        <v>3.99</v>
      </c>
      <c r="AB11" s="1358">
        <f t="shared" si="3"/>
        <v>3.99</v>
      </c>
      <c r="AC11" s="1358">
        <f t="shared" si="3"/>
        <v>3.99</v>
      </c>
      <c r="AD11" s="1358">
        <f t="shared" si="3"/>
        <v>3.99</v>
      </c>
      <c r="AE11" s="1358">
        <f t="shared" si="3"/>
        <v>3.99</v>
      </c>
      <c r="AF11" s="1358">
        <f t="shared" si="3"/>
        <v>3.99</v>
      </c>
      <c r="AG11" s="1358">
        <f t="shared" si="3"/>
        <v>3.99</v>
      </c>
      <c r="AH11" s="1358">
        <f t="shared" si="3"/>
        <v>3.99</v>
      </c>
      <c r="AI11" s="1358">
        <f t="shared" si="3"/>
        <v>3.99</v>
      </c>
      <c r="AJ11" s="1358">
        <f t="shared" si="3"/>
        <v>3.99</v>
      </c>
    </row>
    <row r="12" spans="1:36" ht="25.5" thickBot="1">
      <c r="A12" s="3545"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t="e">
        <f t="shared" si="0"/>
        <v>#DIV/0!</v>
      </c>
      <c r="U12" s="1346"/>
      <c r="V12" s="1345" t="e">
        <f t="shared" si="1"/>
        <v>#DIV/0!</v>
      </c>
      <c r="W12" s="3563"/>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9"/>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t="e">
        <f t="shared" si="0"/>
        <v>#DIV/0!</v>
      </c>
      <c r="U13" s="1346"/>
      <c r="V13" s="1345" t="e">
        <f t="shared" si="1"/>
        <v>#DIV/0!</v>
      </c>
      <c r="W13" s="3563"/>
      <c r="X13" s="1359"/>
      <c r="Y13" s="1356">
        <f>(-0.163*(Y12^2)-0.59*Y12+7617)*(10^(-4))/Y11</f>
        <v>0.19090225563909774</v>
      </c>
      <c r="Z13" s="1356">
        <f t="shared" ref="Z13:AJ13" si="5">(-0.163*(Z12^2)-0.59*Z12+7617)*(10^(-4))/Z11</f>
        <v>0.19090225563909774</v>
      </c>
      <c r="AA13" s="1356">
        <f t="shared" si="5"/>
        <v>0.19090225563909774</v>
      </c>
      <c r="AB13" s="1356">
        <f t="shared" si="5"/>
        <v>0.19090225563909774</v>
      </c>
      <c r="AC13" s="1356">
        <f t="shared" si="5"/>
        <v>0.19090225563909774</v>
      </c>
      <c r="AD13" s="1356">
        <f t="shared" si="5"/>
        <v>0.19090225563909774</v>
      </c>
      <c r="AE13" s="1356">
        <f t="shared" si="5"/>
        <v>0.19090225563909774</v>
      </c>
      <c r="AF13" s="1356">
        <f t="shared" si="5"/>
        <v>0.19090225563909774</v>
      </c>
      <c r="AG13" s="1356">
        <f t="shared" si="5"/>
        <v>0.19090225563909774</v>
      </c>
      <c r="AH13" s="1356">
        <f t="shared" si="5"/>
        <v>0.19090225563909774</v>
      </c>
      <c r="AI13" s="1356">
        <f t="shared" si="5"/>
        <v>0.19090225563909774</v>
      </c>
      <c r="AJ13" s="1356">
        <f t="shared" si="5"/>
        <v>0.19090225563909774</v>
      </c>
    </row>
    <row r="14" spans="1:36" ht="15">
      <c r="A14" s="3569"/>
      <c r="B14" s="2201"/>
      <c r="C14" s="2202"/>
      <c r="D14" s="2203"/>
      <c r="E14" s="2203"/>
      <c r="F14" s="2204"/>
      <c r="G14" s="2205" t="s">
        <v>2636</v>
      </c>
      <c r="H14" s="2206"/>
      <c r="I14" s="2207"/>
      <c r="J14" s="2208"/>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70"/>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45" t="s">
        <v>2642</v>
      </c>
      <c r="B16" s="2178" t="s">
        <v>2643</v>
      </c>
      <c r="C16" s="2340" t="e">
        <f>ROUND(IF(F17="与级别开发程度一致",0,(G17-E17)/C17),0)</f>
        <v>#DIV/0!</v>
      </c>
      <c r="D16" s="3558" t="s">
        <v>2647</v>
      </c>
      <c r="E16" s="3559"/>
      <c r="F16" s="3558" t="s">
        <v>2644</v>
      </c>
      <c r="G16" s="3559"/>
      <c r="H16" s="2210"/>
      <c r="I16" s="2210"/>
      <c r="J16" s="2344"/>
      <c r="K16" s="2210"/>
      <c r="L16" s="2210"/>
      <c r="M16" s="2210"/>
      <c r="N16" s="2210"/>
      <c r="O16" s="2211"/>
      <c r="P16" s="2152"/>
      <c r="Q16" s="1251"/>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46"/>
      <c r="B17" s="2351" t="s">
        <v>2646</v>
      </c>
      <c r="C17" s="2352">
        <f>SUMPRODUCT((修正!A2:A5=E2)*(修正!B1:M1=G2)*(修正!B2:M5))</f>
        <v>0</v>
      </c>
      <c r="D17" s="192"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7.75" thickBot="1">
      <c r="A19" s="2215" t="s">
        <v>809</v>
      </c>
      <c r="B19" s="2216" t="s">
        <v>2650</v>
      </c>
      <c r="C19" s="862" t="e">
        <f>ROUND(IF(H19="按公示增长率计算",SUMPRODUCT((地价!A3:A37=YEAR(G19)&amp;"-"&amp;ROUNDUP(MONTH(G19)/3,0))*(地价!X2:AB2=E2)*(地价!X3:AB37)),IF(H19="地价指数",M20/M19,(1+I19)^O19)),4)</f>
        <v>#VALUE!</v>
      </c>
      <c r="D19" s="2220" t="s">
        <v>2651</v>
      </c>
      <c r="E19" s="863">
        <v>41640</v>
      </c>
      <c r="F19" s="2220" t="s">
        <v>2652</v>
      </c>
      <c r="G19" s="864">
        <f>'数据-取费表'!B2</f>
        <v>44575</v>
      </c>
      <c r="H19" s="2221"/>
      <c r="I19" s="865" t="str">
        <f>IF(H19="季度增幅（自定义）",SUMIF(N21:N24,E2,O21:O24),"")</f>
        <v/>
      </c>
      <c r="J19" s="2218"/>
      <c r="K19" s="1258"/>
      <c r="L19" s="2222" t="s">
        <v>2653</v>
      </c>
      <c r="M19" s="1467">
        <f>ROUND(SUMIF(地价!B2:F2,E2,地价!B37:F37),0)</f>
        <v>0</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t="e">
        <f>ROUND(POWER(1+G20,J20-I20)*(POWER(1+G20,I20)-1)/(POWER(1+G20,J20)-1),4)</f>
        <v>#DIV/0!</v>
      </c>
      <c r="D20" s="2227" t="s">
        <v>2656</v>
      </c>
      <c r="E20" s="1474">
        <f>存贷款利率!E18/100</f>
        <v>4.3499999999999997E-2</v>
      </c>
      <c r="F20" s="2227" t="s">
        <v>2648</v>
      </c>
      <c r="G20" s="872">
        <f>SUMIF(M26:P26,E2,M28:P28)</f>
        <v>0</v>
      </c>
      <c r="H20" s="2227" t="s">
        <v>2657</v>
      </c>
      <c r="I20" s="873" t="e">
        <f>SUMIF('数据-取费表'!C6:C15,E2,'数据-取费表'!F6:F15)/COUNTIF('数据-取费表'!C6:C15,E2)</f>
        <v>#DIV/0!</v>
      </c>
      <c r="J20" s="874">
        <f>IF(E2="住宅",70,IF(E2="商业",40,50))</f>
        <v>50</v>
      </c>
      <c r="K20" s="1258"/>
      <c r="L20" s="2228" t="s">
        <v>2658</v>
      </c>
      <c r="M20" s="1468">
        <f>ROUND(SUMPRODUCT((地价!A4:A37=YEAR(G19)&amp;"-"&amp;ROUNDUP(MONTH(G19)/3,0))*(地价!B2:F2=E2)*(地价!B4:F37)),0)</f>
        <v>0</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2662</v>
      </c>
      <c r="C21" s="875">
        <f>IF(B21="容积率修正",IF(G3&lt;=10,D22,J22),C23)</f>
        <v>0</v>
      </c>
      <c r="D21" s="2234"/>
      <c r="E21" s="2234"/>
      <c r="F21" s="2234"/>
      <c r="G21" s="2234"/>
      <c r="H21" s="2234"/>
      <c r="I21" s="2234"/>
      <c r="J21" s="2235"/>
      <c r="K21" s="1258"/>
      <c r="L21" s="2988"/>
      <c r="M21" s="2988"/>
      <c r="N21" s="2236" t="s">
        <v>2663</v>
      </c>
      <c r="O21" s="1306"/>
      <c r="P21" s="1307">
        <f>SUMPRODUCT((地价!A3:A37=YEAR(G19)&amp;"-"&amp;ROUNDUP(MONTH(G19)/3,0))*(地价!AD2:AH2=N21)*(地价!AD3:AH37))</f>
        <v>1.0200000000000001E-2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2664</v>
      </c>
      <c r="B22" s="2237" t="s">
        <v>2665</v>
      </c>
      <c r="C22" s="1505" t="s">
        <v>2666</v>
      </c>
      <c r="D22" s="1505">
        <f>IF(E22=G22,F22,IF(G3&lt;=10,ROUND(F22+(H22-F22)*(G3-E22)/(G22-E22),4),"——"))</f>
        <v>0</v>
      </c>
      <c r="E22" s="854">
        <f>ROUNDDOWN(G3,1)</f>
        <v>3.9</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6" t="str">
        <f>IF(G3&gt;10,D113,"——")</f>
        <v>——</v>
      </c>
      <c r="K22" s="1258"/>
      <c r="L22" s="2988"/>
      <c r="M22" s="2988"/>
      <c r="N22" s="2236" t="s">
        <v>2667</v>
      </c>
      <c r="O22" s="1306"/>
      <c r="P22" s="1307">
        <f>SUMPRODUCT((地价!A3:A37=YEAR(G19)&amp;"-"&amp;ROUNDUP(MONTH(G19)/3,0))*(地价!AD2:AH2=N22)*(地价!AD3:AH37))</f>
        <v>1.0200000000000001E-2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2668</v>
      </c>
      <c r="B23" s="2238" t="s">
        <v>2669</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2670</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2671</v>
      </c>
      <c r="C24" s="862">
        <f>SUMIF(A45:A88,E2,B45:B88)</f>
        <v>0</v>
      </c>
      <c r="D24" s="2217"/>
      <c r="E24" s="2244"/>
      <c r="F24" s="2244"/>
      <c r="G24" s="2244"/>
      <c r="H24" s="2244"/>
      <c r="I24" s="2244"/>
      <c r="J24" s="2245"/>
      <c r="K24" s="1258"/>
      <c r="L24" s="2988"/>
      <c r="M24" s="2988"/>
      <c r="N24" s="2246" t="s">
        <v>2672</v>
      </c>
      <c r="O24" s="1308"/>
      <c r="P24" s="1309">
        <f>SUMPRODUCT((地价!A3:A37=YEAR(G19)&amp;"-"&amp;ROUNDUP(MONTH(G19)/3,0))*(地价!AD2:AH2=N24)*(地价!AD3:AH37))</f>
        <v>1.18E-2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2673</v>
      </c>
      <c r="C25" s="868"/>
      <c r="D25" s="2181"/>
      <c r="E25" s="2181"/>
      <c r="F25" s="2248"/>
      <c r="G25" s="2181"/>
      <c r="H25" s="2181"/>
      <c r="I25" s="2181"/>
      <c r="J25" s="2182"/>
      <c r="K25" s="1251"/>
      <c r="L25" s="2152"/>
      <c r="M25" s="2152"/>
      <c r="N25" s="2983" t="s">
        <v>2674</v>
      </c>
      <c r="O25" s="2984"/>
      <c r="P25" s="2985">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1"/>
      <c r="L26" s="2986" t="s">
        <v>2573</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2676</v>
      </c>
      <c r="C27" s="869" t="e">
        <f>E30+SUM(I33:I39)</f>
        <v>#DIV/0!</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2681</v>
      </c>
      <c r="C29" s="179" t="e">
        <f>ROUND(C5*C18*C19*C20*C21*C24,0)</f>
        <v>#DIV/0!</v>
      </c>
      <c r="D29" s="2265"/>
      <c r="E29" s="878" t="e">
        <f>ROUND(C29*D29/10000,0)</f>
        <v>#DIV/0!</v>
      </c>
      <c r="F29" s="2266" t="s">
        <v>2682</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2683</v>
      </c>
      <c r="C30" s="192" t="e">
        <f>ROUND(IF(E2="工业",C29*M39,C29*M38),0)</f>
        <v>#DIV/0!</v>
      </c>
      <c r="D30" s="2271"/>
      <c r="E30" s="878" t="e">
        <f>ROUND(C30*D30/10000,0)</f>
        <v>#DIV/0!</v>
      </c>
      <c r="F30" s="2272" t="s">
        <v>2684</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2685</v>
      </c>
      <c r="C31" s="2277" t="s">
        <v>2686</v>
      </c>
      <c r="D31" s="2194"/>
      <c r="E31" s="2277"/>
      <c r="F31" s="2277"/>
      <c r="G31" s="2192" t="s">
        <v>2687</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2678</v>
      </c>
      <c r="D32" s="454" t="s">
        <v>2679</v>
      </c>
      <c r="E32" s="454" t="s">
        <v>2680</v>
      </c>
      <c r="F32" s="347" t="s">
        <v>2688</v>
      </c>
      <c r="G32" s="2280" t="s">
        <v>2678</v>
      </c>
      <c r="H32" s="2280" t="s">
        <v>2679</v>
      </c>
      <c r="I32" s="2280" t="s">
        <v>2680</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55"/>
      <c r="B33" s="2281" t="s">
        <v>2689</v>
      </c>
      <c r="C33" s="179" t="e">
        <f>ROUND(D5*C19*C20*C24*F33,0)</f>
        <v>#DIV/0!</v>
      </c>
      <c r="D33" s="2265"/>
      <c r="E33" s="175" t="e">
        <f>ROUND(C33*D33/10000,0)</f>
        <v>#DIV/0!</v>
      </c>
      <c r="F33" s="175">
        <f>SUMIF(修正!A45:A56,G2,修正!B45:B56)</f>
        <v>0</v>
      </c>
      <c r="G33" s="175" t="e">
        <f t="shared" ref="G33" si="6">ROUND(IF(E2="工业",C33*$M$39,C33*$M$38),0)</f>
        <v>#DIV/0!</v>
      </c>
      <c r="H33" s="175">
        <f>D33</f>
        <v>0</v>
      </c>
      <c r="I33" s="175" t="e">
        <f>ROUND(G33*H33/10000,0)</f>
        <v>#DIV/0!</v>
      </c>
      <c r="J33" s="3560"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56"/>
      <c r="B34" s="2198" t="s">
        <v>2690</v>
      </c>
      <c r="C34" s="179" t="e">
        <f>ROUND(D5*C19*C20*C24*F34,0)</f>
        <v>#DIV/0!</v>
      </c>
      <c r="D34" s="2265"/>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5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56"/>
      <c r="B35" s="2198" t="s">
        <v>2691</v>
      </c>
      <c r="C35" s="179" t="e">
        <f>ROUND(D5*C19*C20*C24*F35,0)</f>
        <v>#DIV/0!</v>
      </c>
      <c r="D35" s="2265"/>
      <c r="E35" s="175" t="e">
        <f t="shared" si="7"/>
        <v>#DIV/0!</v>
      </c>
      <c r="F35" s="175">
        <f>SUMIF(修正!A45:A56,G2,修正!D45:D56)</f>
        <v>0</v>
      </c>
      <c r="G35" s="175" t="e">
        <f>ROUND(IF(E2="工业",C35*$M$39,C35*$M$38),0)</f>
        <v>#DIV/0!</v>
      </c>
      <c r="H35" s="175">
        <f t="shared" si="8"/>
        <v>0</v>
      </c>
      <c r="I35" s="175" t="e">
        <f t="shared" si="9"/>
        <v>#DIV/0!</v>
      </c>
      <c r="J35" s="355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57"/>
      <c r="B36" s="2198" t="s">
        <v>2692</v>
      </c>
      <c r="C36" s="179" t="e">
        <f>ROUND(D5*C19*C20*C24*F36,0)</f>
        <v>#DIV/0!</v>
      </c>
      <c r="D36" s="2265"/>
      <c r="E36" s="175" t="e">
        <f t="shared" si="7"/>
        <v>#DIV/0!</v>
      </c>
      <c r="F36" s="175">
        <f>SUMIF(修正!A45:A56,G2,修正!E45:E56)</f>
        <v>0</v>
      </c>
      <c r="G36" s="175" t="e">
        <f>ROUND(IF(E2="工业",C36*$M$39,C36*$M$38),0)</f>
        <v>#DIV/0!</v>
      </c>
      <c r="H36" s="175">
        <f t="shared" si="8"/>
        <v>0</v>
      </c>
      <c r="I36" s="175" t="e">
        <f t="shared" si="9"/>
        <v>#DIV/0!</v>
      </c>
      <c r="J36" s="3557"/>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2693</v>
      </c>
      <c r="C37" s="175" t="e">
        <f>ROUND(D5*C19*C20*C24*F37,0)</f>
        <v>#DIV/0!</v>
      </c>
      <c r="D37" s="2265"/>
      <c r="E37" s="175" t="e">
        <f t="shared" si="7"/>
        <v>#DIV/0!</v>
      </c>
      <c r="F37" s="179">
        <f>SUMIF(修正!A45:A56,G2,修正!F45:F56)</f>
        <v>0</v>
      </c>
      <c r="G37" s="175" t="e">
        <f>ROUND(IF(E2="工业",C37*$M$39,C37*$M$38),0)</f>
        <v>#DIV/0!</v>
      </c>
      <c r="H37" s="175">
        <f t="shared" si="8"/>
        <v>0</v>
      </c>
      <c r="I37" s="175" t="e">
        <f t="shared" si="9"/>
        <v>#DIV/0!</v>
      </c>
      <c r="J37" s="2282"/>
      <c r="K37" s="1251"/>
      <c r="L37" s="2284" t="s">
        <v>2694</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2695</v>
      </c>
      <c r="C38" s="175" t="e">
        <f>ROUND(D5*C19*C41*C24*F38,0)</f>
        <v>#DIV/0!</v>
      </c>
      <c r="D38" s="2265"/>
      <c r="E38" s="175" t="e">
        <f t="shared" si="7"/>
        <v>#DIV/0!</v>
      </c>
      <c r="F38" s="179">
        <f>SUMIF(修正!A45:A56,G2,修正!G45:G56)</f>
        <v>0</v>
      </c>
      <c r="G38" s="175" t="e">
        <f>ROUND(IF(E2="工业",C38*$M$39,C38*$M$38),0)</f>
        <v>#DIV/0!</v>
      </c>
      <c r="H38" s="175">
        <f t="shared" si="8"/>
        <v>0</v>
      </c>
      <c r="I38" s="175" t="e">
        <f t="shared" si="9"/>
        <v>#DIV/0!</v>
      </c>
      <c r="J38" s="2282"/>
      <c r="K38" s="1251"/>
      <c r="L38" s="1574" t="s">
        <v>2696</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2697</v>
      </c>
      <c r="C39" s="192" t="e">
        <f>ROUND(D5*C19*C41*C24*F39,0)</f>
        <v>#DIV/0!</v>
      </c>
      <c r="D39" s="2271"/>
      <c r="E39" s="192" t="e">
        <f t="shared" si="7"/>
        <v>#DIV/0!</v>
      </c>
      <c r="F39" s="870">
        <f>SUMIF(修正!A45:A56,G2,修正!H45:H56)</f>
        <v>0</v>
      </c>
      <c r="G39" s="192" t="e">
        <f>ROUND(IF(E2="工业",C39*$M$39,C39*$M$38),0)</f>
        <v>#DIV/0!</v>
      </c>
      <c r="H39" s="192">
        <f t="shared" si="8"/>
        <v>0</v>
      </c>
      <c r="I39" s="192" t="e">
        <f t="shared" si="9"/>
        <v>#DIV/0!</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2802</v>
      </c>
      <c r="C41" s="347" t="e">
        <f>ROUND(POWER(1+E41,H41-G41)*(POWER(1+E41,G41)-1)/(POWER(1+E41,H41)-1),4)</f>
        <v>#DIV/0!</v>
      </c>
      <c r="D41" s="175" t="s">
        <v>2648</v>
      </c>
      <c r="E41" s="2338">
        <f>G20</f>
        <v>0</v>
      </c>
      <c r="F41" s="175" t="s">
        <v>2657</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2698</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2699</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2700</v>
      </c>
      <c r="B47" s="1504" t="s">
        <v>2701</v>
      </c>
      <c r="C47" s="1504" t="s">
        <v>2702</v>
      </c>
      <c r="D47" s="1504" t="s">
        <v>2703</v>
      </c>
      <c r="E47" s="757" t="s">
        <v>2704</v>
      </c>
      <c r="F47" s="2299" t="s">
        <v>2705</v>
      </c>
      <c r="G47" s="1504" t="s">
        <v>754</v>
      </c>
      <c r="H47" s="2300" t="s">
        <v>2706</v>
      </c>
      <c r="I47" s="1504" t="s">
        <v>2707</v>
      </c>
      <c r="J47" s="559" t="s">
        <v>2356</v>
      </c>
      <c r="K47" s="559" t="s">
        <v>2357</v>
      </c>
      <c r="L47" s="559" t="s">
        <v>2358</v>
      </c>
      <c r="M47" s="559" t="s">
        <v>2359</v>
      </c>
      <c r="N47" s="559" t="s">
        <v>2360</v>
      </c>
      <c r="AA47" s="1252"/>
      <c r="AB47" s="1252"/>
      <c r="AC47" s="1252"/>
      <c r="AD47" s="1252"/>
      <c r="AE47" s="1252"/>
      <c r="AF47" s="1252"/>
      <c r="AG47" s="1252"/>
      <c r="AH47" s="1252"/>
      <c r="AI47" s="1252"/>
      <c r="AJ47" s="1252"/>
      <c r="AK47" s="1252"/>
    </row>
    <row r="48" spans="1:37" s="1251" customFormat="1" ht="38.25">
      <c r="A48" s="2298" t="s">
        <v>2708</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2709</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2710</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2711</v>
      </c>
      <c r="B51" s="2303" t="s">
        <v>2712</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2713</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2714</v>
      </c>
      <c r="B53" s="2304" t="s">
        <v>2715</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2716</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2717</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2718</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2719</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2700</v>
      </c>
      <c r="B58" s="1504"/>
      <c r="C58" s="1504" t="s">
        <v>2702</v>
      </c>
      <c r="D58" s="1504" t="s">
        <v>2703</v>
      </c>
      <c r="E58" s="757" t="s">
        <v>2704</v>
      </c>
      <c r="F58" s="2299" t="s">
        <v>2720</v>
      </c>
      <c r="G58" s="1504" t="s">
        <v>754</v>
      </c>
      <c r="H58" s="2300" t="s">
        <v>2706</v>
      </c>
      <c r="I58" s="1504" t="s">
        <v>2707</v>
      </c>
      <c r="J58" s="559" t="s">
        <v>2356</v>
      </c>
      <c r="K58" s="559" t="s">
        <v>2357</v>
      </c>
      <c r="L58" s="559" t="s">
        <v>2358</v>
      </c>
      <c r="M58" s="559" t="s">
        <v>2359</v>
      </c>
      <c r="N58" s="559" t="s">
        <v>2360</v>
      </c>
      <c r="AA58" s="1252"/>
      <c r="AB58" s="1252"/>
      <c r="AC58" s="1252"/>
      <c r="AD58" s="1252"/>
      <c r="AE58" s="1252"/>
      <c r="AF58" s="1252"/>
      <c r="AG58" s="1252"/>
      <c r="AH58" s="1252"/>
      <c r="AI58" s="1252"/>
      <c r="AJ58" s="1252"/>
      <c r="AK58" s="1252"/>
    </row>
    <row r="59" spans="1:37" s="1251" customFormat="1" ht="38.25">
      <c r="A59" s="2298" t="s">
        <v>2721</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2709</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2710</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2711</v>
      </c>
      <c r="B62" s="2303" t="s">
        <v>2712</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2713</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2714</v>
      </c>
      <c r="B64" s="2304" t="s">
        <v>2715</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2716</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2717</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2718</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2722</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2700</v>
      </c>
      <c r="B69" s="1504"/>
      <c r="C69" s="1504" t="s">
        <v>2702</v>
      </c>
      <c r="D69" s="1504" t="s">
        <v>2703</v>
      </c>
      <c r="E69" s="757" t="s">
        <v>2704</v>
      </c>
      <c r="F69" s="2299" t="s">
        <v>2720</v>
      </c>
      <c r="G69" s="1504" t="s">
        <v>754</v>
      </c>
      <c r="H69" s="2300" t="s">
        <v>2706</v>
      </c>
      <c r="I69" s="1504" t="s">
        <v>2707</v>
      </c>
      <c r="J69" s="559" t="s">
        <v>2356</v>
      </c>
      <c r="K69" s="559" t="s">
        <v>2357</v>
      </c>
      <c r="L69" s="559" t="s">
        <v>2358</v>
      </c>
      <c r="M69" s="559" t="s">
        <v>2359</v>
      </c>
      <c r="N69" s="559" t="s">
        <v>2360</v>
      </c>
      <c r="AA69" s="1252"/>
      <c r="AB69" s="1252"/>
      <c r="AC69" s="1252"/>
      <c r="AD69" s="1252"/>
      <c r="AE69" s="1252"/>
      <c r="AF69" s="1252"/>
      <c r="AG69" s="1252"/>
      <c r="AH69" s="1252"/>
      <c r="AI69" s="1252"/>
      <c r="AJ69" s="1252"/>
      <c r="AK69" s="1252"/>
    </row>
    <row r="70" spans="1:37" s="1251" customFormat="1" ht="51">
      <c r="A70" s="2298" t="s">
        <v>2723</v>
      </c>
      <c r="B70" s="2301" t="str">
        <f>估价对象房地状况!C15</f>
        <v>估价对象周边居住用地比例、居住小区规模和社区发展完善程度，综合评价居住社区成熟度一般</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8" t="s">
        <v>2709</v>
      </c>
      <c r="B71" s="2302" t="str">
        <f>估价对象房地状况!C18</f>
        <v>估价对象周边道路状况、公共交通通达情况、停车便捷程度，综合评价交通便捷度较好</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8" t="s">
        <v>2710</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8" t="s">
        <v>2724</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8" t="s">
        <v>2716</v>
      </c>
      <c r="B74" s="1465" t="str">
        <f>估价对象房地状况!C21</f>
        <v>估价对象所在区域公共配套设施齐备情况</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8" t="s">
        <v>2717</v>
      </c>
      <c r="B75" s="1465" t="str">
        <f>估价对象房地状况!C22</f>
        <v>估价对象所在区域基础设施水平</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24">
      <c r="A76" s="2298" t="s">
        <v>2714</v>
      </c>
      <c r="B76" s="2304" t="s">
        <v>2715</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38.25">
      <c r="A77" s="2298" t="s">
        <v>2718</v>
      </c>
      <c r="B77" s="2301" t="str">
        <f>估价对象房地状况!C20</f>
        <v>区域自然环境：；人文环境；综合评价环境状况一般</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24.75" thickBot="1">
      <c r="A78" s="2306" t="s">
        <v>2725</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5">
      <c r="A79" s="2294" t="s">
        <v>2726</v>
      </c>
      <c r="B79" s="2295">
        <f>1+E81</f>
        <v>1</v>
      </c>
      <c r="C79" s="752"/>
      <c r="D79" s="752"/>
      <c r="E79" s="753"/>
      <c r="F79" s="2297"/>
      <c r="G79" s="6"/>
      <c r="H79" s="6"/>
      <c r="I79" s="6"/>
      <c r="J79" s="7"/>
      <c r="K79" s="7"/>
      <c r="L79" s="7"/>
      <c r="M79" s="7"/>
      <c r="N79" s="7"/>
      <c r="Z79" s="2153"/>
      <c r="AA79" s="2219"/>
      <c r="AG79" s="1253"/>
      <c r="AK79" s="2219"/>
    </row>
    <row r="80" spans="1:37" ht="24.75">
      <c r="A80" s="2298" t="s">
        <v>2700</v>
      </c>
      <c r="B80" s="1504"/>
      <c r="C80" s="1504" t="s">
        <v>2702</v>
      </c>
      <c r="D80" s="1504" t="s">
        <v>2703</v>
      </c>
      <c r="E80" s="757" t="s">
        <v>2704</v>
      </c>
      <c r="F80" s="2299" t="s">
        <v>2720</v>
      </c>
      <c r="G80" s="1504" t="s">
        <v>754</v>
      </c>
      <c r="H80" s="2300" t="s">
        <v>2706</v>
      </c>
      <c r="I80" s="1504" t="s">
        <v>2707</v>
      </c>
      <c r="J80" s="559" t="s">
        <v>2356</v>
      </c>
      <c r="K80" s="559" t="s">
        <v>2357</v>
      </c>
      <c r="L80" s="559" t="s">
        <v>2358</v>
      </c>
      <c r="M80" s="559" t="s">
        <v>2359</v>
      </c>
      <c r="N80" s="559" t="s">
        <v>2360</v>
      </c>
      <c r="Z80" s="2153"/>
      <c r="AA80" s="2219"/>
      <c r="AG80" s="1253"/>
      <c r="AK80" s="2219"/>
    </row>
    <row r="81" spans="1:37" ht="38.25">
      <c r="A81" s="2298" t="s">
        <v>2727</v>
      </c>
      <c r="B81" s="2302" t="str">
        <f>估价对象房地状况!G15</f>
        <v>估价对象位于XX开发区，园区建设成熟度XX，产业集聚程度XX</v>
      </c>
      <c r="C81" s="2203"/>
      <c r="D81" s="1195">
        <f t="shared" ref="D81:D88" si="25">SUMIF($J$80:$N$80,C81,J81:N81)</f>
        <v>0</v>
      </c>
      <c r="E81" s="759">
        <f>ROUND(SUM(D81:D88),4)</f>
        <v>0</v>
      </c>
      <c r="F81" s="196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3"/>
      <c r="AA81" s="2219"/>
      <c r="AG81" s="1253"/>
      <c r="AK81" s="2219"/>
    </row>
    <row r="82" spans="1:37" ht="51">
      <c r="A82" s="2298" t="s">
        <v>2709</v>
      </c>
      <c r="B82" s="2302" t="str">
        <f>估价对象房地状况!G16</f>
        <v>估价对象周边道路状况、公共交通通达情况、停车便捷程度，综合评价交通便捷度较好</v>
      </c>
      <c r="C82" s="2203"/>
      <c r="D82" s="1195">
        <f t="shared" si="25"/>
        <v>0</v>
      </c>
      <c r="E82" s="764"/>
      <c r="F82" s="1969"/>
      <c r="G82" s="1193"/>
      <c r="H82" s="1197" t="str">
        <f t="shared" si="26"/>
        <v>——</v>
      </c>
      <c r="I82" s="758">
        <v>0.33</v>
      </c>
      <c r="J82" s="1194">
        <f t="shared" si="27"/>
        <v>0</v>
      </c>
      <c r="K82" s="1194">
        <f t="shared" si="28"/>
        <v>0</v>
      </c>
      <c r="L82" s="1194">
        <v>0</v>
      </c>
      <c r="M82" s="1194">
        <f t="shared" si="29"/>
        <v>0</v>
      </c>
      <c r="N82" s="1194">
        <f t="shared" si="29"/>
        <v>0</v>
      </c>
      <c r="Z82" s="2153"/>
      <c r="AA82" s="2219"/>
      <c r="AG82" s="1253"/>
      <c r="AK82" s="2219"/>
    </row>
    <row r="83" spans="1:37" ht="24">
      <c r="A83" s="2298" t="s">
        <v>2710</v>
      </c>
      <c r="B83" s="2302">
        <f>估价对象房地状况!G17</f>
        <v>0</v>
      </c>
      <c r="C83" s="2203"/>
      <c r="D83" s="1195">
        <f t="shared" si="25"/>
        <v>0</v>
      </c>
      <c r="E83" s="764"/>
      <c r="F83" s="1969"/>
      <c r="G83" s="1193"/>
      <c r="H83" s="1197" t="str">
        <f t="shared" si="26"/>
        <v>——</v>
      </c>
      <c r="I83" s="758">
        <v>0.05</v>
      </c>
      <c r="J83" s="1194">
        <f t="shared" si="27"/>
        <v>0</v>
      </c>
      <c r="K83" s="1194">
        <f t="shared" si="28"/>
        <v>0</v>
      </c>
      <c r="L83" s="1194">
        <v>0</v>
      </c>
      <c r="M83" s="1194">
        <f t="shared" si="29"/>
        <v>0</v>
      </c>
      <c r="N83" s="1194">
        <f t="shared" si="29"/>
        <v>0</v>
      </c>
      <c r="Z83" s="2153"/>
      <c r="AA83" s="2219"/>
      <c r="AG83" s="1253"/>
      <c r="AK83" s="2219"/>
    </row>
    <row r="84" spans="1:37" ht="14.25">
      <c r="A84" s="2298" t="s">
        <v>2724</v>
      </c>
      <c r="B84" s="2302">
        <f>估价对象房地状况!G22</f>
        <v>0</v>
      </c>
      <c r="C84" s="2203"/>
      <c r="D84" s="1195">
        <f t="shared" si="25"/>
        <v>0</v>
      </c>
      <c r="E84" s="764"/>
      <c r="F84" s="1969"/>
      <c r="G84" s="1193"/>
      <c r="H84" s="1197" t="str">
        <f t="shared" si="26"/>
        <v>——</v>
      </c>
      <c r="I84" s="758">
        <v>0.04</v>
      </c>
      <c r="J84" s="1194">
        <f t="shared" si="27"/>
        <v>0</v>
      </c>
      <c r="K84" s="1194">
        <f t="shared" si="28"/>
        <v>0</v>
      </c>
      <c r="L84" s="1194">
        <v>0</v>
      </c>
      <c r="M84" s="1194">
        <f t="shared" si="29"/>
        <v>0</v>
      </c>
      <c r="N84" s="1194">
        <f t="shared" si="29"/>
        <v>0</v>
      </c>
      <c r="Z84" s="2153"/>
      <c r="AA84" s="2219"/>
      <c r="AG84" s="1253"/>
      <c r="AK84" s="2219"/>
    </row>
    <row r="85" spans="1:37" ht="25.5">
      <c r="A85" s="2298" t="s">
        <v>2716</v>
      </c>
      <c r="B85" s="1465" t="str">
        <f>估价对象房地状况!G19</f>
        <v>估价对象所在区域公共配套设施齐备情况</v>
      </c>
      <c r="C85" s="2203"/>
      <c r="D85" s="1195">
        <f t="shared" si="25"/>
        <v>0</v>
      </c>
      <c r="E85" s="764"/>
      <c r="F85" s="1969"/>
      <c r="G85" s="1193"/>
      <c r="H85" s="1197" t="str">
        <f t="shared" si="26"/>
        <v>——</v>
      </c>
      <c r="I85" s="758">
        <v>0.06</v>
      </c>
      <c r="J85" s="1194">
        <f t="shared" si="27"/>
        <v>0</v>
      </c>
      <c r="K85" s="1194">
        <f t="shared" si="28"/>
        <v>0</v>
      </c>
      <c r="L85" s="1194">
        <v>0</v>
      </c>
      <c r="M85" s="1194">
        <f t="shared" si="29"/>
        <v>0</v>
      </c>
      <c r="N85" s="1194">
        <f t="shared" si="29"/>
        <v>0</v>
      </c>
      <c r="Z85" s="2153"/>
      <c r="AA85" s="2219"/>
      <c r="AG85" s="1253"/>
      <c r="AK85" s="2219"/>
    </row>
    <row r="86" spans="1:37" ht="25.5">
      <c r="A86" s="2298" t="s">
        <v>2717</v>
      </c>
      <c r="B86" s="1465" t="str">
        <f>估价对象房地状况!G20</f>
        <v>估价对象所在区域基础设施水平</v>
      </c>
      <c r="C86" s="2203"/>
      <c r="D86" s="1195">
        <f t="shared" si="25"/>
        <v>0</v>
      </c>
      <c r="E86" s="764"/>
      <c r="F86" s="1969"/>
      <c r="G86" s="1193"/>
      <c r="H86" s="1197" t="str">
        <f t="shared" si="26"/>
        <v>——</v>
      </c>
      <c r="I86" s="758">
        <v>0.15</v>
      </c>
      <c r="J86" s="1194">
        <f t="shared" si="27"/>
        <v>0</v>
      </c>
      <c r="K86" s="1194">
        <f t="shared" si="28"/>
        <v>0</v>
      </c>
      <c r="L86" s="1194">
        <v>0</v>
      </c>
      <c r="M86" s="1194">
        <f t="shared" si="29"/>
        <v>0</v>
      </c>
      <c r="N86" s="1194">
        <f t="shared" si="29"/>
        <v>0</v>
      </c>
      <c r="Z86" s="2153"/>
      <c r="AA86" s="2219"/>
      <c r="AG86" s="1253"/>
      <c r="AK86" s="2219"/>
    </row>
    <row r="87" spans="1:37" ht="24">
      <c r="A87" s="2298" t="s">
        <v>2714</v>
      </c>
      <c r="B87" s="2304" t="s">
        <v>2728</v>
      </c>
      <c r="C87" s="2203"/>
      <c r="D87" s="1195">
        <f t="shared" si="25"/>
        <v>0</v>
      </c>
      <c r="E87" s="764"/>
      <c r="F87" s="1969"/>
      <c r="G87" s="1193"/>
      <c r="H87" s="1197" t="str">
        <f t="shared" si="26"/>
        <v>——</v>
      </c>
      <c r="I87" s="758">
        <v>0.05</v>
      </c>
      <c r="J87" s="1194">
        <f t="shared" si="27"/>
        <v>0</v>
      </c>
      <c r="K87" s="1194">
        <f t="shared" si="28"/>
        <v>0</v>
      </c>
      <c r="L87" s="1194">
        <v>0</v>
      </c>
      <c r="M87" s="1194">
        <f t="shared" si="29"/>
        <v>0</v>
      </c>
      <c r="N87" s="1194">
        <f t="shared" si="29"/>
        <v>0</v>
      </c>
      <c r="Z87" s="2153"/>
      <c r="AA87" s="2219"/>
      <c r="AG87" s="1253"/>
      <c r="AK87" s="2219"/>
    </row>
    <row r="88" spans="1:37" ht="39" thickBot="1">
      <c r="A88" s="2306" t="s">
        <v>2729</v>
      </c>
      <c r="B88" s="2311" t="str">
        <f>估价对象房地状况!G18</f>
        <v>该园区内是否有污染型企业，绿化情况，卫生条件，整体环境状况判断</v>
      </c>
      <c r="C88" s="2203"/>
      <c r="D88" s="1195">
        <f t="shared" si="25"/>
        <v>0</v>
      </c>
      <c r="E88" s="765"/>
      <c r="F88" s="1969"/>
      <c r="G88" s="1193"/>
      <c r="H88" s="1197" t="str">
        <f t="shared" si="26"/>
        <v>——</v>
      </c>
      <c r="I88" s="762">
        <v>0.06</v>
      </c>
      <c r="J88" s="1194">
        <f t="shared" si="27"/>
        <v>0</v>
      </c>
      <c r="K88" s="1194">
        <f t="shared" si="28"/>
        <v>0</v>
      </c>
      <c r="L88" s="1194">
        <v>0</v>
      </c>
      <c r="M88" s="1194">
        <f t="shared" si="29"/>
        <v>0</v>
      </c>
      <c r="N88" s="1194">
        <f t="shared" si="29"/>
        <v>0</v>
      </c>
      <c r="Z88" s="2153"/>
      <c r="AA88" s="2219"/>
      <c r="AG88" s="1253"/>
      <c r="AK88" s="2219"/>
    </row>
    <row r="90" spans="1:37">
      <c r="A90" s="3547" t="s">
        <v>2730</v>
      </c>
      <c r="B90" s="3547"/>
      <c r="C90" s="3547"/>
      <c r="D90" s="3547"/>
      <c r="E90" s="3547"/>
      <c r="F90" s="3547"/>
      <c r="G90" s="3547"/>
      <c r="H90" s="3547"/>
      <c r="I90" s="3547"/>
      <c r="J90" s="3547"/>
      <c r="K90" s="2312"/>
      <c r="L90" s="2312"/>
      <c r="M90" s="2312"/>
      <c r="N90" s="2312"/>
    </row>
    <row r="91" spans="1:37">
      <c r="A91" s="3549" t="s">
        <v>2731</v>
      </c>
      <c r="B91" s="3549" t="s">
        <v>2732</v>
      </c>
      <c r="C91" s="2266" t="s">
        <v>2733</v>
      </c>
      <c r="D91" s="2267"/>
      <c r="E91" s="2267"/>
      <c r="F91" s="2267"/>
      <c r="G91" s="2267"/>
      <c r="H91" s="2267"/>
      <c r="I91" s="2267"/>
      <c r="J91" s="2313"/>
      <c r="K91" s="2314"/>
      <c r="L91" s="2314"/>
      <c r="M91" s="2314"/>
      <c r="N91" s="2314"/>
    </row>
    <row r="92" spans="1:37">
      <c r="A92" s="3549"/>
      <c r="B92" s="354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50"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1"/>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5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0" t="s">
        <v>2735</v>
      </c>
      <c r="B101" s="2319" t="s">
        <v>2736</v>
      </c>
      <c r="C101" s="2320">
        <f>$G$3</f>
        <v>3.99</v>
      </c>
      <c r="D101" s="2320">
        <f t="shared" ref="D101:N101" si="31">$G$3</f>
        <v>3.99</v>
      </c>
      <c r="E101" s="2320">
        <f t="shared" si="31"/>
        <v>3.99</v>
      </c>
      <c r="F101" s="2320">
        <f t="shared" si="31"/>
        <v>3.99</v>
      </c>
      <c r="G101" s="2320">
        <f t="shared" si="31"/>
        <v>3.99</v>
      </c>
      <c r="H101" s="2320">
        <f t="shared" si="31"/>
        <v>3.99</v>
      </c>
      <c r="I101" s="2320">
        <f t="shared" si="31"/>
        <v>3.99</v>
      </c>
      <c r="J101" s="2320">
        <f t="shared" si="31"/>
        <v>3.99</v>
      </c>
      <c r="K101" s="2320">
        <f t="shared" si="31"/>
        <v>3.99</v>
      </c>
      <c r="L101" s="2320">
        <f t="shared" si="31"/>
        <v>3.99</v>
      </c>
      <c r="M101" s="2320">
        <f t="shared" si="31"/>
        <v>3.99</v>
      </c>
      <c r="N101" s="2320">
        <f t="shared" si="31"/>
        <v>3.99</v>
      </c>
    </row>
    <row r="102" spans="1:14">
      <c r="A102" s="3551"/>
      <c r="B102" s="2315">
        <v>1</v>
      </c>
      <c r="C102" s="2316">
        <f>1.9362/C101</f>
        <v>0.48526315789473679</v>
      </c>
      <c r="D102" s="2316">
        <f>1.9362/D101</f>
        <v>0.48526315789473679</v>
      </c>
      <c r="E102" s="2316">
        <f>1.8629/E101</f>
        <v>0.46689223057644108</v>
      </c>
      <c r="F102" s="2316">
        <f>1.8629/F101</f>
        <v>0.46689223057644108</v>
      </c>
      <c r="G102" s="2316">
        <f>1.8629/G101</f>
        <v>0.46689223057644108</v>
      </c>
      <c r="H102" s="2316">
        <f>1.8629/H101</f>
        <v>0.46689223057644108</v>
      </c>
      <c r="I102" s="2316">
        <f>1.8629/I101</f>
        <v>0.46689223057644108</v>
      </c>
      <c r="J102" s="2316">
        <f>1.942/J101</f>
        <v>0.48671679197994983</v>
      </c>
      <c r="K102" s="2316">
        <f>1.942/K101</f>
        <v>0.48671679197994983</v>
      </c>
      <c r="L102" s="2316">
        <f>1.942/L101</f>
        <v>0.48671679197994983</v>
      </c>
      <c r="M102" s="2316">
        <f>1.942/M101</f>
        <v>0.48671679197994983</v>
      </c>
      <c r="N102" s="2316">
        <f>1.942/N101</f>
        <v>0.48671679197994983</v>
      </c>
    </row>
    <row r="103" spans="1:14">
      <c r="A103" s="3551"/>
      <c r="B103" s="2315">
        <v>2</v>
      </c>
      <c r="C103" s="2316">
        <f>1.4198/C101</f>
        <v>0.35583959899749368</v>
      </c>
      <c r="D103" s="2316">
        <f>1.4198/D101</f>
        <v>0.35583959899749368</v>
      </c>
      <c r="E103" s="2316">
        <f>1.3372/E101</f>
        <v>0.33513784461152879</v>
      </c>
      <c r="F103" s="2316">
        <f>1.3372/F101</f>
        <v>0.33513784461152879</v>
      </c>
      <c r="G103" s="2316">
        <f>1.3372/G101</f>
        <v>0.33513784461152879</v>
      </c>
      <c r="H103" s="2316">
        <f>1.3372/H101</f>
        <v>0.33513784461152879</v>
      </c>
      <c r="I103" s="2316">
        <f>1.3372/I101</f>
        <v>0.33513784461152879</v>
      </c>
      <c r="J103" s="2316">
        <f>1.2799/J101</f>
        <v>0.32077694235588972</v>
      </c>
      <c r="K103" s="2316">
        <f>1.2799/K101</f>
        <v>0.32077694235588972</v>
      </c>
      <c r="L103" s="2316">
        <f>1.2799/L101</f>
        <v>0.32077694235588972</v>
      </c>
      <c r="M103" s="2316">
        <f>1.2799/M101</f>
        <v>0.32077694235588972</v>
      </c>
      <c r="N103" s="2316">
        <f>1.2799/N101</f>
        <v>0.32077694235588972</v>
      </c>
    </row>
    <row r="104" spans="1:14">
      <c r="A104" s="3551"/>
      <c r="B104" s="2315">
        <v>3</v>
      </c>
      <c r="C104" s="2316">
        <f>1.1594/C101</f>
        <v>0.29057644110275688</v>
      </c>
      <c r="D104" s="2316">
        <f>1.1594/D101</f>
        <v>0.29057644110275688</v>
      </c>
      <c r="E104" s="2316">
        <f>1.0788/E101</f>
        <v>0.27037593984962405</v>
      </c>
      <c r="F104" s="2316">
        <f>1.0788/F101</f>
        <v>0.27037593984962405</v>
      </c>
      <c r="G104" s="2316">
        <f>1.0788/G101</f>
        <v>0.27037593984962405</v>
      </c>
      <c r="H104" s="2316">
        <f>1.0788/H101</f>
        <v>0.27037593984962405</v>
      </c>
      <c r="I104" s="2316">
        <f>1.0788/I101</f>
        <v>0.27037593984962405</v>
      </c>
      <c r="J104" s="2316">
        <f>1.0072/J101</f>
        <v>0.25243107769423562</v>
      </c>
      <c r="K104" s="2316">
        <f>1.0072/K101</f>
        <v>0.25243107769423562</v>
      </c>
      <c r="L104" s="2316">
        <f>1.0072/L101</f>
        <v>0.25243107769423562</v>
      </c>
      <c r="M104" s="2316">
        <f>1.0072/M101</f>
        <v>0.25243107769423562</v>
      </c>
      <c r="N104" s="2316">
        <f>1.0072/N101</f>
        <v>0.25243107769423562</v>
      </c>
    </row>
    <row r="105" spans="1:14">
      <c r="A105" s="3551"/>
      <c r="B105" s="2315">
        <v>4</v>
      </c>
      <c r="C105" s="2316">
        <f>0.9622/C101</f>
        <v>0.24115288220551379</v>
      </c>
      <c r="D105" s="2316">
        <f>0.9622/D101</f>
        <v>0.24115288220551379</v>
      </c>
      <c r="E105" s="2316">
        <f>0.8656/E101</f>
        <v>0.2169423558897243</v>
      </c>
      <c r="F105" s="2316">
        <f>0.8656/F101</f>
        <v>0.2169423558897243</v>
      </c>
      <c r="G105" s="2316">
        <f>0.8656/G101</f>
        <v>0.2169423558897243</v>
      </c>
      <c r="H105" s="2316">
        <f>0.8656/H101</f>
        <v>0.2169423558897243</v>
      </c>
      <c r="I105" s="2316">
        <f>0.8656/I101</f>
        <v>0.2169423558897243</v>
      </c>
      <c r="J105" s="2316">
        <f>0.7525/J101</f>
        <v>0.18859649122807015</v>
      </c>
      <c r="K105" s="2316">
        <f>0.7525/K101</f>
        <v>0.18859649122807015</v>
      </c>
      <c r="L105" s="2316">
        <f>0.7525/L101</f>
        <v>0.18859649122807015</v>
      </c>
      <c r="M105" s="2316">
        <f>0.7525/M101</f>
        <v>0.18859649122807015</v>
      </c>
      <c r="N105" s="2316">
        <f>0.7525/N101</f>
        <v>0.18859649122807015</v>
      </c>
    </row>
    <row r="106" spans="1:14">
      <c r="A106" s="3551"/>
      <c r="B106" s="2315">
        <v>5</v>
      </c>
      <c r="C106" s="2316">
        <f>0.8417/C101</f>
        <v>0.21095238095238095</v>
      </c>
      <c r="D106" s="2316">
        <f>0.8417/D101</f>
        <v>0.21095238095238095</v>
      </c>
      <c r="E106" s="2316">
        <f>0.7371/E101</f>
        <v>0.18473684210526314</v>
      </c>
      <c r="F106" s="2316">
        <f>0.7371/F101</f>
        <v>0.18473684210526314</v>
      </c>
      <c r="G106" s="2316">
        <f>0.7371/G101</f>
        <v>0.18473684210526314</v>
      </c>
      <c r="H106" s="2316">
        <f>0.7371/H101</f>
        <v>0.18473684210526314</v>
      </c>
      <c r="I106" s="2316">
        <f>0.7371/I101</f>
        <v>0.18473684210526314</v>
      </c>
      <c r="J106" s="2316">
        <f>0.5659/J101</f>
        <v>0.14182957393483708</v>
      </c>
      <c r="K106" s="2316">
        <f>0.5659/K101</f>
        <v>0.14182957393483708</v>
      </c>
      <c r="L106" s="2316">
        <f>0.5659/L101</f>
        <v>0.14182957393483708</v>
      </c>
      <c r="M106" s="2316">
        <f>0.5659/M101</f>
        <v>0.14182957393483708</v>
      </c>
      <c r="N106" s="2316">
        <f>0.5659/N101</f>
        <v>0.14182957393483708</v>
      </c>
    </row>
    <row r="107" spans="1:14">
      <c r="A107" s="3551"/>
      <c r="B107" s="2315">
        <v>6</v>
      </c>
      <c r="C107" s="2316">
        <f>0.7608/C101</f>
        <v>0.19067669172932331</v>
      </c>
      <c r="D107" s="2316">
        <f>0.7608/D101</f>
        <v>0.19067669172932331</v>
      </c>
      <c r="E107" s="2316">
        <f>0.6482/E101</f>
        <v>0.16245614035087719</v>
      </c>
      <c r="F107" s="2316">
        <f>0.6482/F101</f>
        <v>0.16245614035087719</v>
      </c>
      <c r="G107" s="2316">
        <f>0.6482/G101</f>
        <v>0.16245614035087719</v>
      </c>
      <c r="H107" s="2316">
        <f>0.6482/H101</f>
        <v>0.16245614035087719</v>
      </c>
      <c r="I107" s="2316">
        <f>0.6482/I101</f>
        <v>0.16245614035087719</v>
      </c>
      <c r="J107" s="2316">
        <f>0.4525/J101</f>
        <v>0.11340852130325814</v>
      </c>
      <c r="K107" s="2316">
        <f>0.4525/K101</f>
        <v>0.11340852130325814</v>
      </c>
      <c r="L107" s="2316">
        <f>0.4525/L101</f>
        <v>0.11340852130325814</v>
      </c>
      <c r="M107" s="2316">
        <f>0.4525/M101</f>
        <v>0.11340852130325814</v>
      </c>
      <c r="N107" s="2316">
        <f>0.4525/N101</f>
        <v>0.11340852130325814</v>
      </c>
    </row>
    <row r="108" spans="1:14">
      <c r="A108" s="3551"/>
      <c r="B108" s="3553"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52"/>
      <c r="B109" s="3554"/>
      <c r="C109" s="2318">
        <f>(-0.163*(C108^2)-0.59*C108+7617)*(10^(-4))/C101</f>
        <v>0.19090225563909774</v>
      </c>
      <c r="D109" s="2318">
        <f>(-0.163*(D108^2)-0.59*D108+7617)*(10^(-4))/D101</f>
        <v>0.19090225563909774</v>
      </c>
      <c r="E109" s="2318">
        <f>(-0.161*(E108^2)-7.509*E108+6533)*(10^(-4))/E101</f>
        <v>0.16373433583959898</v>
      </c>
      <c r="F109" s="2318">
        <f>(-0.161*(F108^2)-7.509*F108+6533)*(10^(-4))/F101</f>
        <v>0.16373433583959898</v>
      </c>
      <c r="G109" s="2318">
        <f>(-0.161*(G108^2)-7.509*G108+6533)*(10^(-4))/G101</f>
        <v>0.16373433583959898</v>
      </c>
      <c r="H109" s="2318">
        <f>(-0.161*(H108^2)-7.509*H108+6533)*(10^(-4))/H101</f>
        <v>0.16373433583959898</v>
      </c>
      <c r="I109" s="2318">
        <f>(-0.161*(I108^2)-7.509*I108+6533)*(10^(-4))/I101</f>
        <v>0.16373433583959898</v>
      </c>
      <c r="J109" s="2318">
        <f>(-0.214*(J108^2)-21.991*J108+4665)*(10^(-4))/J101</f>
        <v>0.11691729323308271</v>
      </c>
      <c r="K109" s="2318">
        <f>(-0.214*(K108^2)-21.991*K108+4665)*(10^(-4))/K101</f>
        <v>0.11691729323308271</v>
      </c>
      <c r="L109" s="2318">
        <f>(-0.214*(L108^2)-21.991*L108+4665)*(10^(-4))/L101</f>
        <v>0.11691729323308271</v>
      </c>
      <c r="M109" s="2318">
        <f>(-0.214*(M108^2)-21.991*M108+4665)*(10^(-4))/M101</f>
        <v>0.11691729323308271</v>
      </c>
      <c r="N109" s="2318">
        <f>(-0.214*(N108^2)-21.991*N108+4665)*(10^(-4))/N101</f>
        <v>0.11691729323308271</v>
      </c>
    </row>
    <row r="110" spans="1:14">
      <c r="A110" s="3548" t="s">
        <v>2738</v>
      </c>
      <c r="B110" s="3548"/>
      <c r="C110" s="3548"/>
      <c r="D110" s="3548"/>
      <c r="E110" s="3548"/>
      <c r="F110" s="3548"/>
      <c r="G110" s="3548"/>
      <c r="H110" s="3548"/>
      <c r="I110" s="3548"/>
      <c r="J110" s="3548"/>
      <c r="K110" s="2321"/>
      <c r="L110" s="2321"/>
      <c r="M110" s="2321"/>
      <c r="N110" s="2321"/>
    </row>
    <row r="112" spans="1:14" ht="13.5" thickBot="1"/>
    <row r="113" spans="1:13" ht="25.5" thickBot="1">
      <c r="A113" s="841" t="s">
        <v>2739</v>
      </c>
      <c r="B113" s="1196">
        <f>G3</f>
        <v>3.99</v>
      </c>
      <c r="C113" s="842" t="s">
        <v>2740</v>
      </c>
      <c r="D113" s="843">
        <f>SUMPRODUCT((A115:A118=F113)*(B114:M114=H113)*B115:M118)</f>
        <v>0</v>
      </c>
      <c r="E113" s="2157" t="s">
        <v>2573</v>
      </c>
      <c r="F113" s="2323">
        <f>E2</f>
        <v>0</v>
      </c>
      <c r="G113" s="2157" t="s">
        <v>2574</v>
      </c>
      <c r="H113" s="2323">
        <f>G2</f>
        <v>0</v>
      </c>
      <c r="I113" s="2157"/>
      <c r="J113" s="2324"/>
      <c r="K113" s="2324"/>
      <c r="L113" s="2324"/>
      <c r="M113" s="2324"/>
    </row>
    <row r="114" spans="1:13">
      <c r="A114" s="846"/>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7" t="s">
        <v>2638</v>
      </c>
      <c r="B115" s="848">
        <f>ROUND(0.9335-0.0094*B113,4)</f>
        <v>0.89600000000000002</v>
      </c>
      <c r="C115" s="848">
        <f>B115</f>
        <v>0.89600000000000002</v>
      </c>
      <c r="D115" s="848">
        <f>ROUND(0.8331-0.0109*B113,4)</f>
        <v>0.78959999999999997</v>
      </c>
      <c r="E115" s="848">
        <f>D115</f>
        <v>0.78959999999999997</v>
      </c>
      <c r="F115" s="848">
        <f>E115</f>
        <v>0.78959999999999997</v>
      </c>
      <c r="G115" s="848">
        <f>F115</f>
        <v>0.78959999999999997</v>
      </c>
      <c r="H115" s="848">
        <f>G115</f>
        <v>0.78959999999999997</v>
      </c>
      <c r="I115" s="848">
        <f>ROUND(0.689-0.0155*B113,4)</f>
        <v>0.62719999999999998</v>
      </c>
      <c r="J115" s="848">
        <f t="shared" ref="J115:M118" si="33">I115</f>
        <v>0.62719999999999998</v>
      </c>
      <c r="K115" s="848">
        <f t="shared" si="33"/>
        <v>0.62719999999999998</v>
      </c>
      <c r="L115" s="848">
        <f t="shared" si="33"/>
        <v>0.62719999999999998</v>
      </c>
      <c r="M115" s="849">
        <f t="shared" si="33"/>
        <v>0.62719999999999998</v>
      </c>
    </row>
    <row r="116" spans="1:13">
      <c r="A116" s="847" t="s">
        <v>2639</v>
      </c>
      <c r="B116" s="848">
        <f>ROUND(0.949-0.012*B113,4)</f>
        <v>0.90110000000000001</v>
      </c>
      <c r="C116" s="848">
        <f>B116</f>
        <v>0.90110000000000001</v>
      </c>
      <c r="D116" s="848">
        <f>ROUND(0.8567-0.013*B113,4)</f>
        <v>0.80479999999999996</v>
      </c>
      <c r="E116" s="848">
        <f t="shared" ref="E116:H117" si="34">D116</f>
        <v>0.80479999999999996</v>
      </c>
      <c r="F116" s="848">
        <f t="shared" si="34"/>
        <v>0.80479999999999996</v>
      </c>
      <c r="G116" s="848">
        <f t="shared" si="34"/>
        <v>0.80479999999999996</v>
      </c>
      <c r="H116" s="848">
        <f t="shared" si="34"/>
        <v>0.80479999999999996</v>
      </c>
      <c r="I116" s="848">
        <f>ROUND(0.7694-0.014*B113,4)</f>
        <v>0.71350000000000002</v>
      </c>
      <c r="J116" s="848">
        <f t="shared" si="33"/>
        <v>0.71350000000000002</v>
      </c>
      <c r="K116" s="848">
        <f t="shared" si="33"/>
        <v>0.71350000000000002</v>
      </c>
      <c r="L116" s="848">
        <f t="shared" si="33"/>
        <v>0.71350000000000002</v>
      </c>
      <c r="M116" s="849">
        <f t="shared" si="33"/>
        <v>0.71350000000000002</v>
      </c>
    </row>
    <row r="117" spans="1:13">
      <c r="A117" s="847" t="s">
        <v>2640</v>
      </c>
      <c r="B117" s="848">
        <f>ROUND(0.8808-0.006*B113,4)</f>
        <v>0.8569</v>
      </c>
      <c r="C117" s="848">
        <f>B117</f>
        <v>0.8569</v>
      </c>
      <c r="D117" s="848">
        <f>ROUND(0.8748-0.008*B113,4)</f>
        <v>0.84289999999999998</v>
      </c>
      <c r="E117" s="848">
        <f t="shared" si="34"/>
        <v>0.84289999999999998</v>
      </c>
      <c r="F117" s="848">
        <f t="shared" si="34"/>
        <v>0.84289999999999998</v>
      </c>
      <c r="G117" s="848">
        <f t="shared" si="34"/>
        <v>0.84289999999999998</v>
      </c>
      <c r="H117" s="848">
        <f t="shared" si="34"/>
        <v>0.84289999999999998</v>
      </c>
      <c r="I117" s="848">
        <f>ROUND(0.7412-0.0095*B113,4)</f>
        <v>0.70330000000000004</v>
      </c>
      <c r="J117" s="848">
        <f t="shared" si="33"/>
        <v>0.70330000000000004</v>
      </c>
      <c r="K117" s="848">
        <f t="shared" si="33"/>
        <v>0.70330000000000004</v>
      </c>
      <c r="L117" s="848">
        <f t="shared" si="33"/>
        <v>0.70330000000000004</v>
      </c>
      <c r="M117" s="849">
        <f t="shared" si="33"/>
        <v>0.70330000000000004</v>
      </c>
    </row>
    <row r="118" spans="1:13" ht="13.5" thickBot="1">
      <c r="A118" s="669" t="s">
        <v>2641</v>
      </c>
      <c r="B118" s="850">
        <f>ROUND(0.7275-0.01*B113,4)</f>
        <v>0.68759999999999999</v>
      </c>
      <c r="C118" s="850">
        <f>B118</f>
        <v>0.68759999999999999</v>
      </c>
      <c r="D118" s="850">
        <f>ROUND(0.7043-0.012*B113,4)</f>
        <v>0.65639999999999998</v>
      </c>
      <c r="E118" s="850">
        <f>D118</f>
        <v>0.65639999999999998</v>
      </c>
      <c r="F118" s="850">
        <f>E118</f>
        <v>0.65639999999999998</v>
      </c>
      <c r="G118" s="850">
        <f>ROUND(0.6299-0.0122*B113,4)</f>
        <v>0.58120000000000005</v>
      </c>
      <c r="H118" s="850">
        <f>G118</f>
        <v>0.58120000000000005</v>
      </c>
      <c r="I118" s="850">
        <f>ROUND(0.5667-0.0136*B113,4)</f>
        <v>0.51239999999999997</v>
      </c>
      <c r="J118" s="850">
        <f t="shared" si="33"/>
        <v>0.51239999999999997</v>
      </c>
      <c r="K118" s="850">
        <f t="shared" si="33"/>
        <v>0.51239999999999997</v>
      </c>
      <c r="L118" s="850">
        <f t="shared" si="33"/>
        <v>0.51239999999999997</v>
      </c>
      <c r="M118" s="851">
        <f t="shared" si="33"/>
        <v>0.51239999999999997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71" t="s">
        <v>183</v>
      </c>
      <c r="B18" s="820" t="s">
        <v>560</v>
      </c>
      <c r="C18" s="821" t="s">
        <v>561</v>
      </c>
      <c r="D18" s="822"/>
      <c r="E18" s="820">
        <v>1</v>
      </c>
      <c r="F18" s="823" t="s">
        <v>562</v>
      </c>
      <c r="G18" s="824"/>
      <c r="H18" s="816"/>
      <c r="I18" s="816"/>
    </row>
    <row r="19" spans="1:9" s="825" customFormat="1" ht="19.5" customHeight="1">
      <c r="A19" s="3571"/>
      <c r="B19" s="3571" t="s">
        <v>563</v>
      </c>
      <c r="C19" s="821" t="s">
        <v>564</v>
      </c>
      <c r="D19" s="822"/>
      <c r="E19" s="820">
        <v>0.9</v>
      </c>
      <c r="F19" s="823" t="s">
        <v>565</v>
      </c>
      <c r="G19" s="824"/>
      <c r="H19" s="816"/>
      <c r="I19" s="816"/>
    </row>
    <row r="20" spans="1:9" s="825" customFormat="1" ht="19.5" customHeight="1">
      <c r="A20" s="3571"/>
      <c r="B20" s="3571"/>
      <c r="C20" s="821" t="s">
        <v>566</v>
      </c>
      <c r="D20" s="822"/>
      <c r="E20" s="820">
        <v>1.1000000000000001</v>
      </c>
      <c r="F20" s="823" t="s">
        <v>567</v>
      </c>
      <c r="G20" s="824"/>
      <c r="H20" s="816"/>
      <c r="I20" s="816"/>
    </row>
    <row r="21" spans="1:9" s="825" customFormat="1" ht="19.5" customHeight="1">
      <c r="A21" s="3571"/>
      <c r="B21" s="3571"/>
      <c r="C21" s="821" t="s">
        <v>568</v>
      </c>
      <c r="D21" s="822"/>
      <c r="E21" s="820">
        <v>0.8</v>
      </c>
      <c r="F21" s="823" t="s">
        <v>569</v>
      </c>
      <c r="G21" s="824"/>
      <c r="H21" s="816"/>
      <c r="I21" s="816"/>
    </row>
    <row r="22" spans="1:9" s="825" customFormat="1" ht="19.5" customHeight="1">
      <c r="A22" s="3571"/>
      <c r="B22" s="3571"/>
      <c r="C22" s="821" t="s">
        <v>570</v>
      </c>
      <c r="D22" s="822"/>
      <c r="E22" s="820">
        <v>0.5</v>
      </c>
      <c r="F22" s="823"/>
      <c r="G22" s="824"/>
      <c r="H22" s="816"/>
      <c r="I22" s="816"/>
    </row>
    <row r="23" spans="1:9" s="825" customFormat="1" ht="19.5" customHeight="1">
      <c r="A23" s="3571" t="s">
        <v>184</v>
      </c>
      <c r="B23" s="820" t="s">
        <v>560</v>
      </c>
      <c r="C23" s="821" t="s">
        <v>571</v>
      </c>
      <c r="D23" s="822"/>
      <c r="E23" s="820">
        <v>1</v>
      </c>
      <c r="F23" s="823" t="s">
        <v>572</v>
      </c>
      <c r="G23" s="824"/>
      <c r="H23" s="816"/>
      <c r="I23" s="816"/>
    </row>
    <row r="24" spans="1:9" s="825" customFormat="1" ht="19.5" customHeight="1">
      <c r="A24" s="3571"/>
      <c r="B24" s="3571" t="s">
        <v>563</v>
      </c>
      <c r="C24" s="821" t="s">
        <v>573</v>
      </c>
      <c r="D24" s="822"/>
      <c r="E24" s="820">
        <v>0.5</v>
      </c>
      <c r="F24" s="823"/>
      <c r="G24" s="824"/>
      <c r="H24" s="816"/>
      <c r="I24" s="816"/>
    </row>
    <row r="25" spans="1:9" s="825" customFormat="1" ht="19.5" customHeight="1">
      <c r="A25" s="3571"/>
      <c r="B25" s="3571"/>
      <c r="C25" s="821" t="s">
        <v>574</v>
      </c>
      <c r="D25" s="822"/>
      <c r="E25" s="820">
        <v>1.1000000000000001</v>
      </c>
      <c r="F25" s="823"/>
      <c r="G25" s="824"/>
      <c r="H25" s="816"/>
      <c r="I25" s="816"/>
    </row>
    <row r="26" spans="1:9" s="825" customFormat="1" ht="19.5" customHeight="1">
      <c r="A26" s="3571"/>
      <c r="B26" s="3571"/>
      <c r="C26" s="821" t="s">
        <v>575</v>
      </c>
      <c r="D26" s="822"/>
      <c r="E26" s="820">
        <v>1.1000000000000001</v>
      </c>
      <c r="F26" s="823"/>
      <c r="G26" s="824"/>
      <c r="H26" s="816"/>
      <c r="I26" s="816"/>
    </row>
    <row r="27" spans="1:9" s="825" customFormat="1" ht="19.5" customHeight="1">
      <c r="A27" s="3571"/>
      <c r="B27" s="3571"/>
      <c r="C27" s="821" t="s">
        <v>576</v>
      </c>
      <c r="D27" s="822"/>
      <c r="E27" s="820">
        <v>0.9</v>
      </c>
      <c r="F27" s="823" t="s">
        <v>577</v>
      </c>
      <c r="G27" s="824"/>
      <c r="H27" s="816"/>
      <c r="I27" s="816"/>
    </row>
    <row r="28" spans="1:9" s="825" customFormat="1" ht="19.5" customHeight="1">
      <c r="A28" s="3571"/>
      <c r="B28" s="3571"/>
      <c r="C28" s="821" t="s">
        <v>578</v>
      </c>
      <c r="D28" s="822"/>
      <c r="E28" s="820">
        <v>0.9</v>
      </c>
      <c r="F28" s="823" t="s">
        <v>579</v>
      </c>
      <c r="G28" s="824"/>
      <c r="H28" s="816"/>
      <c r="I28" s="816"/>
    </row>
    <row r="29" spans="1:9" s="825" customFormat="1" ht="19.5" customHeight="1">
      <c r="A29" s="3571"/>
      <c r="B29" s="3571"/>
      <c r="C29" s="821" t="s">
        <v>580</v>
      </c>
      <c r="D29" s="822"/>
      <c r="E29" s="820">
        <v>0.9</v>
      </c>
      <c r="F29" s="823" t="s">
        <v>581</v>
      </c>
      <c r="G29" s="824"/>
      <c r="H29" s="816"/>
      <c r="I29" s="816"/>
    </row>
    <row r="30" spans="1:9" s="825" customFormat="1" ht="19.5" customHeight="1">
      <c r="A30" s="3571"/>
      <c r="B30" s="3571"/>
      <c r="C30" s="821" t="s">
        <v>582</v>
      </c>
      <c r="D30" s="822"/>
      <c r="E30" s="820">
        <v>0.9</v>
      </c>
      <c r="F30" s="823" t="s">
        <v>583</v>
      </c>
      <c r="G30" s="824"/>
      <c r="H30" s="816"/>
      <c r="I30" s="816"/>
    </row>
    <row r="31" spans="1:9" s="825" customFormat="1" ht="19.5" customHeight="1">
      <c r="A31" s="3571"/>
      <c r="B31" s="3571"/>
      <c r="C31" s="821" t="s">
        <v>584</v>
      </c>
      <c r="D31" s="822"/>
      <c r="E31" s="820">
        <v>0.8</v>
      </c>
      <c r="F31" s="823" t="s">
        <v>585</v>
      </c>
      <c r="G31" s="824"/>
      <c r="H31" s="816"/>
      <c r="I31" s="816"/>
    </row>
    <row r="32" spans="1:9" s="825" customFormat="1" ht="19.5" customHeight="1">
      <c r="A32" s="3571"/>
      <c r="B32" s="3571"/>
      <c r="C32" s="821" t="s">
        <v>586</v>
      </c>
      <c r="D32" s="822"/>
      <c r="E32" s="820">
        <v>0.8</v>
      </c>
      <c r="F32" s="823" t="s">
        <v>587</v>
      </c>
      <c r="G32" s="824"/>
      <c r="H32" s="816"/>
      <c r="I32" s="816"/>
    </row>
    <row r="33" spans="1:9" s="825" customFormat="1" ht="19.5" customHeight="1">
      <c r="A33" s="3571" t="s">
        <v>185</v>
      </c>
      <c r="B33" s="820" t="s">
        <v>560</v>
      </c>
      <c r="C33" s="821" t="s">
        <v>588</v>
      </c>
      <c r="D33" s="822"/>
      <c r="E33" s="820">
        <v>1</v>
      </c>
      <c r="F33" s="823" t="s">
        <v>589</v>
      </c>
      <c r="G33" s="824"/>
      <c r="H33" s="816"/>
      <c r="I33" s="816"/>
    </row>
    <row r="34" spans="1:9" s="825" customFormat="1" ht="19.5" customHeight="1">
      <c r="A34" s="3571"/>
      <c r="B34" s="820" t="s">
        <v>563</v>
      </c>
      <c r="C34" s="821" t="s">
        <v>590</v>
      </c>
      <c r="D34" s="822"/>
      <c r="E34" s="820">
        <v>1.5</v>
      </c>
      <c r="F34" s="823" t="s">
        <v>591</v>
      </c>
      <c r="G34" s="824"/>
      <c r="H34" s="816"/>
      <c r="I34" s="816"/>
    </row>
    <row r="35" spans="1:9" s="825" customFormat="1" ht="19.5" customHeight="1">
      <c r="A35" s="3571" t="s">
        <v>186</v>
      </c>
      <c r="B35" s="820" t="s">
        <v>560</v>
      </c>
      <c r="C35" s="821" t="s">
        <v>592</v>
      </c>
      <c r="D35" s="822"/>
      <c r="E35" s="820">
        <v>1</v>
      </c>
      <c r="F35" s="823" t="s">
        <v>593</v>
      </c>
      <c r="G35" s="824"/>
      <c r="H35" s="816"/>
      <c r="I35" s="816"/>
    </row>
    <row r="36" spans="1:9" s="825" customFormat="1" ht="19.5" customHeight="1">
      <c r="A36" s="3571"/>
      <c r="B36" s="3571" t="s">
        <v>563</v>
      </c>
      <c r="C36" s="821" t="s">
        <v>594</v>
      </c>
      <c r="D36" s="822"/>
      <c r="E36" s="820">
        <v>1</v>
      </c>
      <c r="F36" s="823" t="s">
        <v>595</v>
      </c>
      <c r="G36" s="824"/>
      <c r="H36" s="816"/>
      <c r="I36" s="816"/>
    </row>
    <row r="37" spans="1:9" s="825" customFormat="1" ht="19.5" customHeight="1">
      <c r="A37" s="3571"/>
      <c r="B37" s="3571"/>
      <c r="C37" s="821" t="s">
        <v>596</v>
      </c>
      <c r="D37" s="822"/>
      <c r="E37" s="820">
        <v>1.5</v>
      </c>
      <c r="F37" s="823" t="s">
        <v>597</v>
      </c>
      <c r="G37" s="824"/>
      <c r="H37" s="816"/>
      <c r="I37" s="816"/>
    </row>
    <row r="38" spans="1:9" s="825" customFormat="1" ht="19.5" customHeight="1">
      <c r="A38" s="3571"/>
      <c r="B38" s="3571"/>
      <c r="C38" s="821" t="s">
        <v>598</v>
      </c>
      <c r="D38" s="822"/>
      <c r="E38" s="820">
        <v>1</v>
      </c>
      <c r="F38" s="823" t="s">
        <v>599</v>
      </c>
      <c r="G38" s="824"/>
      <c r="H38" s="816"/>
      <c r="I38" s="816"/>
    </row>
    <row r="39" spans="1:9" s="825" customFormat="1" ht="19.5" customHeight="1">
      <c r="A39" s="3571"/>
      <c r="B39" s="357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71" t="s">
        <v>614</v>
      </c>
      <c r="C61" s="756" t="s">
        <v>615</v>
      </c>
      <c r="D61" s="756" t="s">
        <v>616</v>
      </c>
      <c r="E61" s="833">
        <v>0.5</v>
      </c>
      <c r="F61" s="820">
        <v>80</v>
      </c>
    </row>
    <row r="62" spans="1:8" s="816" customFormat="1" ht="24">
      <c r="A62" s="820">
        <v>2</v>
      </c>
      <c r="B62" s="3571"/>
      <c r="C62" s="756" t="s">
        <v>617</v>
      </c>
      <c r="D62" s="756" t="s">
        <v>618</v>
      </c>
      <c r="E62" s="833">
        <v>0.5</v>
      </c>
      <c r="F62" s="820">
        <v>80</v>
      </c>
    </row>
    <row r="63" spans="1:8" s="816" customFormat="1" ht="36">
      <c r="A63" s="820">
        <v>3</v>
      </c>
      <c r="B63" s="3571"/>
      <c r="C63" s="756" t="s">
        <v>619</v>
      </c>
      <c r="D63" s="756" t="s">
        <v>620</v>
      </c>
      <c r="E63" s="833">
        <v>0.5</v>
      </c>
      <c r="F63" s="820">
        <v>80</v>
      </c>
    </row>
    <row r="64" spans="1:8" s="816" customFormat="1" ht="36">
      <c r="A64" s="820">
        <v>4</v>
      </c>
      <c r="B64" s="3571"/>
      <c r="C64" s="756" t="s">
        <v>621</v>
      </c>
      <c r="D64" s="756" t="s">
        <v>622</v>
      </c>
      <c r="E64" s="833">
        <v>0.4</v>
      </c>
      <c r="F64" s="820">
        <v>60</v>
      </c>
    </row>
    <row r="65" spans="1:6" s="816" customFormat="1" ht="36">
      <c r="A65" s="820">
        <v>5</v>
      </c>
      <c r="B65" s="3571"/>
      <c r="C65" s="756" t="s">
        <v>623</v>
      </c>
      <c r="D65" s="756" t="s">
        <v>624</v>
      </c>
      <c r="E65" s="833">
        <v>0.2</v>
      </c>
      <c r="F65" s="820">
        <v>30</v>
      </c>
    </row>
    <row r="66" spans="1:6" s="816" customFormat="1" ht="36">
      <c r="A66" s="820">
        <v>6</v>
      </c>
      <c r="B66" s="3571"/>
      <c r="C66" s="756" t="s">
        <v>625</v>
      </c>
      <c r="D66" s="756" t="s">
        <v>626</v>
      </c>
      <c r="E66" s="833">
        <v>0.3</v>
      </c>
      <c r="F66" s="820">
        <v>50</v>
      </c>
    </row>
    <row r="67" spans="1:6" s="816" customFormat="1" ht="36">
      <c r="A67" s="820">
        <v>7</v>
      </c>
      <c r="B67" s="3571"/>
      <c r="C67" s="756" t="s">
        <v>627</v>
      </c>
      <c r="D67" s="756" t="s">
        <v>628</v>
      </c>
      <c r="E67" s="833">
        <v>0.2</v>
      </c>
      <c r="F67" s="820">
        <v>30</v>
      </c>
    </row>
    <row r="68" spans="1:6" s="816" customFormat="1" ht="36">
      <c r="A68" s="820">
        <v>8</v>
      </c>
      <c r="B68" s="3571"/>
      <c r="C68" s="756" t="s">
        <v>629</v>
      </c>
      <c r="D68" s="756" t="s">
        <v>630</v>
      </c>
      <c r="E68" s="833">
        <v>0.2</v>
      </c>
      <c r="F68" s="820">
        <v>30</v>
      </c>
    </row>
    <row r="69" spans="1:6" s="816" customFormat="1" ht="36">
      <c r="A69" s="820">
        <v>9</v>
      </c>
      <c r="B69" s="3571"/>
      <c r="C69" s="756" t="s">
        <v>631</v>
      </c>
      <c r="D69" s="756" t="s">
        <v>632</v>
      </c>
      <c r="E69" s="833">
        <v>0.2</v>
      </c>
      <c r="F69" s="820">
        <v>30</v>
      </c>
    </row>
    <row r="70" spans="1:6" s="816" customFormat="1" ht="48">
      <c r="A70" s="820">
        <v>10</v>
      </c>
      <c r="B70" s="3571"/>
      <c r="C70" s="756" t="s">
        <v>633</v>
      </c>
      <c r="D70" s="756" t="s">
        <v>634</v>
      </c>
      <c r="E70" s="833">
        <v>0.2</v>
      </c>
      <c r="F70" s="820">
        <v>30</v>
      </c>
    </row>
    <row r="71" spans="1:6" s="816" customFormat="1" ht="48">
      <c r="A71" s="820">
        <v>11</v>
      </c>
      <c r="B71" s="3571"/>
      <c r="C71" s="756" t="s">
        <v>635</v>
      </c>
      <c r="D71" s="756" t="s">
        <v>636</v>
      </c>
      <c r="E71" s="833">
        <v>0.2</v>
      </c>
      <c r="F71" s="820">
        <v>30</v>
      </c>
    </row>
    <row r="72" spans="1:6" s="816" customFormat="1" ht="36">
      <c r="A72" s="820">
        <v>12</v>
      </c>
      <c r="B72" s="3571"/>
      <c r="C72" s="756" t="s">
        <v>637</v>
      </c>
      <c r="D72" s="756" t="s">
        <v>638</v>
      </c>
      <c r="E72" s="833">
        <v>0.5</v>
      </c>
      <c r="F72" s="820">
        <v>80</v>
      </c>
    </row>
    <row r="73" spans="1:6" s="816" customFormat="1" ht="24">
      <c r="A73" s="820">
        <v>13</v>
      </c>
      <c r="B73" s="3571"/>
      <c r="C73" s="756" t="s">
        <v>639</v>
      </c>
      <c r="D73" s="756" t="s">
        <v>640</v>
      </c>
      <c r="E73" s="833">
        <v>0.4</v>
      </c>
      <c r="F73" s="820">
        <v>60</v>
      </c>
    </row>
    <row r="74" spans="1:6" s="816" customFormat="1" ht="24">
      <c r="A74" s="820">
        <v>14</v>
      </c>
      <c r="B74" s="3571"/>
      <c r="C74" s="756" t="s">
        <v>641</v>
      </c>
      <c r="D74" s="756" t="s">
        <v>642</v>
      </c>
      <c r="E74" s="833">
        <v>0.2</v>
      </c>
      <c r="F74" s="820">
        <v>30</v>
      </c>
    </row>
    <row r="75" spans="1:6" s="816" customFormat="1" ht="24">
      <c r="A75" s="820">
        <v>15</v>
      </c>
      <c r="B75" s="3571"/>
      <c r="C75" s="756" t="s">
        <v>643</v>
      </c>
      <c r="D75" s="756" t="s">
        <v>644</v>
      </c>
      <c r="E75" s="833">
        <v>0.2</v>
      </c>
      <c r="F75" s="820">
        <v>30</v>
      </c>
    </row>
    <row r="76" spans="1:6" s="816" customFormat="1" ht="24">
      <c r="A76" s="820">
        <v>16</v>
      </c>
      <c r="B76" s="3571" t="s">
        <v>645</v>
      </c>
      <c r="C76" s="756" t="s">
        <v>646</v>
      </c>
      <c r="D76" s="756" t="s">
        <v>647</v>
      </c>
      <c r="E76" s="833">
        <v>0.5</v>
      </c>
      <c r="F76" s="820">
        <v>80</v>
      </c>
    </row>
    <row r="77" spans="1:6" s="816" customFormat="1" ht="24">
      <c r="A77" s="820">
        <v>17</v>
      </c>
      <c r="B77" s="3571"/>
      <c r="C77" s="756" t="s">
        <v>648</v>
      </c>
      <c r="D77" s="756" t="s">
        <v>649</v>
      </c>
      <c r="E77" s="833">
        <v>0.5</v>
      </c>
      <c r="F77" s="820">
        <v>80</v>
      </c>
    </row>
    <row r="78" spans="1:6" s="816" customFormat="1" ht="24">
      <c r="A78" s="820">
        <v>18</v>
      </c>
      <c r="B78" s="3571"/>
      <c r="C78" s="756" t="s">
        <v>650</v>
      </c>
      <c r="D78" s="756" t="s">
        <v>651</v>
      </c>
      <c r="E78" s="833">
        <v>0.2</v>
      </c>
      <c r="F78" s="820">
        <v>30</v>
      </c>
    </row>
    <row r="79" spans="1:6" s="816" customFormat="1" ht="24">
      <c r="A79" s="820">
        <v>19</v>
      </c>
      <c r="B79" s="3571"/>
      <c r="C79" s="756" t="s">
        <v>652</v>
      </c>
      <c r="D79" s="756" t="s">
        <v>653</v>
      </c>
      <c r="E79" s="833">
        <v>0.5</v>
      </c>
      <c r="F79" s="820">
        <v>80</v>
      </c>
    </row>
    <row r="80" spans="1:6" s="816" customFormat="1" ht="36">
      <c r="A80" s="820">
        <v>20</v>
      </c>
      <c r="B80" s="3571"/>
      <c r="C80" s="756" t="s">
        <v>654</v>
      </c>
      <c r="D80" s="756" t="s">
        <v>655</v>
      </c>
      <c r="E80" s="833">
        <v>0.2</v>
      </c>
      <c r="F80" s="820">
        <v>30</v>
      </c>
    </row>
    <row r="81" spans="1:6" s="816" customFormat="1" ht="36">
      <c r="A81" s="820">
        <v>21</v>
      </c>
      <c r="B81" s="3571"/>
      <c r="C81" s="756" t="s">
        <v>656</v>
      </c>
      <c r="D81" s="756" t="s">
        <v>657</v>
      </c>
      <c r="E81" s="833">
        <v>0.2</v>
      </c>
      <c r="F81" s="820">
        <v>30</v>
      </c>
    </row>
    <row r="82" spans="1:6" s="816" customFormat="1" ht="48">
      <c r="A82" s="820">
        <v>22</v>
      </c>
      <c r="B82" s="3571"/>
      <c r="C82" s="756" t="s">
        <v>658</v>
      </c>
      <c r="D82" s="756" t="s">
        <v>659</v>
      </c>
      <c r="E82" s="833">
        <v>0.2</v>
      </c>
      <c r="F82" s="820">
        <v>30</v>
      </c>
    </row>
    <row r="83" spans="1:6" s="816" customFormat="1" ht="48">
      <c r="A83" s="820">
        <v>23</v>
      </c>
      <c r="B83" s="3571"/>
      <c r="C83" s="756" t="s">
        <v>660</v>
      </c>
      <c r="D83" s="756" t="s">
        <v>661</v>
      </c>
      <c r="E83" s="833">
        <v>0.2</v>
      </c>
      <c r="F83" s="820">
        <v>30</v>
      </c>
    </row>
    <row r="84" spans="1:6" s="816" customFormat="1" ht="36">
      <c r="A84" s="820">
        <v>24</v>
      </c>
      <c r="B84" s="3571"/>
      <c r="C84" s="756" t="s">
        <v>662</v>
      </c>
      <c r="D84" s="756" t="s">
        <v>663</v>
      </c>
      <c r="E84" s="833">
        <v>0.2</v>
      </c>
      <c r="F84" s="820">
        <v>30</v>
      </c>
    </row>
    <row r="85" spans="1:6" s="816" customFormat="1" ht="36">
      <c r="A85" s="820">
        <v>25</v>
      </c>
      <c r="B85" s="3571"/>
      <c r="C85" s="756" t="s">
        <v>664</v>
      </c>
      <c r="D85" s="756" t="s">
        <v>665</v>
      </c>
      <c r="E85" s="833">
        <v>0.5</v>
      </c>
      <c r="F85" s="820">
        <v>80</v>
      </c>
    </row>
    <row r="86" spans="1:6" s="816" customFormat="1" ht="36">
      <c r="A86" s="820">
        <v>26</v>
      </c>
      <c r="B86" s="3571"/>
      <c r="C86" s="756" t="s">
        <v>666</v>
      </c>
      <c r="D86" s="756" t="s">
        <v>667</v>
      </c>
      <c r="E86" s="833">
        <v>0.2</v>
      </c>
      <c r="F86" s="820">
        <v>30</v>
      </c>
    </row>
    <row r="87" spans="1:6" s="816" customFormat="1" ht="36">
      <c r="A87" s="820">
        <v>27</v>
      </c>
      <c r="B87" s="3571"/>
      <c r="C87" s="756" t="s">
        <v>668</v>
      </c>
      <c r="D87" s="756" t="s">
        <v>669</v>
      </c>
      <c r="E87" s="833">
        <v>0.2</v>
      </c>
      <c r="F87" s="820">
        <v>30</v>
      </c>
    </row>
    <row r="88" spans="1:6" s="816" customFormat="1" ht="36">
      <c r="A88" s="820">
        <v>28</v>
      </c>
      <c r="B88" s="3571"/>
      <c r="C88" s="756" t="s">
        <v>670</v>
      </c>
      <c r="D88" s="756" t="s">
        <v>671</v>
      </c>
      <c r="E88" s="833">
        <v>0.2</v>
      </c>
      <c r="F88" s="820">
        <v>30</v>
      </c>
    </row>
    <row r="89" spans="1:6" s="816" customFormat="1" ht="24">
      <c r="A89" s="820">
        <v>29</v>
      </c>
      <c r="B89" s="3571"/>
      <c r="C89" s="756" t="s">
        <v>672</v>
      </c>
      <c r="D89" s="756" t="s">
        <v>673</v>
      </c>
      <c r="E89" s="833">
        <v>0.2</v>
      </c>
      <c r="F89" s="820">
        <v>30</v>
      </c>
    </row>
    <row r="90" spans="1:6" s="816" customFormat="1" ht="24">
      <c r="A90" s="820">
        <v>30</v>
      </c>
      <c r="B90" s="3571"/>
      <c r="C90" s="756" t="s">
        <v>674</v>
      </c>
      <c r="D90" s="756" t="s">
        <v>675</v>
      </c>
      <c r="E90" s="833">
        <v>0.2</v>
      </c>
      <c r="F90" s="820">
        <v>30</v>
      </c>
    </row>
    <row r="91" spans="1:6" s="816" customFormat="1" ht="36">
      <c r="A91" s="820">
        <v>31</v>
      </c>
      <c r="B91" s="3571"/>
      <c r="C91" s="756" t="s">
        <v>676</v>
      </c>
      <c r="D91" s="756" t="s">
        <v>677</v>
      </c>
      <c r="E91" s="833">
        <v>0.2</v>
      </c>
      <c r="F91" s="820">
        <v>30</v>
      </c>
    </row>
    <row r="92" spans="1:6" s="816" customFormat="1" ht="24">
      <c r="A92" s="820">
        <v>32</v>
      </c>
      <c r="B92" s="3571" t="s">
        <v>678</v>
      </c>
      <c r="C92" s="820" t="s">
        <v>679</v>
      </c>
      <c r="D92" s="756" t="s">
        <v>680</v>
      </c>
      <c r="E92" s="833">
        <v>0.2</v>
      </c>
      <c r="F92" s="820">
        <v>30</v>
      </c>
    </row>
    <row r="93" spans="1:6" s="816" customFormat="1" ht="36">
      <c r="A93" s="820">
        <v>33</v>
      </c>
      <c r="B93" s="3571"/>
      <c r="C93" s="820" t="s">
        <v>681</v>
      </c>
      <c r="D93" s="756" t="s">
        <v>682</v>
      </c>
      <c r="E93" s="833">
        <v>0.2</v>
      </c>
      <c r="F93" s="820">
        <v>30</v>
      </c>
    </row>
    <row r="94" spans="1:6" s="816" customFormat="1" ht="48">
      <c r="A94" s="820">
        <v>34</v>
      </c>
      <c r="B94" s="3571"/>
      <c r="C94" s="820" t="s">
        <v>683</v>
      </c>
      <c r="D94" s="756" t="s">
        <v>684</v>
      </c>
      <c r="E94" s="833">
        <v>0.2</v>
      </c>
      <c r="F94" s="820">
        <v>30</v>
      </c>
    </row>
    <row r="95" spans="1:6" s="816" customFormat="1" ht="36">
      <c r="A95" s="820">
        <v>35</v>
      </c>
      <c r="B95" s="3571"/>
      <c r="C95" s="820" t="s">
        <v>685</v>
      </c>
      <c r="D95" s="756" t="s">
        <v>686</v>
      </c>
      <c r="E95" s="833">
        <v>0.2</v>
      </c>
      <c r="F95" s="820">
        <v>30</v>
      </c>
    </row>
    <row r="96" spans="1:6" s="816" customFormat="1" ht="48">
      <c r="A96" s="820">
        <v>36</v>
      </c>
      <c r="B96" s="3571"/>
      <c r="C96" s="756" t="s">
        <v>687</v>
      </c>
      <c r="D96" s="756" t="s">
        <v>688</v>
      </c>
      <c r="E96" s="833">
        <v>0.2</v>
      </c>
      <c r="F96" s="820">
        <v>30</v>
      </c>
    </row>
    <row r="97" spans="1:6" s="816" customFormat="1" ht="36">
      <c r="A97" s="820">
        <v>37</v>
      </c>
      <c r="B97" s="3571"/>
      <c r="C97" s="820" t="s">
        <v>689</v>
      </c>
      <c r="D97" s="756" t="s">
        <v>690</v>
      </c>
      <c r="E97" s="833">
        <v>0.2</v>
      </c>
      <c r="F97" s="820">
        <v>30</v>
      </c>
    </row>
    <row r="98" spans="1:6" s="816" customFormat="1" ht="36">
      <c r="A98" s="820">
        <v>38</v>
      </c>
      <c r="B98" s="3571"/>
      <c r="C98" s="820" t="s">
        <v>691</v>
      </c>
      <c r="D98" s="756" t="s">
        <v>692</v>
      </c>
      <c r="E98" s="833">
        <v>0.2</v>
      </c>
      <c r="F98" s="820">
        <v>30</v>
      </c>
    </row>
    <row r="99" spans="1:6" s="816" customFormat="1" ht="36">
      <c r="A99" s="820">
        <v>39</v>
      </c>
      <c r="B99" s="3571" t="s">
        <v>693</v>
      </c>
      <c r="C99" s="820" t="s">
        <v>694</v>
      </c>
      <c r="D99" s="756" t="s">
        <v>695</v>
      </c>
      <c r="E99" s="833">
        <v>0.3</v>
      </c>
      <c r="F99" s="820">
        <v>50</v>
      </c>
    </row>
    <row r="100" spans="1:6" s="816" customFormat="1" ht="24">
      <c r="A100" s="820">
        <v>40</v>
      </c>
      <c r="B100" s="3571"/>
      <c r="C100" s="820" t="s">
        <v>696</v>
      </c>
      <c r="D100" s="756" t="s">
        <v>697</v>
      </c>
      <c r="E100" s="833">
        <v>0.2</v>
      </c>
      <c r="F100" s="820">
        <v>30</v>
      </c>
    </row>
    <row r="101" spans="1:6" s="816" customFormat="1" ht="36">
      <c r="A101" s="820">
        <v>41</v>
      </c>
      <c r="B101" s="357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71" t="s">
        <v>708</v>
      </c>
      <c r="C105" s="820" t="s">
        <v>709</v>
      </c>
      <c r="D105" s="756" t="s">
        <v>710</v>
      </c>
      <c r="E105" s="833">
        <v>0.2</v>
      </c>
      <c r="F105" s="820">
        <v>30</v>
      </c>
    </row>
    <row r="106" spans="1:6" s="816" customFormat="1" ht="36">
      <c r="A106" s="820">
        <v>46</v>
      </c>
      <c r="B106" s="3571"/>
      <c r="C106" s="820" t="s">
        <v>711</v>
      </c>
      <c r="D106" s="756" t="s">
        <v>712</v>
      </c>
      <c r="E106" s="833">
        <v>0.2</v>
      </c>
      <c r="F106" s="820">
        <v>30</v>
      </c>
    </row>
    <row r="107" spans="1:6" s="816" customFormat="1" ht="36">
      <c r="A107" s="820">
        <v>47</v>
      </c>
      <c r="B107" s="3571" t="s">
        <v>713</v>
      </c>
      <c r="C107" s="820" t="s">
        <v>714</v>
      </c>
      <c r="D107" s="756" t="s">
        <v>715</v>
      </c>
      <c r="E107" s="833">
        <v>0.3</v>
      </c>
      <c r="F107" s="820">
        <v>50</v>
      </c>
    </row>
    <row r="108" spans="1:6" s="816" customFormat="1" ht="36">
      <c r="A108" s="820">
        <v>48</v>
      </c>
      <c r="B108" s="357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71" t="s">
        <v>724</v>
      </c>
      <c r="C111" s="820" t="s">
        <v>725</v>
      </c>
      <c r="D111" s="756" t="s">
        <v>726</v>
      </c>
      <c r="E111" s="833">
        <v>0.2</v>
      </c>
      <c r="F111" s="820">
        <v>30</v>
      </c>
    </row>
    <row r="112" spans="1:6" s="816" customFormat="1" ht="24">
      <c r="A112" s="820">
        <v>52</v>
      </c>
      <c r="B112" s="3571"/>
      <c r="C112" s="820" t="s">
        <v>727</v>
      </c>
      <c r="D112" s="756" t="s">
        <v>728</v>
      </c>
      <c r="E112" s="833">
        <v>0.2</v>
      </c>
      <c r="F112" s="820">
        <v>30</v>
      </c>
    </row>
    <row r="113" spans="1:6" s="816" customFormat="1" ht="24">
      <c r="A113" s="820">
        <v>53</v>
      </c>
      <c r="B113" s="357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71" t="s">
        <v>737</v>
      </c>
      <c r="C116" s="820" t="s">
        <v>738</v>
      </c>
      <c r="D116" s="756" t="s">
        <v>739</v>
      </c>
      <c r="E116" s="833">
        <v>0.2</v>
      </c>
      <c r="F116" s="820">
        <v>30</v>
      </c>
    </row>
    <row r="117" spans="1:6" ht="36">
      <c r="A117" s="820">
        <v>57</v>
      </c>
      <c r="B117" s="357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7" t="s">
        <v>1058</v>
      </c>
      <c r="C1" s="3577"/>
      <c r="D1" s="3577"/>
      <c r="E1" s="3577"/>
      <c r="F1" s="3577"/>
      <c r="G1" s="3573" t="s">
        <v>1059</v>
      </c>
      <c r="H1" s="3573"/>
      <c r="I1" s="3573"/>
      <c r="J1" s="3573"/>
      <c r="K1" s="3573"/>
      <c r="L1" s="3573"/>
      <c r="N1" s="3573" t="s">
        <v>1060</v>
      </c>
      <c r="O1" s="3573"/>
      <c r="P1" s="3573"/>
      <c r="Q1" s="3573"/>
      <c r="S1" s="3573" t="s">
        <v>1061</v>
      </c>
      <c r="T1" s="3573"/>
      <c r="U1" s="3573"/>
      <c r="V1" s="3573"/>
      <c r="X1" s="3572" t="s">
        <v>1062</v>
      </c>
      <c r="Y1" s="3573"/>
      <c r="Z1" s="3573"/>
      <c r="AA1" s="3573"/>
      <c r="AB1" s="3573"/>
      <c r="AD1" s="3572" t="s">
        <v>1063</v>
      </c>
      <c r="AE1" s="3573"/>
      <c r="AF1" s="3573"/>
      <c r="AG1" s="3573"/>
      <c r="AH1" s="357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7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2763</v>
      </c>
      <c r="C1" s="3586" t="s">
        <v>2764</v>
      </c>
      <c r="D1" s="3587"/>
      <c r="E1" s="3587"/>
      <c r="F1" s="3587"/>
      <c r="G1" s="3587"/>
      <c r="H1" s="3587"/>
      <c r="I1" s="3587"/>
      <c r="J1" s="3587"/>
      <c r="K1" s="3587"/>
      <c r="L1" s="3587"/>
      <c r="M1" s="3587"/>
      <c r="N1" s="3587"/>
      <c r="O1" s="3587"/>
      <c r="P1" s="3587"/>
      <c r="Q1" s="3587"/>
      <c r="R1" s="3587"/>
      <c r="S1" s="3588"/>
      <c r="T1" s="1113" t="s">
        <v>2765</v>
      </c>
    </row>
    <row r="2" spans="1:45" s="662" customFormat="1">
      <c r="A2" s="1114"/>
      <c r="B2" s="658" t="s">
        <v>2766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2767</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2768</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2769</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2770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2773</v>
      </c>
      <c r="B17" s="2334"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2775</v>
      </c>
      <c r="E19" s="1493"/>
      <c r="F19" s="1493"/>
      <c r="G19" s="1493"/>
      <c r="H19" s="1189"/>
      <c r="I19" s="163"/>
      <c r="J19" s="163"/>
      <c r="K19" s="163"/>
      <c r="L19" s="163"/>
      <c r="M19" s="163"/>
      <c r="N19" s="163"/>
      <c r="O19" s="163"/>
      <c r="P19" s="163"/>
      <c r="Q19" s="163"/>
      <c r="R19" s="726"/>
      <c r="S19" s="133"/>
    </row>
    <row r="20" spans="1:45" ht="16.5" thickBot="1">
      <c r="A20" s="670" t="s">
        <v>2776</v>
      </c>
      <c r="B20" s="299" t="e">
        <f ca="1">IF(D20="——",S22,S22-F20)</f>
        <v>#REF!</v>
      </c>
      <c r="C20" s="163"/>
      <c r="D20" s="2336"/>
      <c r="E20" s="1494"/>
      <c r="F20" s="1113" t="e">
        <f ca="1">SUMIF(INDIRECT("'"&amp;H20&amp;"'"&amp;"!A:A"),"承租人权益价值",INDIRECT("'"&amp;H20&amp;"'"&amp;"!c:c"))</f>
        <v>#REF!</v>
      </c>
      <c r="G20" s="1113" t="s">
        <v>2777</v>
      </c>
      <c r="H20" s="2337"/>
      <c r="I20" s="163"/>
      <c r="J20" s="163"/>
      <c r="K20" s="163"/>
      <c r="L20" s="163"/>
      <c r="M20" s="163"/>
      <c r="N20" s="163"/>
      <c r="O20" s="163"/>
      <c r="P20" s="163"/>
      <c r="Q20" s="163"/>
      <c r="R20" s="726"/>
      <c r="S20" s="133"/>
    </row>
    <row r="21" spans="1:45" ht="15.75">
      <c r="A21" s="670" t="s">
        <v>2778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2779</v>
      </c>
      <c r="B22" s="24">
        <f>SUM(B24:B10000)</f>
        <v>100</v>
      </c>
      <c r="C22" s="3583" t="s">
        <v>33</v>
      </c>
      <c r="D22" s="3584"/>
      <c r="E22" s="3584"/>
      <c r="F22" s="3584"/>
      <c r="G22" s="3584"/>
      <c r="H22" s="3584"/>
      <c r="I22" s="3584"/>
      <c r="J22" s="3584"/>
      <c r="K22" s="3584"/>
      <c r="L22" s="3584"/>
      <c r="M22" s="3584"/>
      <c r="N22" s="3584"/>
      <c r="O22" s="3584"/>
      <c r="P22" s="3584"/>
      <c r="Q22" s="3585"/>
      <c r="R22" s="671">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2" t="s">
        <v>2783</v>
      </c>
      <c r="S23" s="11" t="s">
        <v>2784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2785</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47"/>
      <c r="B4" s="3257" t="s">
        <v>1535</v>
      </c>
      <c r="C4" s="3257"/>
      <c r="D4" s="3257"/>
      <c r="E4" s="1647"/>
    </row>
    <row r="5" spans="1:5" ht="16.5" thickTop="1">
      <c r="A5" s="1645"/>
      <c r="B5" s="3255" t="s">
        <v>1527</v>
      </c>
      <c r="C5" s="1648" t="s">
        <v>1528</v>
      </c>
      <c r="D5" s="958" t="e">
        <f ca="1">结果表!H101</f>
        <v>#REF!</v>
      </c>
      <c r="E5" s="1645"/>
    </row>
    <row r="6" spans="1:5" ht="15.75">
      <c r="A6" s="1645"/>
      <c r="B6" s="3255"/>
      <c r="C6" s="1648" t="s">
        <v>1529</v>
      </c>
      <c r="D6" s="958" t="e">
        <f ca="1">NUMBERSTRING(INT(D5*10000),2)&amp;"元整"</f>
        <v>#REF!</v>
      </c>
      <c r="E6" s="1645"/>
    </row>
    <row r="7" spans="1:5" ht="15.75">
      <c r="A7" s="1645"/>
      <c r="B7" s="3260"/>
      <c r="C7" s="1649" t="s">
        <v>1530</v>
      </c>
      <c r="D7" s="959" t="e">
        <f ca="1">结果表!H102</f>
        <v>#REF!</v>
      </c>
      <c r="E7" s="1645"/>
    </row>
    <row r="8" spans="1:5" ht="15.75">
      <c r="A8" s="1645"/>
      <c r="B8" s="3261" t="str">
        <f>结果表!E103</f>
        <v>2.估价师知悉的法定优先受偿款</v>
      </c>
      <c r="C8" s="1650" t="s">
        <v>1531</v>
      </c>
      <c r="D8" s="959">
        <f>结果表!H103</f>
        <v>0</v>
      </c>
      <c r="E8" s="1645"/>
    </row>
    <row r="9" spans="1:5" ht="15.75">
      <c r="A9" s="1645"/>
      <c r="B9" s="3263"/>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54" t="str">
        <f>结果表!E107</f>
        <v>3.房地产抵押价值</v>
      </c>
      <c r="C13" s="1653" t="s">
        <v>1528</v>
      </c>
      <c r="D13" s="961" t="e">
        <f ca="1">结果表!H107</f>
        <v>#REF!</v>
      </c>
      <c r="E13" s="1645"/>
    </row>
    <row r="14" spans="1:5" ht="15.75">
      <c r="A14" s="1645"/>
      <c r="B14" s="3255"/>
      <c r="C14" s="1648" t="s">
        <v>1529</v>
      </c>
      <c r="D14" s="958" t="e">
        <f ca="1">NUMBERSTRING(INT(D13*10000),2)&amp;"元整"</f>
        <v>#REF!</v>
      </c>
      <c r="E14" s="1645"/>
    </row>
    <row r="15" spans="1:5" ht="15">
      <c r="A15" s="1645"/>
      <c r="B15" s="3260"/>
      <c r="C15" s="1649" t="s">
        <v>1539</v>
      </c>
      <c r="D15" s="967" t="e">
        <f ca="1">结果表!H108</f>
        <v>#REF!</v>
      </c>
      <c r="E15" s="1645"/>
    </row>
    <row r="16" spans="1:5" ht="15">
      <c r="A16" s="1645"/>
      <c r="B16" s="3261" t="str">
        <f>结果表!E109</f>
        <v>——</v>
      </c>
      <c r="C16" s="1653" t="s">
        <v>1540</v>
      </c>
      <c r="D16" s="1654" t="str">
        <f>结果表!H109</f>
        <v>——</v>
      </c>
      <c r="E16" s="1645"/>
    </row>
    <row r="17" spans="1:5" ht="15.75">
      <c r="A17" s="1645"/>
      <c r="B17" s="3262"/>
      <c r="C17" s="1648" t="s">
        <v>1541</v>
      </c>
      <c r="D17" s="958" t="e">
        <f>NUMBERSTRING(INT(D16*10000),2)&amp;"元整"</f>
        <v>#VALUE!</v>
      </c>
      <c r="E17" s="1645"/>
    </row>
    <row r="18" spans="1:5" ht="15">
      <c r="A18" s="1645"/>
      <c r="B18" s="3263"/>
      <c r="C18" s="1649" t="s">
        <v>1530</v>
      </c>
      <c r="D18" s="967" t="str">
        <f>结果表!H110</f>
        <v>——</v>
      </c>
      <c r="E18" s="1645"/>
    </row>
    <row r="19" spans="1:5" ht="15.75">
      <c r="A19" s="1645"/>
      <c r="B19" s="3254" t="str">
        <f>结果表!E111</f>
        <v>——</v>
      </c>
      <c r="C19" s="1653" t="s">
        <v>1528</v>
      </c>
      <c r="D19" s="959" t="str">
        <f>结果表!H111</f>
        <v>——</v>
      </c>
      <c r="E19" s="1645"/>
    </row>
    <row r="20" spans="1:5" ht="15.75">
      <c r="A20" s="1645"/>
      <c r="B20" s="3255"/>
      <c r="C20" s="1648" t="s">
        <v>1541</v>
      </c>
      <c r="D20" s="958" t="e">
        <f>NUMBERSTRING(INT(D19*10000),2)&amp;"元整"</f>
        <v>#VALUE!</v>
      </c>
      <c r="E20" s="1645"/>
    </row>
    <row r="21" spans="1:5" ht="15.75" thickBot="1">
      <c r="A21" s="1645"/>
      <c r="B21" s="3256"/>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30524</v>
      </c>
      <c r="C2" s="2" t="s">
        <v>133</v>
      </c>
      <c r="D2" s="204"/>
      <c r="E2" s="204"/>
      <c r="F2" s="204"/>
      <c r="G2" s="204"/>
    </row>
    <row r="3" spans="1:7" s="205" customFormat="1" ht="18" customHeight="1" thickBot="1">
      <c r="A3" s="208" t="s">
        <v>85</v>
      </c>
      <c r="B3" s="209">
        <f ca="1">ROUND(B2*10000/'数据-汇总表'!E3,0)</f>
        <v>9080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504</v>
      </c>
      <c r="D9" s="953">
        <f>'数据-汇总表'!E5</f>
        <v>31485.47</v>
      </c>
      <c r="E9" s="230">
        <f>'数据-取费表'!B27</f>
        <v>160</v>
      </c>
      <c r="F9" s="226"/>
      <c r="G9" s="231"/>
    </row>
    <row r="10" spans="1:7" s="219" customFormat="1" ht="13.5" customHeight="1">
      <c r="A10" s="886" t="s">
        <v>801</v>
      </c>
      <c r="B10" s="229" t="s">
        <v>94</v>
      </c>
      <c r="C10" s="230">
        <f>ROUND(D10*E10/10000,0)</f>
        <v>43</v>
      </c>
      <c r="D10" s="953">
        <f>'数据-汇总表'!E6</f>
        <v>2131.7799999999988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672</v>
      </c>
      <c r="D19" s="957">
        <f>'数据-汇总表'!E3</f>
        <v>33617.25</v>
      </c>
      <c r="E19" s="216">
        <f>'数据-取费表'!B31</f>
        <v>200</v>
      </c>
      <c r="F19" s="236"/>
      <c r="G19" s="1" t="s">
        <v>1042</v>
      </c>
    </row>
    <row r="20" spans="1:7" s="219" customFormat="1" ht="13.5" customHeight="1">
      <c r="A20" s="884" t="s">
        <v>1025</v>
      </c>
      <c r="B20" s="215" t="s">
        <v>104</v>
      </c>
      <c r="C20" s="237">
        <f>ROUND((C5+C19)*F20,0)</f>
        <v>426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457</v>
      </c>
      <c r="D22" s="240">
        <f ca="1">C26</f>
        <v>2.0000000000000001E-4</v>
      </c>
      <c r="E22" s="241" t="s">
        <v>126</v>
      </c>
      <c r="F22" s="242">
        <f ca="1">'数据-取费表'!B40</f>
        <v>4.2999999999999997E-2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438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14</v>
      </c>
      <c r="D24" s="243"/>
      <c r="E24" s="243"/>
      <c r="F24" s="244"/>
      <c r="G24" s="245" t="s">
        <v>109</v>
      </c>
    </row>
    <row r="25" spans="1:7" s="219" customFormat="1" ht="24">
      <c r="A25" s="887" t="s">
        <v>793</v>
      </c>
      <c r="B25" s="220" t="s">
        <v>1026</v>
      </c>
      <c r="C25" s="1236">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814</v>
      </c>
      <c r="D27" s="240">
        <f>C29</f>
        <v>8.0000000000000004E-4</v>
      </c>
      <c r="E27" s="241" t="s">
        <v>126</v>
      </c>
      <c r="F27" s="251">
        <f>'数据-取费表'!Q16</f>
        <v>0.15</v>
      </c>
      <c r="G27" s="252" t="s">
        <v>1037</v>
      </c>
    </row>
    <row r="28" spans="1:7" s="219" customFormat="1" ht="13.5" customHeight="1">
      <c r="A28" s="887" t="s">
        <v>794</v>
      </c>
      <c r="B28" s="253" t="s">
        <v>1030</v>
      </c>
      <c r="C28" s="254">
        <f>ROUND((C5+C19+C20)*F27*'数据-取费表'!B21/'数据-取费表'!B20,0)</f>
        <v>814</v>
      </c>
      <c r="D28" s="240"/>
      <c r="E28" s="241"/>
      <c r="F28" s="251"/>
      <c r="G28" s="252"/>
    </row>
    <row r="29" spans="1:7" s="219" customFormat="1" ht="13.5" customHeight="1">
      <c r="A29" s="887" t="s">
        <v>792</v>
      </c>
      <c r="B29" s="253" t="s">
        <v>1031</v>
      </c>
      <c r="C29" s="243">
        <f>ROUND(C21*F27*'数据-取费表'!B21/'数据-取费表'!B20,4)</f>
        <v>8.0000000000000004E-4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24824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4447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3861</v>
      </c>
      <c r="D34" s="222"/>
      <c r="E34" s="225"/>
      <c r="F34" s="262">
        <f>IF('数据-取费表'!B24=0,1,'数据-取费表'!N16)</f>
        <v>0.36</v>
      </c>
      <c r="G34" s="224" t="s">
        <v>116</v>
      </c>
    </row>
    <row r="35" spans="1:7" ht="13.5" customHeight="1">
      <c r="A35" s="887" t="s">
        <v>796</v>
      </c>
      <c r="B35" s="220" t="s">
        <v>60</v>
      </c>
      <c r="C35" s="225">
        <f>ROUND(C34*F35,0)</f>
        <v>116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170</v>
      </c>
      <c r="D36" s="225"/>
      <c r="E36" s="225"/>
      <c r="F36" s="264">
        <f>'数据-取费表'!B34</f>
        <v>0.05</v>
      </c>
      <c r="G36" s="265" t="s">
        <v>62</v>
      </c>
    </row>
    <row r="37" spans="1:7" s="263" customFormat="1" ht="13.5" customHeight="1">
      <c r="A37" s="887" t="s">
        <v>798</v>
      </c>
      <c r="B37" s="220" t="s">
        <v>118</v>
      </c>
      <c r="C37" s="254">
        <f>ROUND(E37*D37*F34/10000,0)</f>
        <v>242</v>
      </c>
      <c r="D37" s="222">
        <f>'数据-汇总表'!E3</f>
        <v>33617.25</v>
      </c>
      <c r="E37" s="254">
        <f>'数据-取费表'!B35</f>
        <v>200</v>
      </c>
      <c r="F37" s="264"/>
      <c r="G37" s="266" t="s">
        <v>119</v>
      </c>
    </row>
    <row r="38" spans="1:7" ht="13.5" customHeight="1">
      <c r="A38" s="887" t="s">
        <v>799</v>
      </c>
      <c r="B38" s="220" t="s">
        <v>63</v>
      </c>
      <c r="C38" s="225">
        <f>ROUND(C34*F38,0)</f>
        <v>58</v>
      </c>
      <c r="D38" s="225"/>
      <c r="E38" s="225"/>
      <c r="F38" s="264">
        <f>'数据-取费表'!B36</f>
        <v>1.4999999999999999E-2</v>
      </c>
      <c r="G38" s="224" t="s">
        <v>117</v>
      </c>
    </row>
    <row r="39" spans="1:7" s="219" customFormat="1" ht="13.5" customHeight="1">
      <c r="A39" s="884" t="s">
        <v>783</v>
      </c>
      <c r="B39" s="215" t="s">
        <v>104</v>
      </c>
      <c r="C39" s="237">
        <f>ROUND(C33*F20,0)</f>
        <v>89</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48</v>
      </c>
      <c r="D41" s="240">
        <f ca="1">C44</f>
        <v>2.0000000000000001E-4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47</v>
      </c>
      <c r="D42" s="243"/>
      <c r="E42" s="243"/>
      <c r="F42" s="244"/>
      <c r="G42" s="3442" t="s">
        <v>121</v>
      </c>
    </row>
    <row r="43" spans="1:7" ht="13.5" customHeight="1">
      <c r="A43" s="887" t="s">
        <v>792</v>
      </c>
      <c r="B43" s="220" t="s">
        <v>1032</v>
      </c>
      <c r="C43" s="243">
        <f ca="1">ROUND(IF('数据-取费表'!B22&lt;=1,C39*F22*'数据-取费表'!B21/2,C39*(POWER((1+F22),'数据-取费表'!B21/2)-1)),0)</f>
        <v>1</v>
      </c>
      <c r="D43" s="243"/>
      <c r="E43" s="243"/>
      <c r="F43" s="244"/>
      <c r="G43" s="3443"/>
    </row>
    <row r="44" spans="1:7" ht="13.5" customHeight="1">
      <c r="A44" s="887" t="s">
        <v>793</v>
      </c>
      <c r="B44" s="220" t="s">
        <v>1034</v>
      </c>
      <c r="C44" s="243">
        <f ca="1">ROUND(IF('数据-取费表'!B22&lt;=1,C40*F22*'数据-取费表'!B21/2,C40*(POWER((1+F22),'数据-取费表'!B21/2)-1)),4)</f>
        <v>2.0000000000000001E-4</v>
      </c>
      <c r="D44" s="243"/>
      <c r="E44" s="243"/>
      <c r="F44" s="244"/>
      <c r="G44" s="3444"/>
    </row>
    <row r="45" spans="1:7" s="219" customFormat="1" ht="13.5" customHeight="1">
      <c r="A45" s="884" t="s">
        <v>786</v>
      </c>
      <c r="B45" s="249" t="s">
        <v>112</v>
      </c>
      <c r="C45" s="250">
        <f>C46</f>
        <v>680</v>
      </c>
      <c r="D45" s="240">
        <f>C47</f>
        <v>3.0000000000000001E-3</v>
      </c>
      <c r="E45" s="241" t="s">
        <v>129</v>
      </c>
      <c r="F45" s="251"/>
      <c r="G45" s="252" t="s">
        <v>1040</v>
      </c>
    </row>
    <row r="46" spans="1:7" s="219" customFormat="1" ht="13.5" customHeight="1">
      <c r="A46" s="887" t="s">
        <v>794</v>
      </c>
      <c r="B46" s="253" t="s">
        <v>1033</v>
      </c>
      <c r="C46" s="254">
        <f>ROUND((C33+C39)*F27,0)</f>
        <v>680</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5700</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5700</v>
      </c>
      <c r="D51" s="237"/>
      <c r="E51" s="237"/>
      <c r="F51" s="269"/>
      <c r="G51" s="239" t="s">
        <v>64</v>
      </c>
    </row>
    <row r="52" spans="1:7" s="213" customFormat="1" ht="16.5" thickBot="1">
      <c r="A52" s="270" t="s">
        <v>65</v>
      </c>
      <c r="B52" s="271"/>
      <c r="C52" s="272">
        <f ca="1">C31+C51</f>
        <v>30524</v>
      </c>
      <c r="D52" s="271"/>
      <c r="E52" s="271"/>
      <c r="F52" s="271"/>
      <c r="G52" s="273"/>
    </row>
    <row r="55" spans="1:7" ht="15">
      <c r="B55" s="275" t="s">
        <v>66</v>
      </c>
      <c r="C55" s="276"/>
    </row>
    <row r="56" spans="1:7">
      <c r="B56" s="278" t="s">
        <v>67</v>
      </c>
      <c r="C56" s="279">
        <f ca="1">ROUND(C51/C52,3)</f>
        <v>0.187</v>
      </c>
    </row>
    <row r="57" spans="1:7">
      <c r="B57" s="278" t="s">
        <v>68</v>
      </c>
      <c r="C57" s="280">
        <f ca="1">1-C56</f>
        <v>0.81299999999999994</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9" t="s">
        <v>156</v>
      </c>
      <c r="B1" s="3589"/>
      <c r="C1" s="3589"/>
      <c r="D1" s="3589"/>
      <c r="E1" s="3589"/>
      <c r="F1" s="358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0" t="s">
        <v>169</v>
      </c>
      <c r="B2" s="3590"/>
      <c r="C2" s="3590"/>
      <c r="D2" s="3590"/>
      <c r="E2" s="3590"/>
      <c r="F2" s="359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9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9" t="s">
        <v>839</v>
      </c>
      <c r="B1" s="358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44575</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43941</v>
      </c>
      <c r="D13" s="3022">
        <v>3.85</v>
      </c>
      <c r="E13" s="3022">
        <v>3.85</v>
      </c>
      <c r="F13" s="3022">
        <v>3.85</v>
      </c>
      <c r="G13" s="3022">
        <v>3.85</v>
      </c>
      <c r="H13" s="3022">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43881</v>
      </c>
      <c r="D14" s="3017">
        <v>4.05</v>
      </c>
      <c r="E14" s="3017">
        <v>4.05</v>
      </c>
      <c r="F14" s="3017">
        <v>4.05</v>
      </c>
      <c r="G14" s="3017">
        <v>4.05</v>
      </c>
      <c r="H14" s="3017">
        <v>4.75</v>
      </c>
      <c r="I14" s="3017"/>
      <c r="J14" s="3017"/>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43789</v>
      </c>
      <c r="D15" s="3017">
        <v>4.1500000000000004</v>
      </c>
      <c r="E15" s="3017">
        <v>4.1500000000000004</v>
      </c>
      <c r="F15" s="3017">
        <v>4.1500000000000004</v>
      </c>
      <c r="G15" s="3017">
        <v>4.1500000000000004</v>
      </c>
      <c r="H15" s="3017">
        <v>4.8</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43728</v>
      </c>
      <c r="D16" s="3017">
        <v>4.2</v>
      </c>
      <c r="E16" s="3017">
        <v>4.2</v>
      </c>
      <c r="F16" s="3017">
        <v>4.2</v>
      </c>
      <c r="G16" s="3017">
        <v>4.2</v>
      </c>
      <c r="H16" s="3017">
        <v>4.8499999999999996</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t="s">
        <v>2999</v>
      </c>
      <c r="C17" s="3019">
        <v>43697</v>
      </c>
      <c r="D17" s="3020">
        <v>4.25</v>
      </c>
      <c r="E17" s="3020">
        <v>4.25</v>
      </c>
      <c r="F17" s="3020">
        <v>4.25</v>
      </c>
      <c r="G17" s="3020">
        <v>4.25</v>
      </c>
      <c r="H17" s="3020">
        <v>4.8499999999999996</v>
      </c>
      <c r="I17" s="3020"/>
      <c r="J17" s="3020"/>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7"/>
  <sheetViews>
    <sheetView workbookViewId="0">
      <selection activeCell="O2" sqref="O2"/>
    </sheetView>
  </sheetViews>
  <sheetFormatPr defaultRowHeight="13.5"/>
  <sheetData>
    <row r="1" spans="1:16" ht="22.5">
      <c r="A1" s="3607" t="s">
        <v>3141</v>
      </c>
      <c r="B1" s="3607"/>
      <c r="C1" s="3607"/>
      <c r="D1" s="3607"/>
      <c r="F1" s="3593" t="s">
        <v>3164</v>
      </c>
      <c r="G1" s="3593"/>
      <c r="H1" s="3593"/>
      <c r="I1" s="3593"/>
      <c r="J1" s="3593"/>
      <c r="K1" s="3593"/>
      <c r="L1" s="3593"/>
      <c r="M1" s="3593"/>
      <c r="O1" s="3593" t="s">
        <v>3164</v>
      </c>
      <c r="P1" s="3593"/>
    </row>
    <row r="2" spans="1:16">
      <c r="A2" s="3207" t="s">
        <v>3142</v>
      </c>
      <c r="D2" s="3208"/>
      <c r="F2" s="3216" t="s">
        <v>3165</v>
      </c>
      <c r="G2" s="3212"/>
      <c r="H2" s="3212"/>
      <c r="I2" s="3215"/>
      <c r="J2" s="3212"/>
      <c r="K2" s="3212"/>
      <c r="L2" s="3212"/>
      <c r="M2" s="3212"/>
      <c r="O2" s="3221" t="s">
        <v>3172</v>
      </c>
      <c r="P2" s="3218"/>
    </row>
    <row r="3" spans="1:16">
      <c r="A3" s="3608" t="s">
        <v>3143</v>
      </c>
      <c r="B3" s="3609" t="s">
        <v>3144</v>
      </c>
      <c r="C3" s="3608" t="s">
        <v>3143</v>
      </c>
      <c r="D3" s="3609" t="s">
        <v>3144</v>
      </c>
      <c r="F3" s="3596" t="s">
        <v>3143</v>
      </c>
      <c r="G3" s="3597" t="s">
        <v>3166</v>
      </c>
      <c r="H3" s="3596" t="s">
        <v>3143</v>
      </c>
      <c r="I3" s="3597" t="s">
        <v>3166</v>
      </c>
      <c r="J3" s="3596" t="s">
        <v>3143</v>
      </c>
      <c r="K3" s="3597" t="s">
        <v>3166</v>
      </c>
      <c r="L3" s="3596" t="s">
        <v>3143</v>
      </c>
      <c r="M3" s="3597" t="s">
        <v>3166</v>
      </c>
      <c r="O3" s="3594" t="s">
        <v>3143</v>
      </c>
      <c r="P3" s="3595" t="s">
        <v>3166</v>
      </c>
    </row>
    <row r="4" spans="1:16">
      <c r="A4" s="3608"/>
      <c r="B4" s="3609"/>
      <c r="C4" s="3608"/>
      <c r="D4" s="3609"/>
      <c r="F4" s="3596"/>
      <c r="G4" s="3597"/>
      <c r="H4" s="3596"/>
      <c r="I4" s="3597"/>
      <c r="J4" s="3596"/>
      <c r="K4" s="3597"/>
      <c r="L4" s="3596"/>
      <c r="M4" s="3597"/>
      <c r="O4" s="3594"/>
      <c r="P4" s="3595"/>
    </row>
    <row r="5" spans="1:16">
      <c r="A5" s="3608"/>
      <c r="B5" s="3609"/>
      <c r="C5" s="3608"/>
      <c r="D5" s="3609"/>
      <c r="F5" s="3596"/>
      <c r="G5" s="3597"/>
      <c r="H5" s="3596"/>
      <c r="I5" s="3597"/>
      <c r="J5" s="3596"/>
      <c r="K5" s="3597"/>
      <c r="L5" s="3596"/>
      <c r="M5" s="3597"/>
      <c r="O5" s="3594"/>
      <c r="P5" s="3595"/>
    </row>
    <row r="6" spans="1:16">
      <c r="A6" s="3209" t="s">
        <v>3145</v>
      </c>
      <c r="B6" s="3210"/>
      <c r="C6" s="3209" t="s">
        <v>3146</v>
      </c>
      <c r="D6" s="3209"/>
      <c r="F6" s="3214" t="s">
        <v>3145</v>
      </c>
      <c r="G6" s="3213"/>
      <c r="H6" s="3214" t="s">
        <v>3146</v>
      </c>
      <c r="I6" s="3214"/>
      <c r="J6" s="3214" t="s">
        <v>3167</v>
      </c>
      <c r="K6" s="3214"/>
      <c r="L6" s="3214" t="s">
        <v>3168</v>
      </c>
      <c r="M6" s="3214"/>
      <c r="O6" s="3219" t="s">
        <v>3147</v>
      </c>
      <c r="P6" s="3223">
        <v>1045.9100000000001</v>
      </c>
    </row>
    <row r="7" spans="1:16">
      <c r="A7" s="3209" t="s">
        <v>3147</v>
      </c>
      <c r="B7" s="3211">
        <v>493.69</v>
      </c>
      <c r="C7" s="3211">
        <v>101</v>
      </c>
      <c r="D7" s="3211">
        <v>257.01</v>
      </c>
      <c r="F7" s="3214" t="s">
        <v>3147</v>
      </c>
      <c r="G7" s="3217">
        <v>367.27</v>
      </c>
      <c r="H7" s="3217" t="s">
        <v>3147</v>
      </c>
      <c r="I7" s="3217">
        <v>260.49</v>
      </c>
      <c r="J7" s="3217" t="s">
        <v>3147</v>
      </c>
      <c r="K7" s="3217">
        <v>263.39</v>
      </c>
      <c r="L7" s="3217" t="s">
        <v>3147</v>
      </c>
      <c r="M7" s="3217">
        <v>260.49</v>
      </c>
      <c r="O7" s="3219" t="s">
        <v>3149</v>
      </c>
      <c r="P7" s="3223">
        <v>1085.8699999999999</v>
      </c>
    </row>
    <row r="8" spans="1:16">
      <c r="A8" s="3209" t="s">
        <v>3148</v>
      </c>
      <c r="B8" s="3211">
        <v>435.88</v>
      </c>
      <c r="C8" s="3211">
        <v>102</v>
      </c>
      <c r="D8" s="3211">
        <v>251.12</v>
      </c>
      <c r="F8" s="3214" t="s">
        <v>3148</v>
      </c>
      <c r="G8" s="3217">
        <v>263.3</v>
      </c>
      <c r="H8" s="3217" t="s">
        <v>3148</v>
      </c>
      <c r="I8" s="3217">
        <v>256.68</v>
      </c>
      <c r="J8" s="3217" t="s">
        <v>3148</v>
      </c>
      <c r="K8" s="3217">
        <v>256.68</v>
      </c>
      <c r="L8" s="3217" t="s">
        <v>3148</v>
      </c>
      <c r="M8" s="3217">
        <v>256.68</v>
      </c>
      <c r="O8" s="3219"/>
      <c r="P8" s="3219"/>
    </row>
    <row r="9" spans="1:16">
      <c r="A9" s="3209" t="s">
        <v>3149</v>
      </c>
      <c r="B9" s="3211">
        <v>268.66000000000003</v>
      </c>
      <c r="C9" s="3211">
        <v>201</v>
      </c>
      <c r="D9" s="3211">
        <v>143.25</v>
      </c>
      <c r="F9" s="3214" t="s">
        <v>3149</v>
      </c>
      <c r="G9" s="3217">
        <v>206.01</v>
      </c>
      <c r="H9" s="3217" t="s">
        <v>3149</v>
      </c>
      <c r="I9" s="3217">
        <v>153.19</v>
      </c>
      <c r="J9" s="3217" t="s">
        <v>3149</v>
      </c>
      <c r="K9" s="3217">
        <v>153.43</v>
      </c>
      <c r="L9" s="3217" t="s">
        <v>3149</v>
      </c>
      <c r="M9" s="3217">
        <v>153.19</v>
      </c>
      <c r="O9" s="3219"/>
      <c r="P9" s="3219"/>
    </row>
    <row r="10" spans="1:16">
      <c r="A10" s="3209" t="s">
        <v>3150</v>
      </c>
      <c r="B10" s="3211">
        <v>217.87</v>
      </c>
      <c r="C10" s="3211">
        <v>202</v>
      </c>
      <c r="D10" s="3211">
        <v>142.77000000000001</v>
      </c>
      <c r="F10" s="3214" t="s">
        <v>3150</v>
      </c>
      <c r="G10" s="3217">
        <v>153.19</v>
      </c>
      <c r="H10" s="3217" t="s">
        <v>3150</v>
      </c>
      <c r="I10" s="3217">
        <v>153.19</v>
      </c>
      <c r="J10" s="3214" t="s">
        <v>3150</v>
      </c>
      <c r="K10" s="3214">
        <v>153.19</v>
      </c>
      <c r="L10" s="3214" t="s">
        <v>3150</v>
      </c>
      <c r="M10" s="3214">
        <v>153.19</v>
      </c>
      <c r="O10" s="3219"/>
      <c r="P10" s="3219"/>
    </row>
    <row r="11" spans="1:16">
      <c r="A11" s="3209" t="s">
        <v>3151</v>
      </c>
      <c r="B11" s="3211">
        <v>281.79000000000002</v>
      </c>
      <c r="C11" s="3211">
        <v>301</v>
      </c>
      <c r="D11" s="3211">
        <v>150.26</v>
      </c>
      <c r="F11" s="3214" t="s">
        <v>3151</v>
      </c>
      <c r="G11" s="3217">
        <v>206.01</v>
      </c>
      <c r="H11" s="3217" t="s">
        <v>3151</v>
      </c>
      <c r="I11" s="3217">
        <v>153.19</v>
      </c>
      <c r="J11" s="3217" t="s">
        <v>3151</v>
      </c>
      <c r="K11" s="3217">
        <v>153.43</v>
      </c>
      <c r="L11" s="3217" t="s">
        <v>3151</v>
      </c>
      <c r="M11" s="3217">
        <v>153.19</v>
      </c>
      <c r="O11" s="3219"/>
      <c r="P11" s="3219"/>
    </row>
    <row r="12" spans="1:16">
      <c r="A12" s="3209" t="s">
        <v>3152</v>
      </c>
      <c r="B12" s="3211">
        <v>232.99</v>
      </c>
      <c r="C12" s="3211">
        <v>302</v>
      </c>
      <c r="D12" s="3211">
        <v>149.78</v>
      </c>
      <c r="F12" s="3214" t="s">
        <v>3152</v>
      </c>
      <c r="G12" s="3217">
        <v>153.19</v>
      </c>
      <c r="H12" s="3217" t="s">
        <v>3152</v>
      </c>
      <c r="I12" s="3217">
        <v>153.19</v>
      </c>
      <c r="J12" s="3217" t="s">
        <v>3152</v>
      </c>
      <c r="K12" s="3217">
        <v>153.19</v>
      </c>
      <c r="L12" s="3217" t="s">
        <v>3152</v>
      </c>
      <c r="M12" s="3217">
        <v>153.19</v>
      </c>
      <c r="O12" s="3219"/>
      <c r="P12" s="3219"/>
    </row>
    <row r="13" spans="1:16">
      <c r="A13" s="3209" t="s">
        <v>3153</v>
      </c>
      <c r="B13" s="3211">
        <v>281.79000000000002</v>
      </c>
      <c r="C13" s="3211">
        <v>401</v>
      </c>
      <c r="D13" s="3211">
        <v>150.26</v>
      </c>
      <c r="F13" s="3214" t="s">
        <v>3153</v>
      </c>
      <c r="G13" s="3217">
        <v>206.01</v>
      </c>
      <c r="H13" s="3217" t="s">
        <v>3153</v>
      </c>
      <c r="I13" s="3217">
        <v>153.19</v>
      </c>
      <c r="J13" s="3217" t="s">
        <v>3153</v>
      </c>
      <c r="K13" s="3217">
        <v>153.43</v>
      </c>
      <c r="L13" s="3217" t="s">
        <v>3153</v>
      </c>
      <c r="M13" s="3217">
        <v>153.19</v>
      </c>
      <c r="O13" s="3219"/>
      <c r="P13" s="3219"/>
    </row>
    <row r="14" spans="1:16">
      <c r="A14" s="3209" t="s">
        <v>3154</v>
      </c>
      <c r="B14" s="3211">
        <v>232.99</v>
      </c>
      <c r="C14" s="3211">
        <v>402</v>
      </c>
      <c r="D14" s="3211">
        <v>149.78</v>
      </c>
      <c r="F14" s="3214" t="s">
        <v>3154</v>
      </c>
      <c r="G14" s="3217">
        <v>153.19</v>
      </c>
      <c r="H14" s="3217" t="s">
        <v>3154</v>
      </c>
      <c r="I14" s="3217">
        <v>153.19</v>
      </c>
      <c r="J14" s="3214" t="s">
        <v>3154</v>
      </c>
      <c r="K14" s="3214">
        <v>153.19</v>
      </c>
      <c r="L14" s="3214" t="s">
        <v>3154</v>
      </c>
      <c r="M14" s="3214">
        <v>153.19</v>
      </c>
      <c r="O14" s="3219"/>
      <c r="P14" s="3219"/>
    </row>
    <row r="15" spans="1:16">
      <c r="A15" s="3209" t="s">
        <v>3155</v>
      </c>
      <c r="B15" s="3211">
        <v>281.79000000000002</v>
      </c>
      <c r="C15" s="3211">
        <v>501</v>
      </c>
      <c r="D15" s="3211">
        <v>150.26</v>
      </c>
      <c r="F15" s="3214" t="s">
        <v>3155</v>
      </c>
      <c r="G15" s="3217">
        <v>206.01</v>
      </c>
      <c r="H15" s="3217" t="s">
        <v>3155</v>
      </c>
      <c r="I15" s="3217">
        <v>153.19</v>
      </c>
      <c r="J15" s="3217" t="s">
        <v>3155</v>
      </c>
      <c r="K15" s="3217">
        <v>153.43</v>
      </c>
      <c r="L15" s="3217" t="s">
        <v>3155</v>
      </c>
      <c r="M15" s="3217">
        <v>153.19</v>
      </c>
      <c r="O15" s="3219"/>
      <c r="P15" s="3219"/>
    </row>
    <row r="16" spans="1:16">
      <c r="A16" s="3209" t="s">
        <v>3156</v>
      </c>
      <c r="B16" s="3211">
        <v>232.99</v>
      </c>
      <c r="C16" s="3211">
        <v>502</v>
      </c>
      <c r="D16" s="3211">
        <v>149.78</v>
      </c>
      <c r="F16" s="3214" t="s">
        <v>3156</v>
      </c>
      <c r="G16" s="3217">
        <v>153.19</v>
      </c>
      <c r="H16" s="3217" t="s">
        <v>3156</v>
      </c>
      <c r="I16" s="3217">
        <v>153.19</v>
      </c>
      <c r="J16" s="3217" t="s">
        <v>3156</v>
      </c>
      <c r="K16" s="3217">
        <v>153.19</v>
      </c>
      <c r="L16" s="3217" t="s">
        <v>3156</v>
      </c>
      <c r="M16" s="3217">
        <v>153.19</v>
      </c>
      <c r="O16" s="3219"/>
      <c r="P16" s="3219"/>
    </row>
    <row r="17" spans="1:16">
      <c r="A17" s="3209" t="s">
        <v>3157</v>
      </c>
      <c r="B17" s="3211">
        <v>281.79000000000002</v>
      </c>
      <c r="C17" s="3211">
        <v>601</v>
      </c>
      <c r="D17" s="3211">
        <v>150.26</v>
      </c>
      <c r="F17" s="3214" t="s">
        <v>3157</v>
      </c>
      <c r="G17" s="3217">
        <v>206.01</v>
      </c>
      <c r="H17" s="3217" t="s">
        <v>3157</v>
      </c>
      <c r="I17" s="3217">
        <v>153.19</v>
      </c>
      <c r="J17" s="3217" t="s">
        <v>3157</v>
      </c>
      <c r="K17" s="3217">
        <v>153.43</v>
      </c>
      <c r="L17" s="3217" t="s">
        <v>3157</v>
      </c>
      <c r="M17" s="3217">
        <v>153.19</v>
      </c>
      <c r="O17" s="3219"/>
      <c r="P17" s="3219"/>
    </row>
    <row r="18" spans="1:16">
      <c r="A18" s="3209" t="s">
        <v>3158</v>
      </c>
      <c r="B18" s="3211">
        <v>232.99</v>
      </c>
      <c r="C18" s="3211">
        <v>602</v>
      </c>
      <c r="D18" s="3211">
        <v>149.78</v>
      </c>
      <c r="F18" s="3214" t="s">
        <v>3158</v>
      </c>
      <c r="G18" s="3217">
        <v>153.19</v>
      </c>
      <c r="H18" s="3217" t="s">
        <v>3158</v>
      </c>
      <c r="I18" s="3217">
        <v>153.19</v>
      </c>
      <c r="J18" s="3214" t="s">
        <v>3158</v>
      </c>
      <c r="K18" s="3214">
        <v>153.19</v>
      </c>
      <c r="L18" s="3214" t="s">
        <v>3158</v>
      </c>
      <c r="M18" s="3214">
        <v>153.19</v>
      </c>
      <c r="O18" s="3219"/>
      <c r="P18" s="3219"/>
    </row>
    <row r="19" spans="1:16">
      <c r="A19" s="3209" t="s">
        <v>3159</v>
      </c>
      <c r="B19" s="3211">
        <v>281.79000000000002</v>
      </c>
      <c r="C19" s="3211">
        <v>701</v>
      </c>
      <c r="D19" s="3211">
        <v>150.26</v>
      </c>
      <c r="F19" s="3214" t="s">
        <v>3159</v>
      </c>
      <c r="G19" s="3217">
        <v>206.01</v>
      </c>
      <c r="H19" s="3217" t="s">
        <v>3159</v>
      </c>
      <c r="I19" s="3217">
        <v>153.19</v>
      </c>
      <c r="J19" s="3217" t="s">
        <v>3159</v>
      </c>
      <c r="K19" s="3217">
        <v>153.43</v>
      </c>
      <c r="L19" s="3217" t="s">
        <v>3159</v>
      </c>
      <c r="M19" s="3217">
        <v>153.19</v>
      </c>
      <c r="O19" s="3219"/>
      <c r="P19" s="3219"/>
    </row>
    <row r="20" spans="1:16">
      <c r="A20" s="3209" t="s">
        <v>3160</v>
      </c>
      <c r="B20" s="3211">
        <v>232.99</v>
      </c>
      <c r="C20" s="3211">
        <v>702</v>
      </c>
      <c r="D20" s="3211">
        <v>149.78</v>
      </c>
      <c r="F20" s="3214" t="s">
        <v>3160</v>
      </c>
      <c r="G20" s="3217">
        <v>153.19</v>
      </c>
      <c r="H20" s="3217" t="s">
        <v>3160</v>
      </c>
      <c r="I20" s="3217">
        <v>153.19</v>
      </c>
      <c r="J20" s="3217" t="s">
        <v>3160</v>
      </c>
      <c r="K20" s="3217">
        <v>153.19</v>
      </c>
      <c r="L20" s="3217" t="s">
        <v>3160</v>
      </c>
      <c r="M20" s="3217">
        <v>153.19</v>
      </c>
      <c r="O20" s="3219"/>
      <c r="P20" s="3219"/>
    </row>
    <row r="21" spans="1:16">
      <c r="A21" s="3209" t="s">
        <v>3161</v>
      </c>
      <c r="B21" s="3209"/>
      <c r="C21" s="3209" t="s">
        <v>3162</v>
      </c>
      <c r="D21" s="3209"/>
      <c r="F21" s="3214" t="s">
        <v>3161</v>
      </c>
      <c r="G21" s="3214"/>
      <c r="H21" s="3214" t="s">
        <v>3162</v>
      </c>
      <c r="I21" s="3214"/>
      <c r="J21" s="3217" t="s">
        <v>3169</v>
      </c>
      <c r="K21" s="3217"/>
      <c r="L21" s="3217" t="s">
        <v>3170</v>
      </c>
      <c r="M21" s="3217"/>
      <c r="O21" s="3219"/>
      <c r="P21" s="3219"/>
    </row>
    <row r="22" spans="1:16">
      <c r="A22" s="3209" t="s">
        <v>3147</v>
      </c>
      <c r="B22" s="3211">
        <v>435.88</v>
      </c>
      <c r="C22" s="3211">
        <v>101</v>
      </c>
      <c r="D22" s="3211">
        <v>251.12</v>
      </c>
      <c r="F22" s="3214" t="s">
        <v>3147</v>
      </c>
      <c r="G22" s="3217">
        <v>256.68</v>
      </c>
      <c r="H22" s="3217" t="s">
        <v>3147</v>
      </c>
      <c r="I22" s="3217">
        <v>256.68</v>
      </c>
      <c r="J22" s="3217" t="s">
        <v>3147</v>
      </c>
      <c r="K22" s="3217">
        <v>256.68</v>
      </c>
      <c r="L22" s="3217" t="s">
        <v>3147</v>
      </c>
      <c r="M22" s="3217">
        <v>256.68</v>
      </c>
      <c r="O22" s="3219"/>
      <c r="P22" s="3219"/>
    </row>
    <row r="23" spans="1:16">
      <c r="A23" s="3209" t="s">
        <v>3148</v>
      </c>
      <c r="B23" s="3211">
        <v>452.15</v>
      </c>
      <c r="C23" s="3211">
        <v>102</v>
      </c>
      <c r="D23" s="3211">
        <v>349.4</v>
      </c>
      <c r="F23" s="3214" t="s">
        <v>3148</v>
      </c>
      <c r="G23" s="3217">
        <v>260.49</v>
      </c>
      <c r="H23" s="3217" t="s">
        <v>3148</v>
      </c>
      <c r="I23" s="3217">
        <v>263.39</v>
      </c>
      <c r="J23" s="3217" t="s">
        <v>3148</v>
      </c>
      <c r="K23" s="3217">
        <v>260.49</v>
      </c>
      <c r="L23" s="3217" t="s">
        <v>3148</v>
      </c>
      <c r="M23" s="3217">
        <v>357.26</v>
      </c>
      <c r="O23" s="3219"/>
      <c r="P23" s="3219"/>
    </row>
    <row r="24" spans="1:16">
      <c r="A24" s="3209" t="s">
        <v>3149</v>
      </c>
      <c r="B24" s="3211">
        <v>217.87</v>
      </c>
      <c r="C24" s="3211">
        <v>201</v>
      </c>
      <c r="D24" s="3211">
        <v>142.77000000000001</v>
      </c>
      <c r="F24" s="3214" t="s">
        <v>3149</v>
      </c>
      <c r="G24" s="3217">
        <v>153.19</v>
      </c>
      <c r="H24" s="3217" t="s">
        <v>3149</v>
      </c>
      <c r="I24" s="3217">
        <v>153.19</v>
      </c>
      <c r="J24" s="3214" t="s">
        <v>3149</v>
      </c>
      <c r="K24" s="3214">
        <v>153.19</v>
      </c>
      <c r="L24" s="3214" t="s">
        <v>3149</v>
      </c>
      <c r="M24" s="3214">
        <v>153.19</v>
      </c>
      <c r="O24" s="3219"/>
      <c r="P24" s="3219"/>
    </row>
    <row r="25" spans="1:16">
      <c r="A25" s="3209" t="s">
        <v>3150</v>
      </c>
      <c r="B25" s="3211">
        <v>220.24</v>
      </c>
      <c r="C25" s="3211">
        <v>202</v>
      </c>
      <c r="D25" s="3211">
        <v>193.87</v>
      </c>
      <c r="F25" s="3214" t="s">
        <v>3150</v>
      </c>
      <c r="G25" s="3217">
        <v>153.19</v>
      </c>
      <c r="H25" s="3217" t="s">
        <v>3150</v>
      </c>
      <c r="I25" s="3217">
        <v>153.43</v>
      </c>
      <c r="J25" s="3217" t="s">
        <v>3150</v>
      </c>
      <c r="K25" s="3217">
        <v>153.19</v>
      </c>
      <c r="L25" s="3217" t="s">
        <v>3150</v>
      </c>
      <c r="M25" s="3217">
        <v>206.01</v>
      </c>
      <c r="O25" s="3219"/>
      <c r="P25" s="3219"/>
    </row>
    <row r="26" spans="1:16">
      <c r="A26" s="3209" t="s">
        <v>3151</v>
      </c>
      <c r="B26" s="3211">
        <v>232.99</v>
      </c>
      <c r="C26" s="3211">
        <v>301</v>
      </c>
      <c r="D26" s="3211">
        <v>149.78</v>
      </c>
      <c r="F26" s="3214" t="s">
        <v>3151</v>
      </c>
      <c r="G26" s="3217">
        <v>153.19</v>
      </c>
      <c r="H26" s="3217" t="s">
        <v>3151</v>
      </c>
      <c r="I26" s="3217">
        <v>153.19</v>
      </c>
      <c r="J26" s="3217" t="s">
        <v>3151</v>
      </c>
      <c r="K26" s="3217">
        <v>153.19</v>
      </c>
      <c r="L26" s="3217" t="s">
        <v>3151</v>
      </c>
      <c r="M26" s="3217">
        <v>153.19</v>
      </c>
      <c r="O26" s="3219"/>
      <c r="P26" s="3219"/>
    </row>
    <row r="27" spans="1:16">
      <c r="A27" s="3209" t="s">
        <v>3152</v>
      </c>
      <c r="B27" s="3211">
        <v>235.36</v>
      </c>
      <c r="C27" s="3211">
        <v>302</v>
      </c>
      <c r="D27" s="3211">
        <v>201.41</v>
      </c>
      <c r="F27" s="3214" t="s">
        <v>3152</v>
      </c>
      <c r="G27" s="3217">
        <v>153.19</v>
      </c>
      <c r="H27" s="3217" t="s">
        <v>3152</v>
      </c>
      <c r="I27" s="3217">
        <v>153.43</v>
      </c>
      <c r="J27" s="3217" t="s">
        <v>3152</v>
      </c>
      <c r="K27" s="3217">
        <v>153.19</v>
      </c>
      <c r="L27" s="3217" t="s">
        <v>3152</v>
      </c>
      <c r="M27" s="3217">
        <v>206.01</v>
      </c>
      <c r="O27" s="3219"/>
      <c r="P27" s="3219"/>
    </row>
    <row r="28" spans="1:16">
      <c r="A28" s="3209" t="s">
        <v>3153</v>
      </c>
      <c r="B28" s="3211">
        <v>232.99</v>
      </c>
      <c r="C28" s="3211">
        <v>401</v>
      </c>
      <c r="D28" s="3211">
        <v>149.78</v>
      </c>
      <c r="F28" s="3214" t="s">
        <v>3153</v>
      </c>
      <c r="G28" s="3217">
        <v>153.19</v>
      </c>
      <c r="H28" s="3217" t="s">
        <v>3153</v>
      </c>
      <c r="I28" s="3217">
        <v>153.19</v>
      </c>
      <c r="J28" s="3214" t="s">
        <v>3153</v>
      </c>
      <c r="K28" s="3214">
        <v>153.19</v>
      </c>
      <c r="L28" s="3214" t="s">
        <v>3153</v>
      </c>
      <c r="M28" s="3214">
        <v>153.19</v>
      </c>
      <c r="O28" s="3219"/>
      <c r="P28" s="3219"/>
    </row>
    <row r="29" spans="1:16">
      <c r="A29" s="3209" t="s">
        <v>3154</v>
      </c>
      <c r="B29" s="3211">
        <v>235.36</v>
      </c>
      <c r="C29" s="3211">
        <v>402</v>
      </c>
      <c r="D29" s="3211">
        <v>201.41</v>
      </c>
      <c r="F29" s="3214" t="s">
        <v>3154</v>
      </c>
      <c r="G29" s="3217">
        <v>153.19</v>
      </c>
      <c r="H29" s="3217" t="s">
        <v>3154</v>
      </c>
      <c r="I29" s="3217">
        <v>153.43</v>
      </c>
      <c r="J29" s="3217" t="s">
        <v>3154</v>
      </c>
      <c r="K29" s="3217">
        <v>153.19</v>
      </c>
      <c r="L29" s="3217" t="s">
        <v>3154</v>
      </c>
      <c r="M29" s="3217">
        <v>206.01</v>
      </c>
      <c r="O29" s="3219"/>
      <c r="P29" s="3219"/>
    </row>
    <row r="30" spans="1:16">
      <c r="A30" s="3209" t="s">
        <v>3155</v>
      </c>
      <c r="B30" s="3211">
        <v>232.99</v>
      </c>
      <c r="C30" s="3211">
        <v>501</v>
      </c>
      <c r="D30" s="3211">
        <v>149.78</v>
      </c>
      <c r="F30" s="3214" t="s">
        <v>3155</v>
      </c>
      <c r="G30" s="3217">
        <v>153.19</v>
      </c>
      <c r="H30" s="3217" t="s">
        <v>3155</v>
      </c>
      <c r="I30" s="3217">
        <v>153.19</v>
      </c>
      <c r="J30" s="3217" t="s">
        <v>3155</v>
      </c>
      <c r="K30" s="3217">
        <v>153.19</v>
      </c>
      <c r="L30" s="3217" t="s">
        <v>3155</v>
      </c>
      <c r="M30" s="3217">
        <v>153.19</v>
      </c>
      <c r="O30" s="3219"/>
      <c r="P30" s="3219"/>
    </row>
    <row r="31" spans="1:16">
      <c r="A31" s="3209" t="s">
        <v>3156</v>
      </c>
      <c r="B31" s="3211">
        <v>235.36</v>
      </c>
      <c r="C31" s="3211">
        <v>502</v>
      </c>
      <c r="D31" s="3211">
        <v>201.41</v>
      </c>
      <c r="F31" s="3214" t="s">
        <v>3156</v>
      </c>
      <c r="G31" s="3217">
        <v>153.19</v>
      </c>
      <c r="H31" s="3217" t="s">
        <v>3156</v>
      </c>
      <c r="I31" s="3217">
        <v>153.43</v>
      </c>
      <c r="J31" s="3217" t="s">
        <v>3156</v>
      </c>
      <c r="K31" s="3217">
        <v>153.19</v>
      </c>
      <c r="L31" s="3217" t="s">
        <v>3156</v>
      </c>
      <c r="M31" s="3217">
        <v>206.01</v>
      </c>
      <c r="O31" s="3219"/>
      <c r="P31" s="3219"/>
    </row>
    <row r="32" spans="1:16">
      <c r="A32" s="3209" t="s">
        <v>3157</v>
      </c>
      <c r="B32" s="3211">
        <v>232.99</v>
      </c>
      <c r="C32" s="3211">
        <v>601</v>
      </c>
      <c r="D32" s="3211">
        <v>149.78</v>
      </c>
      <c r="F32" s="3214" t="s">
        <v>3157</v>
      </c>
      <c r="G32" s="3217">
        <v>153.19</v>
      </c>
      <c r="H32" s="3217" t="s">
        <v>3157</v>
      </c>
      <c r="I32" s="3217">
        <v>153.19</v>
      </c>
      <c r="J32" s="3214" t="s">
        <v>3157</v>
      </c>
      <c r="K32" s="3214">
        <v>153.19</v>
      </c>
      <c r="L32" s="3214" t="s">
        <v>3157</v>
      </c>
      <c r="M32" s="3214">
        <v>153.19</v>
      </c>
      <c r="O32" s="3219"/>
      <c r="P32" s="3219"/>
    </row>
    <row r="33" spans="1:16">
      <c r="A33" s="3209" t="s">
        <v>3158</v>
      </c>
      <c r="B33" s="3211">
        <v>235.36</v>
      </c>
      <c r="C33" s="3211">
        <v>602</v>
      </c>
      <c r="D33" s="3211">
        <v>201.41</v>
      </c>
      <c r="F33" s="3214" t="s">
        <v>3158</v>
      </c>
      <c r="G33" s="3217">
        <v>153.19</v>
      </c>
      <c r="H33" s="3217" t="s">
        <v>3158</v>
      </c>
      <c r="I33" s="3217">
        <v>153.43</v>
      </c>
      <c r="J33" s="3217" t="s">
        <v>3158</v>
      </c>
      <c r="K33" s="3217">
        <v>153.19</v>
      </c>
      <c r="L33" s="3217" t="s">
        <v>3158</v>
      </c>
      <c r="M33" s="3217">
        <v>206.01</v>
      </c>
      <c r="O33" s="3219"/>
      <c r="P33" s="3219"/>
    </row>
    <row r="34" spans="1:16">
      <c r="A34" s="3209" t="s">
        <v>3159</v>
      </c>
      <c r="B34" s="3211">
        <v>232.99</v>
      </c>
      <c r="C34" s="3211">
        <v>701</v>
      </c>
      <c r="D34" s="3211">
        <v>149.78</v>
      </c>
      <c r="F34" s="3214" t="s">
        <v>3159</v>
      </c>
      <c r="G34" s="3217">
        <v>153.19</v>
      </c>
      <c r="H34" s="3217" t="s">
        <v>3159</v>
      </c>
      <c r="I34" s="3217">
        <v>153.19</v>
      </c>
      <c r="J34" s="3217" t="s">
        <v>3159</v>
      </c>
      <c r="K34" s="3217">
        <v>153.19</v>
      </c>
      <c r="L34" s="3217" t="s">
        <v>3159</v>
      </c>
      <c r="M34" s="3217">
        <v>153.19</v>
      </c>
      <c r="O34" s="3219"/>
      <c r="P34" s="3219"/>
    </row>
    <row r="35" spans="1:16">
      <c r="A35" s="3209" t="s">
        <v>3160</v>
      </c>
      <c r="B35" s="3211">
        <v>235.36</v>
      </c>
      <c r="C35" s="3211">
        <v>702</v>
      </c>
      <c r="D35" s="3211">
        <v>201.41</v>
      </c>
      <c r="F35" s="3214" t="s">
        <v>3160</v>
      </c>
      <c r="G35" s="3217">
        <v>153.19</v>
      </c>
      <c r="H35" s="3217" t="s">
        <v>3160</v>
      </c>
      <c r="I35" s="3217">
        <v>153.43</v>
      </c>
      <c r="J35" s="3217" t="s">
        <v>3160</v>
      </c>
      <c r="K35" s="3217">
        <v>153.19</v>
      </c>
      <c r="L35" s="3217" t="s">
        <v>3160</v>
      </c>
      <c r="M35" s="3217">
        <v>206.01</v>
      </c>
      <c r="O35" s="3219"/>
      <c r="P35" s="3219"/>
    </row>
    <row r="36" spans="1:16" ht="14.25">
      <c r="A36" s="3604" t="s">
        <v>3163</v>
      </c>
      <c r="B36" s="3605"/>
      <c r="C36" s="3606">
        <f>SUM(B6:B35)+SUM(D6:D35)</f>
        <v>12645.349999999995</v>
      </c>
      <c r="D36" s="3605"/>
      <c r="F36" s="3598" t="s">
        <v>3171</v>
      </c>
      <c r="G36" s="3599"/>
      <c r="H36" s="3599"/>
      <c r="I36" s="3600"/>
      <c r="J36" s="3601">
        <v>19696.29</v>
      </c>
      <c r="K36" s="3602"/>
      <c r="L36" s="3602"/>
      <c r="M36" s="3603"/>
      <c r="O36" s="3222" t="s">
        <v>3171</v>
      </c>
      <c r="P36" s="3220">
        <v>2131.7799999999997</v>
      </c>
    </row>
    <row r="37" spans="1:16">
      <c r="G37">
        <f>SUM(G7:G35)</f>
        <v>5141.2199999999975</v>
      </c>
      <c r="I37">
        <f t="shared" ref="I37:M37" si="0">SUM(I7:I35)</f>
        <v>4715.24</v>
      </c>
      <c r="K37">
        <f t="shared" si="0"/>
        <v>4715.2399999999989</v>
      </c>
      <c r="M37">
        <f t="shared" si="0"/>
        <v>5124.5899999999992</v>
      </c>
    </row>
  </sheetData>
  <mergeCells count="21">
    <mergeCell ref="A36:B36"/>
    <mergeCell ref="C36:D36"/>
    <mergeCell ref="A1:D1"/>
    <mergeCell ref="A3:A5"/>
    <mergeCell ref="B3:B5"/>
    <mergeCell ref="C3:C5"/>
    <mergeCell ref="D3:D5"/>
    <mergeCell ref="F36:I36"/>
    <mergeCell ref="J3:J5"/>
    <mergeCell ref="K3:K5"/>
    <mergeCell ref="L3:L5"/>
    <mergeCell ref="M3:M5"/>
    <mergeCell ref="J36:M36"/>
    <mergeCell ref="O1:P1"/>
    <mergeCell ref="O3:O5"/>
    <mergeCell ref="P3:P5"/>
    <mergeCell ref="F1:M1"/>
    <mergeCell ref="F3:F5"/>
    <mergeCell ref="G3:G5"/>
    <mergeCell ref="H3:H5"/>
    <mergeCell ref="I3:I5"/>
  </mergeCells>
  <phoneticPr fontId="1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K1:L50"/>
  <sheetViews>
    <sheetView topLeftCell="A31" workbookViewId="0">
      <selection activeCell="K27" sqref="K27"/>
    </sheetView>
  </sheetViews>
  <sheetFormatPr defaultRowHeight="13.5"/>
  <sheetData>
    <row r="1" spans="11:11">
      <c r="K1" s="3240" t="s">
        <v>3234</v>
      </c>
    </row>
    <row r="25" spans="12:12">
      <c r="L25" s="3240" t="s">
        <v>3233</v>
      </c>
    </row>
    <row r="50" spans="12:12">
      <c r="L50" s="3241" t="s">
        <v>3235</v>
      </c>
    </row>
  </sheetData>
  <phoneticPr fontId="141"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9"/>
  <sheetViews>
    <sheetView zoomScale="90" zoomScaleNormal="90" workbookViewId="0">
      <selection activeCell="J28" sqref="J28"/>
    </sheetView>
  </sheetViews>
  <sheetFormatPr defaultRowHeight="13.5"/>
  <cols>
    <col min="9" max="9" width="4.75" customWidth="1"/>
    <col min="10" max="10" width="10.5" bestFit="1" customWidth="1"/>
    <col min="18" max="18" width="3.875" customWidth="1"/>
  </cols>
  <sheetData>
    <row r="1" spans="1:20" ht="22.5">
      <c r="A1" s="3607" t="s">
        <v>3236</v>
      </c>
      <c r="B1" s="3607"/>
      <c r="C1" s="3607"/>
      <c r="D1" s="3607"/>
      <c r="E1" s="3607"/>
      <c r="F1" s="3607"/>
      <c r="G1" s="3607"/>
      <c r="H1" s="3607"/>
      <c r="J1" s="3607" t="s">
        <v>3240</v>
      </c>
      <c r="K1" s="3607"/>
      <c r="L1" s="3607"/>
      <c r="M1" s="3607"/>
      <c r="N1" s="3607"/>
      <c r="O1" s="3607"/>
      <c r="P1" s="3607"/>
      <c r="Q1" s="3607"/>
      <c r="S1" s="3607" t="s">
        <v>3240</v>
      </c>
      <c r="T1" s="3607"/>
    </row>
    <row r="2" spans="1:20">
      <c r="A2" s="3207" t="s">
        <v>3237</v>
      </c>
      <c r="D2" s="3208"/>
      <c r="J2" s="3207" t="s">
        <v>3241</v>
      </c>
      <c r="O2" s="3208"/>
      <c r="S2" s="3207" t="s">
        <v>3172</v>
      </c>
    </row>
    <row r="3" spans="1:20">
      <c r="A3" s="3615" t="s">
        <v>3143</v>
      </c>
      <c r="B3" s="3610" t="s">
        <v>3238</v>
      </c>
      <c r="C3" s="3615" t="s">
        <v>3143</v>
      </c>
      <c r="D3" s="3610" t="s">
        <v>3238</v>
      </c>
      <c r="E3" s="3615" t="s">
        <v>3143</v>
      </c>
      <c r="F3" s="3610" t="s">
        <v>3238</v>
      </c>
      <c r="G3" s="3615" t="s">
        <v>3143</v>
      </c>
      <c r="H3" s="3610" t="s">
        <v>3238</v>
      </c>
      <c r="J3" s="3608" t="s">
        <v>3143</v>
      </c>
      <c r="K3" s="3610" t="s">
        <v>3242</v>
      </c>
      <c r="L3" s="3608" t="s">
        <v>3143</v>
      </c>
      <c r="M3" s="3610" t="s">
        <v>3242</v>
      </c>
      <c r="N3" s="3608" t="s">
        <v>3143</v>
      </c>
      <c r="O3" s="3610" t="s">
        <v>3242</v>
      </c>
      <c r="P3" s="3608" t="s">
        <v>3143</v>
      </c>
      <c r="Q3" s="3610" t="s">
        <v>3242</v>
      </c>
      <c r="S3" s="3608" t="s">
        <v>3143</v>
      </c>
      <c r="T3" s="3609" t="s">
        <v>3242</v>
      </c>
    </row>
    <row r="4" spans="1:20">
      <c r="A4" s="3615"/>
      <c r="B4" s="3610"/>
      <c r="C4" s="3615"/>
      <c r="D4" s="3610"/>
      <c r="E4" s="3615"/>
      <c r="F4" s="3610"/>
      <c r="G4" s="3615"/>
      <c r="H4" s="3610"/>
      <c r="J4" s="3608"/>
      <c r="K4" s="3610"/>
      <c r="L4" s="3608"/>
      <c r="M4" s="3610"/>
      <c r="N4" s="3608"/>
      <c r="O4" s="3610"/>
      <c r="P4" s="3608"/>
      <c r="Q4" s="3610"/>
      <c r="S4" s="3608"/>
      <c r="T4" s="3609"/>
    </row>
    <row r="5" spans="1:20">
      <c r="A5" s="3615"/>
      <c r="B5" s="3610"/>
      <c r="C5" s="3615"/>
      <c r="D5" s="3610"/>
      <c r="E5" s="3615"/>
      <c r="F5" s="3610"/>
      <c r="G5" s="3615"/>
      <c r="H5" s="3610"/>
      <c r="J5" s="3608"/>
      <c r="K5" s="3610"/>
      <c r="L5" s="3608"/>
      <c r="M5" s="3610"/>
      <c r="N5" s="3608"/>
      <c r="O5" s="3610"/>
      <c r="P5" s="3608"/>
      <c r="Q5" s="3610"/>
      <c r="S5" s="3608"/>
      <c r="T5" s="3609"/>
    </row>
    <row r="6" spans="1:20">
      <c r="A6" s="3209" t="s">
        <v>3145</v>
      </c>
      <c r="B6" s="3210"/>
      <c r="C6" s="3209" t="s">
        <v>3146</v>
      </c>
      <c r="D6" s="3209"/>
      <c r="E6" s="3209" t="s">
        <v>3167</v>
      </c>
      <c r="F6" s="3209"/>
      <c r="G6" s="3209" t="s">
        <v>3168</v>
      </c>
      <c r="H6" s="3209"/>
      <c r="J6" s="3209" t="s">
        <v>3145</v>
      </c>
      <c r="K6" s="3210"/>
      <c r="L6" s="3209" t="s">
        <v>3161</v>
      </c>
      <c r="M6" s="3209"/>
      <c r="N6" s="3209" t="s">
        <v>3146</v>
      </c>
      <c r="O6" s="3209"/>
      <c r="P6" s="3209" t="s">
        <v>3162</v>
      </c>
      <c r="Q6" s="3209"/>
      <c r="S6" s="3209" t="s">
        <v>3147</v>
      </c>
      <c r="T6" s="3211">
        <v>1045.9100000000001</v>
      </c>
    </row>
    <row r="7" spans="1:20">
      <c r="A7" s="3209" t="s">
        <v>3147</v>
      </c>
      <c r="B7" s="3211">
        <v>367.27</v>
      </c>
      <c r="C7" s="3211" t="s">
        <v>3147</v>
      </c>
      <c r="D7" s="3211">
        <v>260.49</v>
      </c>
      <c r="E7" s="3211" t="s">
        <v>3147</v>
      </c>
      <c r="F7" s="3211">
        <v>263.39</v>
      </c>
      <c r="G7" s="3211" t="s">
        <v>3147</v>
      </c>
      <c r="H7" s="3211">
        <v>260.49</v>
      </c>
      <c r="J7" s="3209" t="s">
        <v>3147</v>
      </c>
      <c r="K7" s="3211">
        <v>493.69</v>
      </c>
      <c r="L7" s="3209" t="s">
        <v>3147</v>
      </c>
      <c r="M7" s="3211">
        <v>435.88</v>
      </c>
      <c r="N7" s="3211">
        <v>101</v>
      </c>
      <c r="O7" s="3211">
        <v>257.01</v>
      </c>
      <c r="P7" s="3211">
        <v>101</v>
      </c>
      <c r="Q7" s="3211">
        <v>251.12</v>
      </c>
      <c r="S7" s="3209" t="s">
        <v>3149</v>
      </c>
      <c r="T7" s="3211">
        <v>1085.8699999999999</v>
      </c>
    </row>
    <row r="8" spans="1:20">
      <c r="A8" s="3209" t="s">
        <v>3148</v>
      </c>
      <c r="B8" s="3211">
        <v>263.3</v>
      </c>
      <c r="C8" s="3211" t="s">
        <v>3148</v>
      </c>
      <c r="D8" s="3211">
        <v>256.68</v>
      </c>
      <c r="E8" s="3211" t="s">
        <v>3148</v>
      </c>
      <c r="F8" s="3211">
        <v>256.68</v>
      </c>
      <c r="G8" s="3211" t="s">
        <v>3148</v>
      </c>
      <c r="H8" s="3211">
        <v>256.68</v>
      </c>
      <c r="J8" s="3209" t="s">
        <v>3148</v>
      </c>
      <c r="K8" s="3211">
        <v>435.88</v>
      </c>
      <c r="L8" s="3209" t="s">
        <v>3148</v>
      </c>
      <c r="M8" s="3211">
        <v>452.15</v>
      </c>
      <c r="N8" s="3211">
        <v>102</v>
      </c>
      <c r="O8" s="3211">
        <v>251.12</v>
      </c>
      <c r="P8" s="3211">
        <v>102</v>
      </c>
      <c r="Q8" s="3211">
        <v>349.4</v>
      </c>
      <c r="S8" s="3209"/>
      <c r="T8" s="3209"/>
    </row>
    <row r="9" spans="1:20">
      <c r="A9" s="3209" t="s">
        <v>3149</v>
      </c>
      <c r="B9" s="3211">
        <v>206.01</v>
      </c>
      <c r="C9" s="3211" t="s">
        <v>3149</v>
      </c>
      <c r="D9" s="3211">
        <v>153.19</v>
      </c>
      <c r="E9" s="3211" t="s">
        <v>3149</v>
      </c>
      <c r="F9" s="3211">
        <v>153.43</v>
      </c>
      <c r="G9" s="3211" t="s">
        <v>3149</v>
      </c>
      <c r="H9" s="3211">
        <v>153.19</v>
      </c>
      <c r="J9" s="3209" t="s">
        <v>3149</v>
      </c>
      <c r="K9" s="3211">
        <v>268.66000000000003</v>
      </c>
      <c r="L9" s="3209" t="s">
        <v>3149</v>
      </c>
      <c r="M9" s="3211">
        <v>217.87</v>
      </c>
      <c r="N9" s="3211">
        <v>201</v>
      </c>
      <c r="O9" s="3211">
        <v>143.25</v>
      </c>
      <c r="P9" s="3211">
        <v>201</v>
      </c>
      <c r="Q9" s="3211">
        <v>142.77000000000001</v>
      </c>
      <c r="S9" s="3209"/>
      <c r="T9" s="3209"/>
    </row>
    <row r="10" spans="1:20">
      <c r="A10" s="3209" t="s">
        <v>3150</v>
      </c>
      <c r="B10" s="3211">
        <v>153.19</v>
      </c>
      <c r="C10" s="3211" t="s">
        <v>3150</v>
      </c>
      <c r="D10" s="3211">
        <v>153.19</v>
      </c>
      <c r="E10" s="3209" t="s">
        <v>3150</v>
      </c>
      <c r="F10" s="3209">
        <v>153.19</v>
      </c>
      <c r="G10" s="3209" t="s">
        <v>3150</v>
      </c>
      <c r="H10" s="3209">
        <v>153.19</v>
      </c>
      <c r="J10" s="3209" t="s">
        <v>3150</v>
      </c>
      <c r="K10" s="3211">
        <v>217.87</v>
      </c>
      <c r="L10" s="3209" t="s">
        <v>3150</v>
      </c>
      <c r="M10" s="3211">
        <v>220.24</v>
      </c>
      <c r="N10" s="3211">
        <v>202</v>
      </c>
      <c r="O10" s="3211">
        <v>142.77000000000001</v>
      </c>
      <c r="P10" s="3211">
        <v>202</v>
      </c>
      <c r="Q10" s="3211">
        <v>193.87</v>
      </c>
      <c r="S10" s="3209"/>
      <c r="T10" s="3209"/>
    </row>
    <row r="11" spans="1:20">
      <c r="A11" s="3209" t="s">
        <v>3151</v>
      </c>
      <c r="B11" s="3211">
        <v>206.01</v>
      </c>
      <c r="C11" s="3211" t="s">
        <v>3151</v>
      </c>
      <c r="D11" s="3211">
        <v>153.19</v>
      </c>
      <c r="E11" s="3211" t="s">
        <v>3151</v>
      </c>
      <c r="F11" s="3211">
        <v>153.43</v>
      </c>
      <c r="G11" s="3211" t="s">
        <v>3151</v>
      </c>
      <c r="H11" s="3211">
        <v>153.19</v>
      </c>
      <c r="J11" s="3209" t="s">
        <v>3151</v>
      </c>
      <c r="K11" s="3211">
        <v>281.79000000000002</v>
      </c>
      <c r="L11" s="3209" t="s">
        <v>3151</v>
      </c>
      <c r="M11" s="3211">
        <v>232.99</v>
      </c>
      <c r="N11" s="3211">
        <v>301</v>
      </c>
      <c r="O11" s="3211">
        <v>150.26</v>
      </c>
      <c r="P11" s="3211">
        <v>301</v>
      </c>
      <c r="Q11" s="3211">
        <v>149.78</v>
      </c>
      <c r="S11" s="3209"/>
      <c r="T11" s="3209"/>
    </row>
    <row r="12" spans="1:20">
      <c r="A12" s="3209" t="s">
        <v>3152</v>
      </c>
      <c r="B12" s="3211">
        <v>153.19</v>
      </c>
      <c r="C12" s="3211" t="s">
        <v>3152</v>
      </c>
      <c r="D12" s="3211">
        <v>153.19</v>
      </c>
      <c r="E12" s="3211" t="s">
        <v>3152</v>
      </c>
      <c r="F12" s="3211">
        <v>153.19</v>
      </c>
      <c r="G12" s="3211" t="s">
        <v>3152</v>
      </c>
      <c r="H12" s="3211">
        <v>153.19</v>
      </c>
      <c r="J12" s="3209" t="s">
        <v>3152</v>
      </c>
      <c r="K12" s="3211">
        <v>232.99</v>
      </c>
      <c r="L12" s="3209" t="s">
        <v>3152</v>
      </c>
      <c r="M12" s="3211">
        <v>235.36</v>
      </c>
      <c r="N12" s="3211">
        <v>302</v>
      </c>
      <c r="O12" s="3211">
        <v>149.78</v>
      </c>
      <c r="P12" s="3211">
        <v>302</v>
      </c>
      <c r="Q12" s="3211">
        <v>201.41</v>
      </c>
      <c r="S12" s="3209"/>
      <c r="T12" s="3209"/>
    </row>
    <row r="13" spans="1:20">
      <c r="A13" s="3209" t="s">
        <v>3153</v>
      </c>
      <c r="B13" s="3211">
        <v>206.01</v>
      </c>
      <c r="C13" s="3211" t="s">
        <v>3153</v>
      </c>
      <c r="D13" s="3211">
        <v>153.19</v>
      </c>
      <c r="E13" s="3211" t="s">
        <v>3153</v>
      </c>
      <c r="F13" s="3211">
        <v>153.43</v>
      </c>
      <c r="G13" s="3211" t="s">
        <v>3153</v>
      </c>
      <c r="H13" s="3211">
        <v>153.19</v>
      </c>
      <c r="J13" s="3209" t="s">
        <v>3153</v>
      </c>
      <c r="K13" s="3211">
        <v>281.79000000000002</v>
      </c>
      <c r="L13" s="3209" t="s">
        <v>3153</v>
      </c>
      <c r="M13" s="3211">
        <v>232.99</v>
      </c>
      <c r="N13" s="3211">
        <v>401</v>
      </c>
      <c r="O13" s="3211">
        <v>150.26</v>
      </c>
      <c r="P13" s="3211">
        <v>401</v>
      </c>
      <c r="Q13" s="3211">
        <v>149.78</v>
      </c>
      <c r="S13" s="3209"/>
      <c r="T13" s="3209"/>
    </row>
    <row r="14" spans="1:20">
      <c r="A14" s="3209" t="s">
        <v>3154</v>
      </c>
      <c r="B14" s="3211">
        <v>153.19</v>
      </c>
      <c r="C14" s="3211" t="s">
        <v>3154</v>
      </c>
      <c r="D14" s="3211">
        <v>153.19</v>
      </c>
      <c r="E14" s="3209" t="s">
        <v>3154</v>
      </c>
      <c r="F14" s="3209">
        <v>153.19</v>
      </c>
      <c r="G14" s="3209" t="s">
        <v>3154</v>
      </c>
      <c r="H14" s="3209">
        <v>153.19</v>
      </c>
      <c r="J14" s="3209" t="s">
        <v>3154</v>
      </c>
      <c r="K14" s="3211">
        <v>232.99</v>
      </c>
      <c r="L14" s="3209" t="s">
        <v>3154</v>
      </c>
      <c r="M14" s="3211">
        <v>235.36</v>
      </c>
      <c r="N14" s="3211">
        <v>402</v>
      </c>
      <c r="O14" s="3211">
        <v>149.78</v>
      </c>
      <c r="P14" s="3211">
        <v>402</v>
      </c>
      <c r="Q14" s="3211">
        <v>201.41</v>
      </c>
      <c r="S14" s="3209"/>
      <c r="T14" s="3209"/>
    </row>
    <row r="15" spans="1:20">
      <c r="A15" s="3209"/>
      <c r="B15" s="3211"/>
      <c r="C15" s="3211" t="s">
        <v>3155</v>
      </c>
      <c r="D15" s="3211">
        <v>153.19</v>
      </c>
      <c r="E15" s="3211" t="s">
        <v>3155</v>
      </c>
      <c r="F15" s="3211">
        <v>153.43</v>
      </c>
      <c r="G15" s="3211" t="s">
        <v>3155</v>
      </c>
      <c r="H15" s="3211">
        <v>153.19</v>
      </c>
      <c r="J15" s="3209" t="s">
        <v>3155</v>
      </c>
      <c r="K15" s="3211">
        <v>281.79000000000002</v>
      </c>
      <c r="L15" s="3209" t="s">
        <v>3155</v>
      </c>
      <c r="M15" s="3211">
        <v>232.99</v>
      </c>
      <c r="N15" s="3211">
        <v>501</v>
      </c>
      <c r="O15" s="3211">
        <v>150.26</v>
      </c>
      <c r="P15" s="3211">
        <v>501</v>
      </c>
      <c r="Q15" s="3211">
        <v>149.78</v>
      </c>
      <c r="S15" s="3209"/>
      <c r="T15" s="3209"/>
    </row>
    <row r="16" spans="1:20">
      <c r="A16" s="3209"/>
      <c r="B16" s="3211"/>
      <c r="C16" s="3211" t="s">
        <v>3156</v>
      </c>
      <c r="D16" s="3211">
        <v>153.19</v>
      </c>
      <c r="E16" s="3211" t="s">
        <v>3156</v>
      </c>
      <c r="F16" s="3211">
        <v>153.19</v>
      </c>
      <c r="G16" s="3211" t="s">
        <v>3156</v>
      </c>
      <c r="H16" s="3211">
        <v>153.19</v>
      </c>
      <c r="J16" s="3209" t="s">
        <v>3156</v>
      </c>
      <c r="K16" s="3211">
        <v>232.99</v>
      </c>
      <c r="L16" s="3209" t="s">
        <v>3156</v>
      </c>
      <c r="M16" s="3211">
        <v>235.36</v>
      </c>
      <c r="N16" s="3211">
        <v>502</v>
      </c>
      <c r="O16" s="3211">
        <v>149.78</v>
      </c>
      <c r="P16" s="3211">
        <v>502</v>
      </c>
      <c r="Q16" s="3211">
        <v>201.41</v>
      </c>
      <c r="S16" s="3209"/>
      <c r="T16" s="3209"/>
    </row>
    <row r="17" spans="1:20">
      <c r="A17" s="3209"/>
      <c r="B17" s="3211"/>
      <c r="C17" s="3211"/>
      <c r="D17" s="3211"/>
      <c r="E17" s="3211"/>
      <c r="F17" s="3211"/>
      <c r="G17" s="3211" t="s">
        <v>3157</v>
      </c>
      <c r="H17" s="3211">
        <v>153.19</v>
      </c>
      <c r="J17" s="3209" t="s">
        <v>3157</v>
      </c>
      <c r="K17" s="3211">
        <v>281.79000000000002</v>
      </c>
      <c r="L17" s="3209" t="s">
        <v>3157</v>
      </c>
      <c r="M17" s="3211">
        <v>232.99</v>
      </c>
      <c r="N17" s="3211">
        <v>601</v>
      </c>
      <c r="O17" s="3211">
        <v>150.26</v>
      </c>
      <c r="P17" s="3211">
        <v>601</v>
      </c>
      <c r="Q17" s="3211">
        <v>149.78</v>
      </c>
      <c r="S17" s="3209"/>
      <c r="T17" s="3209"/>
    </row>
    <row r="18" spans="1:20">
      <c r="A18" s="3209"/>
      <c r="B18" s="3211"/>
      <c r="C18" s="3211"/>
      <c r="D18" s="3211"/>
      <c r="E18" s="3209"/>
      <c r="F18" s="3209"/>
      <c r="G18" s="3209" t="s">
        <v>3158</v>
      </c>
      <c r="H18" s="3209">
        <v>153.19</v>
      </c>
      <c r="J18" s="3209" t="s">
        <v>3158</v>
      </c>
      <c r="K18" s="3211">
        <v>232.99</v>
      </c>
      <c r="L18" s="3209" t="s">
        <v>3158</v>
      </c>
      <c r="M18" s="3211">
        <v>235.36</v>
      </c>
      <c r="N18" s="3211">
        <v>602</v>
      </c>
      <c r="O18" s="3211">
        <v>149.78</v>
      </c>
      <c r="P18" s="3211">
        <v>602</v>
      </c>
      <c r="Q18" s="3211">
        <v>201.41</v>
      </c>
      <c r="S18" s="3209"/>
      <c r="T18" s="3209"/>
    </row>
    <row r="19" spans="1:20">
      <c r="A19" s="3209" t="s">
        <v>3161</v>
      </c>
      <c r="B19" s="3209"/>
      <c r="C19" s="3209" t="s">
        <v>3162</v>
      </c>
      <c r="D19" s="3209"/>
      <c r="E19" s="3211" t="s">
        <v>3169</v>
      </c>
      <c r="F19" s="3211"/>
      <c r="G19" s="3211" t="s">
        <v>3170</v>
      </c>
      <c r="H19" s="3211"/>
      <c r="J19" s="3209" t="s">
        <v>3159</v>
      </c>
      <c r="K19" s="3211">
        <v>281.79000000000002</v>
      </c>
      <c r="L19" s="3209" t="s">
        <v>3159</v>
      </c>
      <c r="M19" s="3211">
        <v>232.99</v>
      </c>
      <c r="N19" s="3211">
        <v>701</v>
      </c>
      <c r="O19" s="3211">
        <v>150.26</v>
      </c>
      <c r="P19" s="3211">
        <v>701</v>
      </c>
      <c r="Q19" s="3211">
        <v>149.78</v>
      </c>
      <c r="S19" s="3209"/>
      <c r="T19" s="3209"/>
    </row>
    <row r="20" spans="1:20">
      <c r="A20" s="3209" t="s">
        <v>3147</v>
      </c>
      <c r="B20" s="3211">
        <v>256.68</v>
      </c>
      <c r="C20" s="3211" t="s">
        <v>3147</v>
      </c>
      <c r="D20" s="3211">
        <v>256.68</v>
      </c>
      <c r="E20" s="3211" t="s">
        <v>3147</v>
      </c>
      <c r="F20" s="3211">
        <v>256.68</v>
      </c>
      <c r="G20" s="3211" t="s">
        <v>3147</v>
      </c>
      <c r="H20" s="3211">
        <v>256.68</v>
      </c>
      <c r="J20" s="3209" t="s">
        <v>3160</v>
      </c>
      <c r="K20" s="3211">
        <v>232.99</v>
      </c>
      <c r="L20" s="3209" t="s">
        <v>3160</v>
      </c>
      <c r="M20" s="3211">
        <v>235.36</v>
      </c>
      <c r="N20" s="3211">
        <v>702</v>
      </c>
      <c r="O20" s="3211">
        <v>149.78</v>
      </c>
      <c r="P20" s="3211">
        <v>702</v>
      </c>
      <c r="Q20" s="3211">
        <v>201.41</v>
      </c>
      <c r="S20" s="3209"/>
      <c r="T20" s="3209"/>
    </row>
    <row r="21" spans="1:20">
      <c r="A21" s="3209" t="s">
        <v>3148</v>
      </c>
      <c r="B21" s="3211">
        <v>260.49</v>
      </c>
      <c r="C21" s="3211" t="s">
        <v>3148</v>
      </c>
      <c r="D21" s="3211">
        <v>263.39</v>
      </c>
      <c r="E21" s="3211" t="s">
        <v>3148</v>
      </c>
      <c r="F21" s="3211">
        <v>260.49</v>
      </c>
      <c r="G21" s="3211" t="s">
        <v>3148</v>
      </c>
      <c r="H21" s="3211">
        <v>357.26</v>
      </c>
      <c r="J21" s="3209" t="s">
        <v>3243</v>
      </c>
      <c r="K21" s="3211">
        <v>281.79000000000002</v>
      </c>
      <c r="L21" s="3209" t="s">
        <v>3243</v>
      </c>
      <c r="M21" s="3211">
        <v>232.99</v>
      </c>
      <c r="N21" s="3211" t="s">
        <v>3243</v>
      </c>
      <c r="O21" s="3211">
        <v>150.26</v>
      </c>
      <c r="P21" s="3211">
        <v>801</v>
      </c>
      <c r="Q21" s="3211">
        <v>149.78</v>
      </c>
      <c r="S21" s="3209"/>
      <c r="T21" s="3209"/>
    </row>
    <row r="22" spans="1:20">
      <c r="A22" s="3209" t="s">
        <v>3149</v>
      </c>
      <c r="B22" s="3211">
        <v>153.19</v>
      </c>
      <c r="C22" s="3211" t="s">
        <v>3149</v>
      </c>
      <c r="D22" s="3211">
        <v>153.19</v>
      </c>
      <c r="E22" s="3209" t="s">
        <v>3149</v>
      </c>
      <c r="F22" s="3209">
        <v>153.19</v>
      </c>
      <c r="G22" s="3209" t="s">
        <v>3149</v>
      </c>
      <c r="H22" s="3209">
        <v>153.19</v>
      </c>
      <c r="J22" s="3209" t="s">
        <v>3244</v>
      </c>
      <c r="K22" s="3211">
        <v>232.99</v>
      </c>
      <c r="L22" s="3209" t="s">
        <v>3244</v>
      </c>
      <c r="M22" s="3211">
        <v>235.36</v>
      </c>
      <c r="N22" s="3211" t="s">
        <v>3244</v>
      </c>
      <c r="O22" s="3211">
        <v>149.78</v>
      </c>
      <c r="P22" s="3211">
        <v>802</v>
      </c>
      <c r="Q22" s="3211">
        <v>201.41</v>
      </c>
      <c r="S22" s="3209"/>
      <c r="T22" s="3209"/>
    </row>
    <row r="23" spans="1:20">
      <c r="A23" s="3209" t="s">
        <v>3150</v>
      </c>
      <c r="B23" s="3211">
        <v>153.19</v>
      </c>
      <c r="C23" s="3211" t="s">
        <v>3150</v>
      </c>
      <c r="D23" s="3211">
        <v>153.43</v>
      </c>
      <c r="E23" s="3211" t="s">
        <v>3150</v>
      </c>
      <c r="F23" s="3211">
        <v>153.19</v>
      </c>
      <c r="G23" s="3211" t="s">
        <v>3150</v>
      </c>
      <c r="H23" s="3211">
        <v>206.01</v>
      </c>
      <c r="J23" s="3209" t="s">
        <v>3245</v>
      </c>
      <c r="K23" s="3211">
        <v>281.79000000000002</v>
      </c>
      <c r="L23" s="3209" t="s">
        <v>3245</v>
      </c>
      <c r="M23" s="3211">
        <v>232.99</v>
      </c>
      <c r="N23" s="3211" t="s">
        <v>3245</v>
      </c>
      <c r="O23" s="3211">
        <v>150.26</v>
      </c>
      <c r="P23" s="3211">
        <v>901</v>
      </c>
      <c r="Q23" s="3211">
        <v>149.78</v>
      </c>
      <c r="S23" s="3209"/>
      <c r="T23" s="3209"/>
    </row>
    <row r="24" spans="1:20">
      <c r="A24" s="3209" t="s">
        <v>3151</v>
      </c>
      <c r="B24" s="3211">
        <v>153.19</v>
      </c>
      <c r="C24" s="3211" t="s">
        <v>3151</v>
      </c>
      <c r="D24" s="3211">
        <v>153.19</v>
      </c>
      <c r="E24" s="3211" t="s">
        <v>3151</v>
      </c>
      <c r="F24" s="3211">
        <v>153.19</v>
      </c>
      <c r="G24" s="3211" t="s">
        <v>3151</v>
      </c>
      <c r="H24" s="3211">
        <v>153.19</v>
      </c>
      <c r="J24" s="3209" t="s">
        <v>3246</v>
      </c>
      <c r="K24" s="3211">
        <v>232.99</v>
      </c>
      <c r="L24" s="3209" t="s">
        <v>3246</v>
      </c>
      <c r="M24" s="3211">
        <v>235.36</v>
      </c>
      <c r="N24" s="3211">
        <v>902</v>
      </c>
      <c r="O24" s="3211">
        <v>149.78</v>
      </c>
      <c r="P24" s="3211">
        <v>902</v>
      </c>
      <c r="Q24" s="3211">
        <v>201.41</v>
      </c>
      <c r="S24" s="3209"/>
      <c r="T24" s="3209"/>
    </row>
    <row r="25" spans="1:20">
      <c r="A25" s="3209" t="s">
        <v>3152</v>
      </c>
      <c r="B25" s="3211">
        <v>153.19</v>
      </c>
      <c r="C25" s="3211" t="s">
        <v>3152</v>
      </c>
      <c r="D25" s="3211">
        <v>153.43</v>
      </c>
      <c r="E25" s="3211" t="s">
        <v>3152</v>
      </c>
      <c r="F25" s="3211">
        <v>153.19</v>
      </c>
      <c r="G25" s="3211" t="s">
        <v>3152</v>
      </c>
      <c r="H25" s="3211">
        <v>206.01</v>
      </c>
      <c r="J25" s="3209"/>
      <c r="K25" s="3211"/>
      <c r="L25" s="3209" t="s">
        <v>3247</v>
      </c>
      <c r="M25" s="3211">
        <v>220.55</v>
      </c>
      <c r="N25" s="3211">
        <v>1001</v>
      </c>
      <c r="O25" s="3211">
        <v>126.27</v>
      </c>
      <c r="P25" s="3211">
        <v>1001</v>
      </c>
      <c r="Q25" s="3211">
        <v>125.79</v>
      </c>
      <c r="S25" s="3209"/>
      <c r="T25" s="3209"/>
    </row>
    <row r="26" spans="1:20">
      <c r="A26" s="3209" t="s">
        <v>3153</v>
      </c>
      <c r="B26" s="3211">
        <v>153.19</v>
      </c>
      <c r="C26" s="3211" t="s">
        <v>3153</v>
      </c>
      <c r="D26" s="3211">
        <v>153.19</v>
      </c>
      <c r="E26" s="3209" t="s">
        <v>3153</v>
      </c>
      <c r="F26" s="3209">
        <v>153.19</v>
      </c>
      <c r="G26" s="3209" t="s">
        <v>3153</v>
      </c>
      <c r="H26" s="3209">
        <v>153.19</v>
      </c>
      <c r="J26" s="3209"/>
      <c r="K26" s="3211"/>
      <c r="L26" s="3209" t="s">
        <v>3248</v>
      </c>
      <c r="M26" s="3211">
        <v>222.9</v>
      </c>
      <c r="N26" s="3211">
        <v>1002</v>
      </c>
      <c r="O26" s="3211">
        <v>125.79</v>
      </c>
      <c r="P26" s="3211">
        <v>1002</v>
      </c>
      <c r="Q26" s="3211">
        <v>168.13</v>
      </c>
      <c r="S26" s="3209"/>
      <c r="T26" s="3209"/>
    </row>
    <row r="27" spans="1:20" ht="14.25">
      <c r="A27" s="3209" t="s">
        <v>3154</v>
      </c>
      <c r="B27" s="3211">
        <v>153.19</v>
      </c>
      <c r="C27" s="3211" t="s">
        <v>3154</v>
      </c>
      <c r="D27" s="3211">
        <v>153.43</v>
      </c>
      <c r="E27" s="3211" t="s">
        <v>3154</v>
      </c>
      <c r="F27" s="3211">
        <v>153.19</v>
      </c>
      <c r="G27" s="3211" t="s">
        <v>3154</v>
      </c>
      <c r="H27" s="3211">
        <v>206.01</v>
      </c>
      <c r="J27" s="3604" t="s">
        <v>3249</v>
      </c>
      <c r="K27" s="3605"/>
      <c r="L27" s="3243"/>
      <c r="M27" s="3243"/>
      <c r="N27" s="3611">
        <f>SUM(K6:K26)+SUM(O6:O26)+SUM(M6:M26)+SUM(Q6:Q26)</f>
        <v>16903.5</v>
      </c>
      <c r="O27" s="3611"/>
      <c r="P27" s="3611"/>
      <c r="Q27" s="3611"/>
      <c r="S27" s="3209"/>
      <c r="T27" s="3209"/>
    </row>
    <row r="28" spans="1:20">
      <c r="A28" s="3209"/>
      <c r="B28" s="3211"/>
      <c r="C28" s="3211" t="s">
        <v>3155</v>
      </c>
      <c r="D28" s="3211">
        <v>153.19</v>
      </c>
      <c r="E28" s="3211" t="s">
        <v>3155</v>
      </c>
      <c r="F28" s="3211">
        <v>153.19</v>
      </c>
      <c r="G28" s="3211" t="s">
        <v>3155</v>
      </c>
      <c r="H28" s="3211">
        <v>153.19</v>
      </c>
      <c r="S28" s="3209"/>
      <c r="T28" s="3209"/>
    </row>
    <row r="29" spans="1:20">
      <c r="A29" s="3209"/>
      <c r="B29" s="3211"/>
      <c r="C29" s="3211" t="s">
        <v>3156</v>
      </c>
      <c r="D29" s="3211">
        <v>153.43</v>
      </c>
      <c r="E29" s="3211" t="s">
        <v>3156</v>
      </c>
      <c r="F29" s="3211">
        <v>153.19</v>
      </c>
      <c r="G29" s="3211" t="s">
        <v>3156</v>
      </c>
      <c r="H29" s="3211">
        <v>206.01</v>
      </c>
      <c r="S29" s="3209"/>
      <c r="T29" s="3209"/>
    </row>
    <row r="30" spans="1:20">
      <c r="A30" s="3209"/>
      <c r="B30" s="3211"/>
      <c r="C30" s="3211"/>
      <c r="D30" s="3211"/>
      <c r="E30" s="3209"/>
      <c r="F30" s="3209"/>
      <c r="G30" s="3209" t="s">
        <v>3157</v>
      </c>
      <c r="H30" s="3209">
        <v>153.19</v>
      </c>
      <c r="S30" s="3209"/>
      <c r="T30" s="3209"/>
    </row>
    <row r="31" spans="1:20">
      <c r="A31" s="3209"/>
      <c r="B31" s="3211"/>
      <c r="C31" s="3211"/>
      <c r="D31" s="3211"/>
      <c r="E31" s="3211"/>
      <c r="F31" s="3211"/>
      <c r="G31" s="3211" t="s">
        <v>3158</v>
      </c>
      <c r="H31" s="3211">
        <v>206.01</v>
      </c>
      <c r="S31" s="3209"/>
      <c r="T31" s="3209"/>
    </row>
    <row r="32" spans="1:20" ht="14.25">
      <c r="A32" s="3604" t="s">
        <v>3239</v>
      </c>
      <c r="B32" s="3612"/>
      <c r="C32" s="3612"/>
      <c r="D32" s="3605"/>
      <c r="E32" s="3606">
        <f>SUM(B6:B31)+SUM(D6:D31)+SUM(F6:F31)+SUM(H6:H31)</f>
        <v>14581.970000000001</v>
      </c>
      <c r="F32" s="3613"/>
      <c r="G32" s="3613"/>
      <c r="H32" s="3614"/>
      <c r="S32" s="3209"/>
      <c r="T32" s="3209"/>
    </row>
    <row r="33" spans="1:20">
      <c r="S33" s="3209"/>
      <c r="T33" s="3209"/>
    </row>
    <row r="34" spans="1:20">
      <c r="S34" s="3209"/>
      <c r="T34" s="3209"/>
    </row>
    <row r="35" spans="1:20">
      <c r="B35" s="3240" t="s">
        <v>3251</v>
      </c>
      <c r="J35" s="3240" t="s">
        <v>3258</v>
      </c>
      <c r="K35" s="3240" t="s">
        <v>3256</v>
      </c>
      <c r="L35" s="3240" t="s">
        <v>3259</v>
      </c>
      <c r="S35" s="3209"/>
      <c r="T35" s="3209"/>
    </row>
    <row r="36" spans="1:20">
      <c r="A36" s="3240" t="s">
        <v>3250</v>
      </c>
      <c r="B36" s="3240" t="s">
        <v>3252</v>
      </c>
      <c r="C36" s="3240" t="s">
        <v>3255</v>
      </c>
      <c r="J36" s="3247">
        <f>E32</f>
        <v>14581.970000000001</v>
      </c>
      <c r="K36" s="3246">
        <f>36%</f>
        <v>0.36</v>
      </c>
      <c r="L36">
        <f>J36*K36+J37*K37+J38*K38</f>
        <v>12102.210000000001</v>
      </c>
      <c r="S36" s="3209"/>
      <c r="T36" s="3209"/>
    </row>
    <row r="37" spans="1:20">
      <c r="B37" s="3240" t="s">
        <v>3254</v>
      </c>
      <c r="C37" s="3240" t="s">
        <v>3257</v>
      </c>
      <c r="J37" s="3247">
        <f>N27</f>
        <v>16903.5</v>
      </c>
      <c r="K37" s="3245">
        <v>0.36</v>
      </c>
      <c r="L37" s="3248">
        <f>ROUND(L36/J39,2)</f>
        <v>0.36</v>
      </c>
      <c r="S37" s="3209"/>
      <c r="T37" s="3209"/>
    </row>
    <row r="38" spans="1:20">
      <c r="B38" s="3240" t="s">
        <v>3253</v>
      </c>
      <c r="C38" s="3240" t="s">
        <v>3257</v>
      </c>
      <c r="J38">
        <f>T39</f>
        <v>2131.7799999999997</v>
      </c>
      <c r="K38" s="3245">
        <v>0.36</v>
      </c>
      <c r="S38" s="3209"/>
      <c r="T38" s="3209"/>
    </row>
    <row r="39" spans="1:20" ht="14.25">
      <c r="J39" s="3247">
        <f>J36+J37+J38</f>
        <v>33617.25</v>
      </c>
      <c r="S39" s="3244" t="s">
        <v>3249</v>
      </c>
      <c r="T39" s="3238">
        <f>SUM(T6:T38)</f>
        <v>2131.7799999999997</v>
      </c>
    </row>
  </sheetData>
  <mergeCells count="25">
    <mergeCell ref="F3:F5"/>
    <mergeCell ref="G3:G5"/>
    <mergeCell ref="H3:H5"/>
    <mergeCell ref="A32:D32"/>
    <mergeCell ref="E32:H32"/>
    <mergeCell ref="J1:Q1"/>
    <mergeCell ref="J3:J5"/>
    <mergeCell ref="K3:K5"/>
    <mergeCell ref="L3:L5"/>
    <mergeCell ref="M3:M5"/>
    <mergeCell ref="N3:N5"/>
    <mergeCell ref="O3:O5"/>
    <mergeCell ref="P3:P5"/>
    <mergeCell ref="A1:H1"/>
    <mergeCell ref="A3:A5"/>
    <mergeCell ref="B3:B5"/>
    <mergeCell ref="C3:C5"/>
    <mergeCell ref="D3:D5"/>
    <mergeCell ref="E3:E5"/>
    <mergeCell ref="Q3:Q5"/>
    <mergeCell ref="J27:K27"/>
    <mergeCell ref="N27:Q27"/>
    <mergeCell ref="S1:T1"/>
    <mergeCell ref="S3:S5"/>
    <mergeCell ref="T3:T5"/>
  </mergeCells>
  <phoneticPr fontId="1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51"/>
  <sheetViews>
    <sheetView zoomScale="85" zoomScaleNormal="85" workbookViewId="0">
      <selection activeCell="A21" sqref="A21"/>
    </sheetView>
  </sheetViews>
  <sheetFormatPr defaultRowHeight="14.25"/>
  <cols>
    <col min="1" max="1" width="45.25" style="3249" customWidth="1"/>
    <col min="2" max="22" width="20" style="3249" customWidth="1"/>
    <col min="23" max="16384" width="9" style="3249"/>
  </cols>
  <sheetData>
    <row r="1" spans="1:21">
      <c r="A1" s="3249" t="s">
        <v>3261</v>
      </c>
      <c r="B1" s="3249" t="s">
        <v>3262</v>
      </c>
      <c r="C1" s="3249" t="s">
        <v>3263</v>
      </c>
      <c r="D1" s="3249" t="s">
        <v>3264</v>
      </c>
      <c r="E1" s="3249" t="s">
        <v>3265</v>
      </c>
      <c r="F1" s="3249" t="s">
        <v>3266</v>
      </c>
      <c r="G1" s="3249" t="s">
        <v>3267</v>
      </c>
      <c r="H1" s="3249" t="s">
        <v>3268</v>
      </c>
      <c r="I1" s="3249" t="s">
        <v>3269</v>
      </c>
      <c r="J1" s="3249" t="s">
        <v>3270</v>
      </c>
      <c r="K1" s="3249" t="s">
        <v>3271</v>
      </c>
      <c r="L1" s="3249" t="s">
        <v>3272</v>
      </c>
      <c r="M1" s="3249" t="s">
        <v>3273</v>
      </c>
      <c r="N1" s="3249" t="s">
        <v>3274</v>
      </c>
      <c r="O1" s="3249" t="s">
        <v>3275</v>
      </c>
      <c r="P1" s="3249" t="s">
        <v>3276</v>
      </c>
      <c r="Q1" s="3249" t="s">
        <v>3277</v>
      </c>
      <c r="R1" s="3249" t="s">
        <v>3278</v>
      </c>
      <c r="S1" s="3249" t="s">
        <v>3279</v>
      </c>
      <c r="T1" s="3249" t="s">
        <v>3280</v>
      </c>
      <c r="U1" s="3249" t="s">
        <v>3281</v>
      </c>
    </row>
    <row r="2" spans="1:21">
      <c r="A2" s="3249" t="s">
        <v>3282</v>
      </c>
      <c r="B2" s="3249" t="s">
        <v>3283</v>
      </c>
      <c r="C2" s="3249" t="s">
        <v>3284</v>
      </c>
      <c r="D2" s="3249">
        <v>57220.14</v>
      </c>
      <c r="E2" s="3249">
        <v>132000</v>
      </c>
      <c r="F2" s="3249">
        <v>2.2999999999999998</v>
      </c>
      <c r="G2" s="3249" t="s">
        <v>3285</v>
      </c>
      <c r="H2" s="3249" t="s">
        <v>3286</v>
      </c>
      <c r="I2" s="3249" t="s">
        <v>3287</v>
      </c>
      <c r="J2" s="3249" t="s">
        <v>3288</v>
      </c>
      <c r="K2" s="3249" t="s">
        <v>3289</v>
      </c>
      <c r="L2" s="3249" t="s">
        <v>3289</v>
      </c>
      <c r="M2" s="3250">
        <v>44554</v>
      </c>
      <c r="N2" s="3249" t="s">
        <v>3290</v>
      </c>
      <c r="O2" s="3249" t="s">
        <v>3291</v>
      </c>
      <c r="P2" s="3249">
        <v>561000</v>
      </c>
      <c r="Q2" s="3249">
        <v>6536.16</v>
      </c>
      <c r="R2" s="3249">
        <v>42500</v>
      </c>
      <c r="S2" s="3249">
        <v>0</v>
      </c>
      <c r="T2" s="3249">
        <v>589050</v>
      </c>
      <c r="U2" s="3249">
        <v>81000</v>
      </c>
    </row>
    <row r="3" spans="1:21">
      <c r="A3" s="3249" t="s">
        <v>3292</v>
      </c>
      <c r="B3" s="3249" t="s">
        <v>3293</v>
      </c>
      <c r="C3" s="3249" t="s">
        <v>3284</v>
      </c>
      <c r="D3" s="3249">
        <v>76681.88</v>
      </c>
      <c r="E3" s="3249">
        <v>137000</v>
      </c>
      <c r="F3" s="3249">
        <v>1.8</v>
      </c>
      <c r="G3" s="3249" t="s">
        <v>3285</v>
      </c>
      <c r="H3" s="3249" t="s">
        <v>3286</v>
      </c>
      <c r="I3" s="3249" t="s">
        <v>3287</v>
      </c>
      <c r="J3" s="3249" t="s">
        <v>3288</v>
      </c>
      <c r="K3" s="3249" t="s">
        <v>3289</v>
      </c>
      <c r="L3" s="3249" t="s">
        <v>3289</v>
      </c>
      <c r="M3" s="3250">
        <v>44554</v>
      </c>
      <c r="N3" s="3249" t="s">
        <v>3290</v>
      </c>
      <c r="O3" s="3249" t="s">
        <v>3291</v>
      </c>
      <c r="P3" s="3249">
        <v>707000</v>
      </c>
      <c r="Q3" s="3249">
        <v>6146.61</v>
      </c>
      <c r="R3" s="3249">
        <v>51606</v>
      </c>
      <c r="S3" s="3249">
        <v>0</v>
      </c>
      <c r="T3" s="3249">
        <v>742350</v>
      </c>
      <c r="U3" s="3249">
        <v>86000</v>
      </c>
    </row>
    <row r="4" spans="1:21">
      <c r="A4" s="3249" t="s">
        <v>3294</v>
      </c>
      <c r="B4" s="3249" t="s">
        <v>3295</v>
      </c>
      <c r="C4" s="3249" t="s">
        <v>3284</v>
      </c>
      <c r="D4" s="3249">
        <v>21711.13</v>
      </c>
      <c r="E4" s="3249">
        <v>47764</v>
      </c>
      <c r="F4" s="3249">
        <v>2.2000000000000002</v>
      </c>
      <c r="G4" s="3249" t="s">
        <v>3285</v>
      </c>
      <c r="H4" s="3249" t="s">
        <v>3286</v>
      </c>
      <c r="I4" s="3249" t="s">
        <v>3287</v>
      </c>
      <c r="J4" s="3249" t="s">
        <v>3288</v>
      </c>
      <c r="K4" s="3249" t="s">
        <v>3289</v>
      </c>
      <c r="L4" s="3249" t="s">
        <v>3289</v>
      </c>
      <c r="M4" s="3250">
        <v>44554</v>
      </c>
      <c r="N4" s="3249" t="s">
        <v>3290</v>
      </c>
      <c r="O4" s="3249" t="s">
        <v>3296</v>
      </c>
      <c r="P4" s="3249">
        <v>208000</v>
      </c>
      <c r="Q4" s="3249">
        <v>6386.89</v>
      </c>
      <c r="R4" s="3249">
        <v>43547</v>
      </c>
      <c r="S4" s="3249">
        <v>0</v>
      </c>
      <c r="T4" s="3249">
        <v>218400</v>
      </c>
      <c r="U4" s="3249">
        <v>69800</v>
      </c>
    </row>
    <row r="5" spans="1:21">
      <c r="A5" s="3249" t="s">
        <v>3297</v>
      </c>
      <c r="B5" s="3249" t="s">
        <v>3298</v>
      </c>
      <c r="C5" s="3249" t="s">
        <v>3284</v>
      </c>
      <c r="D5" s="3249">
        <v>63959.72</v>
      </c>
      <c r="E5" s="3249">
        <v>94000</v>
      </c>
      <c r="F5" s="3249">
        <v>1.47</v>
      </c>
      <c r="G5" s="3249" t="s">
        <v>3285</v>
      </c>
      <c r="H5" s="3249" t="s">
        <v>3286</v>
      </c>
      <c r="I5" s="3249" t="s">
        <v>3287</v>
      </c>
      <c r="J5" s="3249" t="s">
        <v>3288</v>
      </c>
      <c r="K5" s="3249" t="s">
        <v>3289</v>
      </c>
      <c r="L5" s="3249" t="s">
        <v>3289</v>
      </c>
      <c r="M5" s="3250">
        <v>44554</v>
      </c>
      <c r="N5" s="3249" t="s">
        <v>3290</v>
      </c>
      <c r="O5" s="3249" t="s">
        <v>3291</v>
      </c>
      <c r="P5" s="3249">
        <v>485000</v>
      </c>
      <c r="Q5" s="3249">
        <v>5055.26</v>
      </c>
      <c r="R5" s="3249">
        <v>51596</v>
      </c>
      <c r="S5" s="3249">
        <v>0</v>
      </c>
      <c r="T5" s="3249">
        <v>509250</v>
      </c>
      <c r="U5" s="3249">
        <v>86000</v>
      </c>
    </row>
    <row r="6" spans="1:21">
      <c r="A6" s="3249" t="s">
        <v>3299</v>
      </c>
      <c r="B6" s="3249" t="s">
        <v>3300</v>
      </c>
      <c r="C6" s="3249" t="s">
        <v>3284</v>
      </c>
      <c r="D6" s="3249">
        <v>55613.32</v>
      </c>
      <c r="E6" s="3249">
        <v>83419.98</v>
      </c>
      <c r="F6" s="3249">
        <v>1.5</v>
      </c>
      <c r="G6" s="3249" t="s">
        <v>3285</v>
      </c>
      <c r="H6" s="3249" t="s">
        <v>3301</v>
      </c>
      <c r="I6" s="3249" t="s">
        <v>3302</v>
      </c>
      <c r="J6" s="3249" t="s">
        <v>3288</v>
      </c>
      <c r="K6" s="3249" t="s">
        <v>3289</v>
      </c>
      <c r="L6" s="3249" t="s">
        <v>3289</v>
      </c>
      <c r="M6" s="3250">
        <v>44482</v>
      </c>
      <c r="N6" s="3249" t="s">
        <v>3290</v>
      </c>
      <c r="O6" s="3249" t="s">
        <v>3303</v>
      </c>
      <c r="P6" s="3249">
        <v>449500</v>
      </c>
      <c r="Q6" s="3249">
        <v>5388.4</v>
      </c>
      <c r="R6" s="3249">
        <v>53884</v>
      </c>
      <c r="S6" s="3249">
        <v>6.26</v>
      </c>
      <c r="T6" s="3249">
        <v>465300</v>
      </c>
      <c r="U6" s="3249">
        <v>83000</v>
      </c>
    </row>
    <row r="7" spans="1:21" s="3251" customFormat="1">
      <c r="A7" s="3251" t="s">
        <v>3304</v>
      </c>
      <c r="B7" s="3251" t="s">
        <v>3305</v>
      </c>
      <c r="C7" s="3251" t="s">
        <v>3284</v>
      </c>
      <c r="D7" s="3251">
        <v>25289.72</v>
      </c>
      <c r="E7" s="3251">
        <v>61500</v>
      </c>
      <c r="F7" s="3251">
        <v>2.4300000000000002</v>
      </c>
      <c r="G7" s="3251" t="s">
        <v>3285</v>
      </c>
      <c r="H7" s="3251" t="s">
        <v>3286</v>
      </c>
      <c r="I7" s="3251" t="s">
        <v>3302</v>
      </c>
      <c r="J7" s="3251" t="s">
        <v>3306</v>
      </c>
      <c r="K7" s="3251" t="s">
        <v>3289</v>
      </c>
      <c r="L7" s="3251" t="s">
        <v>3289</v>
      </c>
      <c r="M7" s="3252">
        <v>44487</v>
      </c>
      <c r="N7" s="3251" t="s">
        <v>3290</v>
      </c>
      <c r="O7" s="3251" t="s">
        <v>3307</v>
      </c>
      <c r="P7" s="3251">
        <v>444000</v>
      </c>
      <c r="Q7" s="3251">
        <v>11704.36</v>
      </c>
      <c r="R7" s="3251">
        <v>72195</v>
      </c>
      <c r="S7" s="3251">
        <v>5.97</v>
      </c>
      <c r="T7" s="3251">
        <v>444000</v>
      </c>
      <c r="U7" s="3251">
        <v>112000</v>
      </c>
    </row>
    <row r="8" spans="1:21">
      <c r="A8" s="3249" t="s">
        <v>3308</v>
      </c>
      <c r="B8" s="3249" t="s">
        <v>3309</v>
      </c>
      <c r="C8" s="3249" t="s">
        <v>3284</v>
      </c>
      <c r="D8" s="3249">
        <v>11822.2</v>
      </c>
      <c r="E8" s="3249">
        <v>35466</v>
      </c>
      <c r="F8" s="3249">
        <v>3</v>
      </c>
      <c r="G8" s="3249" t="s">
        <v>3285</v>
      </c>
      <c r="H8" s="3249" t="s">
        <v>3310</v>
      </c>
      <c r="I8" s="3249" t="s">
        <v>3302</v>
      </c>
      <c r="J8" s="3249" t="s">
        <v>3311</v>
      </c>
      <c r="K8" s="3249" t="s">
        <v>3289</v>
      </c>
      <c r="L8" s="3249" t="s">
        <v>3289</v>
      </c>
      <c r="M8" s="3250">
        <v>44481</v>
      </c>
      <c r="N8" s="3249" t="s">
        <v>3290</v>
      </c>
      <c r="O8" s="3249" t="s">
        <v>3312</v>
      </c>
      <c r="P8" s="3249">
        <v>116000</v>
      </c>
      <c r="Q8" s="3249">
        <v>6541.37</v>
      </c>
      <c r="R8" s="3249">
        <v>32707</v>
      </c>
      <c r="S8" s="3249">
        <v>0</v>
      </c>
      <c r="T8" s="3249">
        <v>127600</v>
      </c>
      <c r="U8" s="3249">
        <v>74300</v>
      </c>
    </row>
    <row r="9" spans="1:21">
      <c r="A9" s="3249" t="s">
        <v>3313</v>
      </c>
      <c r="B9" s="3249" t="s">
        <v>3314</v>
      </c>
      <c r="C9" s="3249" t="s">
        <v>3284</v>
      </c>
      <c r="D9" s="3249">
        <v>27366.58</v>
      </c>
      <c r="E9" s="3249">
        <v>68416</v>
      </c>
      <c r="F9" s="3249">
        <v>2.5</v>
      </c>
      <c r="G9" s="3249" t="s">
        <v>3285</v>
      </c>
      <c r="H9" s="3249" t="s">
        <v>3286</v>
      </c>
      <c r="I9" s="3249" t="s">
        <v>3302</v>
      </c>
      <c r="J9" s="3249" t="s">
        <v>3311</v>
      </c>
      <c r="K9" s="3249" t="s">
        <v>3289</v>
      </c>
      <c r="L9" s="3249" t="s">
        <v>3289</v>
      </c>
      <c r="M9" s="3250">
        <v>44481</v>
      </c>
      <c r="N9" s="3249" t="s">
        <v>3290</v>
      </c>
      <c r="O9" s="3249" t="s">
        <v>3315</v>
      </c>
      <c r="P9" s="3249">
        <v>376000</v>
      </c>
      <c r="Q9" s="3249">
        <v>9159.59</v>
      </c>
      <c r="R9" s="3249">
        <v>54958</v>
      </c>
      <c r="S9" s="3249">
        <v>0</v>
      </c>
      <c r="T9" s="3249">
        <v>413600</v>
      </c>
      <c r="U9" s="3249">
        <v>75000</v>
      </c>
    </row>
    <row r="10" spans="1:21" s="3251" customFormat="1">
      <c r="A10" s="3251" t="s">
        <v>3316</v>
      </c>
      <c r="B10" s="3251" t="s">
        <v>3317</v>
      </c>
      <c r="C10" s="3251" t="s">
        <v>3284</v>
      </c>
      <c r="D10" s="3251">
        <v>57020.91</v>
      </c>
      <c r="E10" s="3251">
        <v>92371</v>
      </c>
      <c r="F10" s="3251" t="s">
        <v>3318</v>
      </c>
      <c r="G10" s="3251" t="s">
        <v>3285</v>
      </c>
      <c r="H10" s="3251" t="s">
        <v>3286</v>
      </c>
      <c r="I10" s="3251" t="s">
        <v>3319</v>
      </c>
      <c r="J10" s="3251" t="s">
        <v>3320</v>
      </c>
      <c r="K10" s="3251" t="s">
        <v>3289</v>
      </c>
      <c r="L10" s="3251" t="s">
        <v>3289</v>
      </c>
      <c r="M10" s="3252">
        <v>44342</v>
      </c>
      <c r="N10" s="3251" t="s">
        <v>3290</v>
      </c>
      <c r="O10" s="3251" t="s">
        <v>3321</v>
      </c>
      <c r="P10" s="3251">
        <v>637000</v>
      </c>
      <c r="Q10" s="3251">
        <v>7447.56</v>
      </c>
      <c r="R10" s="3251">
        <v>68961</v>
      </c>
      <c r="S10" s="3251">
        <v>2.58</v>
      </c>
      <c r="T10" s="3251">
        <v>637000</v>
      </c>
      <c r="U10" s="3251" t="s">
        <v>3322</v>
      </c>
    </row>
    <row r="11" spans="1:21">
      <c r="A11" s="3249" t="s">
        <v>3323</v>
      </c>
      <c r="B11" s="3249" t="s">
        <v>3324</v>
      </c>
      <c r="C11" s="3249" t="s">
        <v>3284</v>
      </c>
      <c r="D11" s="3249">
        <v>32382.01</v>
      </c>
      <c r="E11" s="3249">
        <v>80955</v>
      </c>
      <c r="F11" s="3249" t="s">
        <v>3325</v>
      </c>
      <c r="G11" s="3249" t="s">
        <v>3285</v>
      </c>
      <c r="H11" s="3249" t="s">
        <v>3286</v>
      </c>
      <c r="I11" s="3249" t="s">
        <v>3319</v>
      </c>
      <c r="J11" s="3249" t="s">
        <v>3326</v>
      </c>
      <c r="K11" s="3249" t="s">
        <v>3289</v>
      </c>
      <c r="L11" s="3249" t="s">
        <v>3289</v>
      </c>
      <c r="M11" s="3250">
        <v>44340</v>
      </c>
      <c r="N11" s="3249" t="s">
        <v>3290</v>
      </c>
      <c r="O11" s="3249" t="s">
        <v>3327</v>
      </c>
      <c r="P11" s="3249">
        <v>315000</v>
      </c>
      <c r="Q11" s="3249">
        <v>6485.08</v>
      </c>
      <c r="R11" s="3249">
        <v>38911</v>
      </c>
      <c r="S11" s="3249">
        <v>5</v>
      </c>
      <c r="T11" s="3249" t="s">
        <v>3322</v>
      </c>
      <c r="U11" s="3249" t="s">
        <v>3322</v>
      </c>
    </row>
    <row r="12" spans="1:21">
      <c r="A12" s="3249" t="s">
        <v>3328</v>
      </c>
      <c r="B12" s="3249" t="s">
        <v>3329</v>
      </c>
      <c r="C12" s="3249" t="s">
        <v>3284</v>
      </c>
      <c r="D12" s="3249">
        <v>41186.94</v>
      </c>
      <c r="E12" s="3249">
        <v>102967</v>
      </c>
      <c r="F12" s="3249" t="s">
        <v>3330</v>
      </c>
      <c r="G12" s="3249" t="s">
        <v>3285</v>
      </c>
      <c r="H12" s="3249" t="s">
        <v>3286</v>
      </c>
      <c r="I12" s="3249" t="s">
        <v>3319</v>
      </c>
      <c r="J12" s="3249" t="s">
        <v>3331</v>
      </c>
      <c r="K12" s="3249" t="s">
        <v>3289</v>
      </c>
      <c r="L12" s="3249" t="s">
        <v>3289</v>
      </c>
      <c r="M12" s="3250">
        <v>44326</v>
      </c>
      <c r="N12" s="3249" t="s">
        <v>3290</v>
      </c>
      <c r="O12" s="3249" t="s">
        <v>3332</v>
      </c>
      <c r="P12" s="3249">
        <v>509400</v>
      </c>
      <c r="Q12" s="3249">
        <v>8245.33</v>
      </c>
      <c r="R12" s="3249">
        <v>49472</v>
      </c>
      <c r="S12" s="3249">
        <v>14.99</v>
      </c>
      <c r="T12" s="3249">
        <v>509400</v>
      </c>
      <c r="U12" s="3249" t="s">
        <v>3322</v>
      </c>
    </row>
    <row r="13" spans="1:21">
      <c r="A13" s="3249" t="s">
        <v>3333</v>
      </c>
      <c r="B13" s="3249" t="s">
        <v>3334</v>
      </c>
      <c r="C13" s="3249" t="s">
        <v>3284</v>
      </c>
      <c r="D13" s="3249">
        <v>74400.31</v>
      </c>
      <c r="E13" s="3249">
        <v>171120.71</v>
      </c>
      <c r="F13" s="3249" t="s">
        <v>3335</v>
      </c>
      <c r="G13" s="3249" t="s">
        <v>3285</v>
      </c>
      <c r="H13" s="3249" t="s">
        <v>3286</v>
      </c>
      <c r="I13" s="3249" t="s">
        <v>3319</v>
      </c>
      <c r="J13" s="3249" t="s">
        <v>3331</v>
      </c>
      <c r="K13" s="3249" t="s">
        <v>3289</v>
      </c>
      <c r="L13" s="3249" t="s">
        <v>3289</v>
      </c>
      <c r="M13" s="3250">
        <v>44327</v>
      </c>
      <c r="N13" s="3249" t="s">
        <v>3290</v>
      </c>
      <c r="O13" s="3249" t="s">
        <v>3336</v>
      </c>
      <c r="P13" s="3249">
        <v>620000</v>
      </c>
      <c r="Q13" s="3249">
        <v>5555.53</v>
      </c>
      <c r="R13" s="3249">
        <v>36232</v>
      </c>
      <c r="S13" s="3249">
        <v>5.08</v>
      </c>
      <c r="T13" s="3249">
        <v>620000</v>
      </c>
      <c r="U13" s="3249" t="s">
        <v>3322</v>
      </c>
    </row>
    <row r="14" spans="1:21">
      <c r="A14" s="3249" t="s">
        <v>3337</v>
      </c>
      <c r="B14" s="3249" t="s">
        <v>3338</v>
      </c>
      <c r="C14" s="3249" t="s">
        <v>3284</v>
      </c>
      <c r="D14" s="3249">
        <v>48808.67</v>
      </c>
      <c r="E14" s="3249">
        <v>122022</v>
      </c>
      <c r="F14" s="3249" t="s">
        <v>3325</v>
      </c>
      <c r="G14" s="3249" t="s">
        <v>3285</v>
      </c>
      <c r="H14" s="3249" t="s">
        <v>3286</v>
      </c>
      <c r="I14" s="3249" t="s">
        <v>3319</v>
      </c>
      <c r="J14" s="3249" t="s">
        <v>3326</v>
      </c>
      <c r="K14" s="3249" t="s">
        <v>3289</v>
      </c>
      <c r="L14" s="3249" t="s">
        <v>3289</v>
      </c>
      <c r="M14" s="3250">
        <v>44343</v>
      </c>
      <c r="N14" s="3249" t="s">
        <v>3290</v>
      </c>
      <c r="O14" s="3249" t="s">
        <v>3339</v>
      </c>
      <c r="P14" s="3249">
        <v>545000</v>
      </c>
      <c r="Q14" s="3249">
        <v>7444.03</v>
      </c>
      <c r="R14" s="3249">
        <v>44664</v>
      </c>
      <c r="S14" s="3249">
        <v>5.01</v>
      </c>
      <c r="T14" s="3249">
        <v>545000</v>
      </c>
      <c r="U14" s="3249" t="s">
        <v>3322</v>
      </c>
    </row>
    <row r="15" spans="1:21">
      <c r="A15" s="3249" t="s">
        <v>3340</v>
      </c>
      <c r="B15" s="3249" t="s">
        <v>3341</v>
      </c>
      <c r="C15" s="3249" t="s">
        <v>3284</v>
      </c>
      <c r="D15" s="3249">
        <v>38953.300000000003</v>
      </c>
      <c r="E15" s="3249">
        <v>50639</v>
      </c>
      <c r="F15" s="3249" t="s">
        <v>3342</v>
      </c>
      <c r="G15" s="3249" t="s">
        <v>3285</v>
      </c>
      <c r="H15" s="3249" t="s">
        <v>3286</v>
      </c>
      <c r="I15" s="3249" t="s">
        <v>3319</v>
      </c>
      <c r="J15" s="3249" t="s">
        <v>3343</v>
      </c>
      <c r="K15" s="3249" t="s">
        <v>3289</v>
      </c>
      <c r="L15" s="3249" t="s">
        <v>3289</v>
      </c>
      <c r="M15" s="3250">
        <v>44326</v>
      </c>
      <c r="N15" s="3249" t="s">
        <v>3290</v>
      </c>
      <c r="O15" s="3249" t="s">
        <v>3344</v>
      </c>
      <c r="P15" s="3249">
        <v>268300</v>
      </c>
      <c r="Q15" s="3249">
        <v>4591.82</v>
      </c>
      <c r="R15" s="3249">
        <v>52983</v>
      </c>
      <c r="S15" s="3249">
        <v>3.87</v>
      </c>
      <c r="T15" s="3249">
        <v>268300</v>
      </c>
      <c r="U15" s="3249" t="s">
        <v>3322</v>
      </c>
    </row>
    <row r="16" spans="1:21">
      <c r="A16" s="3249" t="s">
        <v>3345</v>
      </c>
      <c r="B16" s="3249" t="s">
        <v>3346</v>
      </c>
      <c r="C16" s="3249" t="s">
        <v>3284</v>
      </c>
      <c r="D16" s="3249">
        <v>17102.490000000002</v>
      </c>
      <c r="E16" s="3249">
        <v>47887</v>
      </c>
      <c r="F16" s="3249" t="s">
        <v>3347</v>
      </c>
      <c r="G16" s="3249" t="s">
        <v>3285</v>
      </c>
      <c r="H16" s="3249" t="s">
        <v>3286</v>
      </c>
      <c r="I16" s="3249" t="s">
        <v>3319</v>
      </c>
      <c r="J16" s="3249" t="s">
        <v>3331</v>
      </c>
      <c r="K16" s="3249" t="s">
        <v>3289</v>
      </c>
      <c r="L16" s="3249" t="s">
        <v>3289</v>
      </c>
      <c r="M16" s="3250">
        <v>44326</v>
      </c>
      <c r="N16" s="3249" t="s">
        <v>3290</v>
      </c>
      <c r="O16" s="3249" t="s">
        <v>3348</v>
      </c>
      <c r="P16" s="3249">
        <v>228000</v>
      </c>
      <c r="Q16" s="3249">
        <v>8887.59</v>
      </c>
      <c r="R16" s="3249">
        <v>47612</v>
      </c>
      <c r="S16" s="3249">
        <v>5.07</v>
      </c>
      <c r="T16" s="3249">
        <v>228000</v>
      </c>
      <c r="U16" s="3249" t="s">
        <v>3322</v>
      </c>
    </row>
    <row r="17" spans="1:21">
      <c r="A17" s="3249" t="s">
        <v>3349</v>
      </c>
      <c r="B17" s="3249" t="s">
        <v>3350</v>
      </c>
      <c r="C17" s="3249" t="s">
        <v>3284</v>
      </c>
      <c r="D17" s="3249">
        <v>90083.7</v>
      </c>
      <c r="E17" s="3249">
        <v>126117.18</v>
      </c>
      <c r="F17" s="3249" t="s">
        <v>3351</v>
      </c>
      <c r="G17" s="3249" t="s">
        <v>3285</v>
      </c>
      <c r="H17" s="3249" t="s">
        <v>3286</v>
      </c>
      <c r="I17" s="3249" t="s">
        <v>3319</v>
      </c>
      <c r="J17" s="3249" t="s">
        <v>3352</v>
      </c>
      <c r="K17" s="3249" t="s">
        <v>3289</v>
      </c>
      <c r="L17" s="3249" t="s">
        <v>3289</v>
      </c>
      <c r="M17" s="3250">
        <v>44327</v>
      </c>
      <c r="N17" s="3249" t="s">
        <v>3290</v>
      </c>
      <c r="O17" s="3249" t="s">
        <v>3353</v>
      </c>
      <c r="P17" s="3249">
        <v>371000</v>
      </c>
      <c r="Q17" s="3249">
        <v>2745.59</v>
      </c>
      <c r="R17" s="3249">
        <v>29417</v>
      </c>
      <c r="S17" s="3249">
        <v>1.0900000000000001</v>
      </c>
      <c r="T17" s="3249">
        <v>403700</v>
      </c>
      <c r="U17" s="3249" t="s">
        <v>3322</v>
      </c>
    </row>
    <row r="18" spans="1:21">
      <c r="A18" s="3249" t="s">
        <v>3354</v>
      </c>
      <c r="B18" s="3249" t="s">
        <v>3355</v>
      </c>
      <c r="C18" s="3249" t="s">
        <v>3284</v>
      </c>
      <c r="D18" s="3249">
        <v>34118.69</v>
      </c>
      <c r="E18" s="3249">
        <v>85297</v>
      </c>
      <c r="F18" s="3249" t="s">
        <v>3330</v>
      </c>
      <c r="G18" s="3249" t="s">
        <v>3285</v>
      </c>
      <c r="H18" s="3249" t="s">
        <v>3286</v>
      </c>
      <c r="I18" s="3249" t="s">
        <v>3319</v>
      </c>
      <c r="J18" s="3249" t="s">
        <v>3331</v>
      </c>
      <c r="K18" s="3249" t="s">
        <v>3289</v>
      </c>
      <c r="L18" s="3249" t="s">
        <v>3289</v>
      </c>
      <c r="M18" s="3250">
        <v>44326</v>
      </c>
      <c r="N18" s="3249" t="s">
        <v>3290</v>
      </c>
      <c r="O18" s="3249" t="s">
        <v>3356</v>
      </c>
      <c r="P18" s="3249">
        <v>422000</v>
      </c>
      <c r="Q18" s="3249">
        <v>8245.7199999999993</v>
      </c>
      <c r="R18" s="3249">
        <v>49474</v>
      </c>
      <c r="S18" s="3249">
        <v>14.99</v>
      </c>
      <c r="T18" s="3249">
        <v>422000</v>
      </c>
      <c r="U18" s="3249" t="s">
        <v>3322</v>
      </c>
    </row>
    <row r="19" spans="1:21" s="3251" customFormat="1">
      <c r="A19" s="3251" t="s">
        <v>3357</v>
      </c>
      <c r="B19" s="3251" t="s">
        <v>3358</v>
      </c>
      <c r="C19" s="3251" t="s">
        <v>3492</v>
      </c>
      <c r="D19" s="3251">
        <v>52686.19</v>
      </c>
      <c r="E19" s="3251">
        <v>83160</v>
      </c>
      <c r="F19" s="3251" t="s">
        <v>3318</v>
      </c>
      <c r="G19" s="3251" t="s">
        <v>3285</v>
      </c>
      <c r="H19" s="3251" t="s">
        <v>3286</v>
      </c>
      <c r="I19" s="3251" t="s">
        <v>3319</v>
      </c>
      <c r="J19" s="3251" t="s">
        <v>3359</v>
      </c>
      <c r="K19" s="3251" t="s">
        <v>3289</v>
      </c>
      <c r="L19" s="3251" t="s">
        <v>3289</v>
      </c>
      <c r="M19" s="3252">
        <v>44342</v>
      </c>
      <c r="N19" s="3251" t="s">
        <v>3290</v>
      </c>
      <c r="O19" s="3251" t="s">
        <v>3360</v>
      </c>
      <c r="P19" s="3251">
        <v>573000</v>
      </c>
      <c r="Q19" s="3251">
        <v>7250.48</v>
      </c>
      <c r="R19" s="3251">
        <v>68903</v>
      </c>
      <c r="S19" s="3251">
        <v>2.5</v>
      </c>
      <c r="T19" s="3251">
        <v>573000</v>
      </c>
      <c r="U19" s="3251" t="s">
        <v>3322</v>
      </c>
    </row>
    <row r="20" spans="1:21">
      <c r="A20" s="3249" t="s">
        <v>3361</v>
      </c>
      <c r="B20" s="3249" t="s">
        <v>3362</v>
      </c>
      <c r="C20" s="3249" t="s">
        <v>3284</v>
      </c>
      <c r="D20" s="3249">
        <v>57008.47</v>
      </c>
      <c r="E20" s="3249">
        <v>74111</v>
      </c>
      <c r="F20" s="3249" t="s">
        <v>3342</v>
      </c>
      <c r="G20" s="3249" t="s">
        <v>3285</v>
      </c>
      <c r="H20" s="3249" t="s">
        <v>3286</v>
      </c>
      <c r="I20" s="3249" t="s">
        <v>3319</v>
      </c>
      <c r="J20" s="3249" t="s">
        <v>3343</v>
      </c>
      <c r="K20" s="3249" t="s">
        <v>3289</v>
      </c>
      <c r="L20" s="3249" t="s">
        <v>3289</v>
      </c>
      <c r="M20" s="3250">
        <v>44326</v>
      </c>
      <c r="N20" s="3249" t="s">
        <v>3290</v>
      </c>
      <c r="O20" s="3249" t="s">
        <v>3363</v>
      </c>
      <c r="P20" s="3249">
        <v>392700</v>
      </c>
      <c r="Q20" s="3249">
        <v>4592.3</v>
      </c>
      <c r="R20" s="3249">
        <v>52988</v>
      </c>
      <c r="S20" s="3249">
        <v>3.89</v>
      </c>
      <c r="T20" s="3249">
        <v>392700</v>
      </c>
      <c r="U20" s="3249" t="s">
        <v>3322</v>
      </c>
    </row>
    <row r="21" spans="1:21">
      <c r="A21" s="3249" t="s">
        <v>3364</v>
      </c>
      <c r="B21" s="3249" t="s">
        <v>3365</v>
      </c>
      <c r="C21" s="3249" t="s">
        <v>3284</v>
      </c>
      <c r="D21" s="3249">
        <v>13681.37</v>
      </c>
      <c r="E21" s="3249">
        <v>38307.82</v>
      </c>
      <c r="F21" s="3249" t="s">
        <v>3347</v>
      </c>
      <c r="G21" s="3249" t="s">
        <v>3285</v>
      </c>
      <c r="H21" s="3249" t="s">
        <v>3366</v>
      </c>
      <c r="I21" s="3249" t="s">
        <v>3367</v>
      </c>
      <c r="J21" s="3249" t="s">
        <v>3343</v>
      </c>
      <c r="K21" s="3249" t="s">
        <v>3289</v>
      </c>
      <c r="L21" s="3249" t="s">
        <v>3289</v>
      </c>
      <c r="M21" s="3250">
        <v>44210</v>
      </c>
      <c r="N21" s="3249" t="s">
        <v>3290</v>
      </c>
      <c r="O21" s="3249" t="s">
        <v>3368</v>
      </c>
      <c r="P21" s="3249">
        <v>179000</v>
      </c>
      <c r="Q21" s="3249">
        <v>8722.32</v>
      </c>
      <c r="R21" s="3249">
        <v>46727</v>
      </c>
      <c r="S21" s="3249">
        <v>3.17</v>
      </c>
      <c r="T21" s="3249" t="s">
        <v>3322</v>
      </c>
      <c r="U21" s="3249" t="s">
        <v>3322</v>
      </c>
    </row>
    <row r="22" spans="1:21">
      <c r="A22" s="3249" t="s">
        <v>3369</v>
      </c>
      <c r="B22" s="3249" t="s">
        <v>3370</v>
      </c>
      <c r="C22" s="3249" t="s">
        <v>3284</v>
      </c>
      <c r="D22" s="3249">
        <v>26609.75</v>
      </c>
      <c r="E22" s="3249">
        <v>74507</v>
      </c>
      <c r="F22" s="3249" t="s">
        <v>3347</v>
      </c>
      <c r="G22" s="3249" t="s">
        <v>3285</v>
      </c>
      <c r="H22" s="3249" t="s">
        <v>3286</v>
      </c>
      <c r="I22" s="3249" t="s">
        <v>3367</v>
      </c>
      <c r="J22" s="3249" t="s">
        <v>3371</v>
      </c>
      <c r="K22" s="3249" t="s">
        <v>3289</v>
      </c>
      <c r="L22" s="3249" t="s">
        <v>3289</v>
      </c>
      <c r="M22" s="3250">
        <v>44179</v>
      </c>
      <c r="N22" s="3249" t="s">
        <v>3290</v>
      </c>
      <c r="O22" s="3249" t="s">
        <v>3372</v>
      </c>
      <c r="P22" s="3249">
        <v>350244</v>
      </c>
      <c r="Q22" s="3249">
        <v>8774.83</v>
      </c>
      <c r="R22" s="3249">
        <v>47008</v>
      </c>
      <c r="S22" s="3249">
        <v>3.5</v>
      </c>
      <c r="T22" s="3249" t="s">
        <v>3322</v>
      </c>
      <c r="U22" s="3249">
        <v>71000</v>
      </c>
    </row>
    <row r="23" spans="1:21" s="3251" customFormat="1">
      <c r="A23" s="3251" t="s">
        <v>3373</v>
      </c>
      <c r="B23" s="3251" t="s">
        <v>3374</v>
      </c>
      <c r="C23" s="3251" t="s">
        <v>3284</v>
      </c>
      <c r="D23" s="3251">
        <v>17831.97</v>
      </c>
      <c r="E23" s="3251">
        <v>55141</v>
      </c>
      <c r="F23" s="3251" t="s">
        <v>3347</v>
      </c>
      <c r="G23" s="3251" t="s">
        <v>3285</v>
      </c>
      <c r="H23" s="3251" t="s">
        <v>3286</v>
      </c>
      <c r="I23" s="3251" t="s">
        <v>3367</v>
      </c>
      <c r="J23" s="3251" t="s">
        <v>3343</v>
      </c>
      <c r="K23" s="3251" t="s">
        <v>3289</v>
      </c>
      <c r="L23" s="3251" t="s">
        <v>3289</v>
      </c>
      <c r="M23" s="3252">
        <v>43970</v>
      </c>
      <c r="N23" s="3251" t="s">
        <v>3290</v>
      </c>
      <c r="O23" s="3251" t="s">
        <v>3375</v>
      </c>
      <c r="P23" s="3251">
        <v>420000</v>
      </c>
      <c r="Q23" s="3251">
        <v>15702.13</v>
      </c>
      <c r="R23" s="3251">
        <v>76168</v>
      </c>
      <c r="S23" s="3251">
        <v>42.08</v>
      </c>
      <c r="T23" s="3251" t="s">
        <v>3322</v>
      </c>
      <c r="U23" s="3251" t="s">
        <v>3322</v>
      </c>
    </row>
    <row r="24" spans="1:21" s="3251" customFormat="1">
      <c r="A24" s="3251" t="s">
        <v>3376</v>
      </c>
      <c r="B24" s="3251" t="s">
        <v>3377</v>
      </c>
      <c r="C24" s="3251" t="s">
        <v>3284</v>
      </c>
      <c r="D24" s="3251">
        <v>29750.73</v>
      </c>
      <c r="E24" s="3251">
        <v>88484</v>
      </c>
      <c r="F24" s="3251" t="s">
        <v>3347</v>
      </c>
      <c r="G24" s="3251" t="s">
        <v>3285</v>
      </c>
      <c r="H24" s="3251" t="s">
        <v>3286</v>
      </c>
      <c r="I24" s="3251" t="s">
        <v>3367</v>
      </c>
      <c r="J24" s="3251" t="s">
        <v>3343</v>
      </c>
      <c r="K24" s="3251" t="s">
        <v>3289</v>
      </c>
      <c r="L24" s="3251" t="s">
        <v>3289</v>
      </c>
      <c r="M24" s="3252">
        <v>43970</v>
      </c>
      <c r="N24" s="3251" t="s">
        <v>3290</v>
      </c>
      <c r="O24" s="3251" t="s">
        <v>3378</v>
      </c>
      <c r="P24" s="3251">
        <v>654000</v>
      </c>
      <c r="Q24" s="3251">
        <v>14655.1</v>
      </c>
      <c r="R24" s="3251">
        <v>73912</v>
      </c>
      <c r="S24" s="3251">
        <v>37.86</v>
      </c>
      <c r="T24" s="3251" t="s">
        <v>3322</v>
      </c>
      <c r="U24" s="3251" t="s">
        <v>3322</v>
      </c>
    </row>
    <row r="25" spans="1:21" s="3251" customFormat="1">
      <c r="A25" s="3251" t="s">
        <v>3379</v>
      </c>
      <c r="B25" s="3251" t="s">
        <v>3380</v>
      </c>
      <c r="C25" s="3251" t="s">
        <v>3284</v>
      </c>
      <c r="D25" s="3251">
        <v>33194.400000000001</v>
      </c>
      <c r="E25" s="3251">
        <v>107437</v>
      </c>
      <c r="F25" s="3251" t="s">
        <v>3347</v>
      </c>
      <c r="G25" s="3251" t="s">
        <v>3285</v>
      </c>
      <c r="H25" s="3251" t="s">
        <v>3286</v>
      </c>
      <c r="I25" s="3251" t="s">
        <v>3367</v>
      </c>
      <c r="J25" s="3251" t="s">
        <v>3343</v>
      </c>
      <c r="K25" s="3251" t="s">
        <v>3289</v>
      </c>
      <c r="L25" s="3251" t="s">
        <v>3289</v>
      </c>
      <c r="M25" s="3252">
        <v>43960</v>
      </c>
      <c r="N25" s="3251" t="s">
        <v>3290</v>
      </c>
      <c r="O25" s="3251" t="s">
        <v>3381</v>
      </c>
      <c r="P25" s="3251">
        <v>722000</v>
      </c>
      <c r="Q25" s="3251">
        <v>14500.44</v>
      </c>
      <c r="R25" s="3251">
        <v>67202</v>
      </c>
      <c r="S25" s="3251">
        <v>26.25</v>
      </c>
      <c r="T25" s="3251" t="s">
        <v>3322</v>
      </c>
      <c r="U25" s="3251" t="s">
        <v>3322</v>
      </c>
    </row>
    <row r="26" spans="1:21" s="3251" customFormat="1">
      <c r="A26" s="3251" t="s">
        <v>3382</v>
      </c>
      <c r="B26" s="3251" t="s">
        <v>3383</v>
      </c>
      <c r="C26" s="3251" t="s">
        <v>3284</v>
      </c>
      <c r="D26" s="3251">
        <v>51339.15</v>
      </c>
      <c r="E26" s="3251">
        <v>77009</v>
      </c>
      <c r="F26" s="3251" t="s">
        <v>3384</v>
      </c>
      <c r="G26" s="3251" t="s">
        <v>3285</v>
      </c>
      <c r="H26" s="3251" t="s">
        <v>3286</v>
      </c>
      <c r="I26" s="3251" t="s">
        <v>3367</v>
      </c>
      <c r="J26" s="3251" t="s">
        <v>3343</v>
      </c>
      <c r="K26" s="3251" t="s">
        <v>3289</v>
      </c>
      <c r="L26" s="3251" t="s">
        <v>3289</v>
      </c>
      <c r="M26" s="3252">
        <v>43850</v>
      </c>
      <c r="N26" s="3251" t="s">
        <v>3290</v>
      </c>
      <c r="O26" s="3251" t="s">
        <v>3385</v>
      </c>
      <c r="P26" s="3251">
        <v>539600</v>
      </c>
      <c r="Q26" s="3251">
        <v>7007</v>
      </c>
      <c r="R26" s="3251">
        <v>70070</v>
      </c>
      <c r="S26" s="3251">
        <v>0</v>
      </c>
      <c r="T26" s="3251" t="s">
        <v>3322</v>
      </c>
      <c r="U26" s="3251" t="s">
        <v>3322</v>
      </c>
    </row>
    <row r="27" spans="1:21" s="3251" customFormat="1">
      <c r="A27" s="3251" t="s">
        <v>3386</v>
      </c>
      <c r="B27" s="3251" t="s">
        <v>3387</v>
      </c>
      <c r="C27" s="3251" t="s">
        <v>3284</v>
      </c>
      <c r="D27" s="3251">
        <v>44507.26</v>
      </c>
      <c r="E27" s="3251">
        <v>66760</v>
      </c>
      <c r="F27" s="3251" t="s">
        <v>3384</v>
      </c>
      <c r="G27" s="3251" t="s">
        <v>3285</v>
      </c>
      <c r="H27" s="3251" t="s">
        <v>3286</v>
      </c>
      <c r="I27" s="3251" t="s">
        <v>3367</v>
      </c>
      <c r="J27" s="3251" t="s">
        <v>3343</v>
      </c>
      <c r="K27" s="3251" t="s">
        <v>3289</v>
      </c>
      <c r="L27" s="3251" t="s">
        <v>3289</v>
      </c>
      <c r="M27" s="3252">
        <v>43850</v>
      </c>
      <c r="N27" s="3251" t="s">
        <v>3290</v>
      </c>
      <c r="O27" s="3251" t="s">
        <v>3388</v>
      </c>
      <c r="P27" s="3251">
        <v>467500</v>
      </c>
      <c r="Q27" s="3251">
        <v>7002.6</v>
      </c>
      <c r="R27" s="3251">
        <v>70027</v>
      </c>
      <c r="S27" s="3251">
        <v>0</v>
      </c>
      <c r="T27" s="3251" t="s">
        <v>3322</v>
      </c>
      <c r="U27" s="3251" t="s">
        <v>3322</v>
      </c>
    </row>
    <row r="28" spans="1:21">
      <c r="A28" s="3249" t="s">
        <v>3389</v>
      </c>
      <c r="B28" s="3249" t="s">
        <v>3390</v>
      </c>
      <c r="C28" s="3249" t="s">
        <v>3284</v>
      </c>
      <c r="D28" s="3249">
        <v>26794.69</v>
      </c>
      <c r="E28" s="3249">
        <v>75025</v>
      </c>
      <c r="F28" s="3249" t="s">
        <v>3347</v>
      </c>
      <c r="G28" s="3249" t="s">
        <v>3285</v>
      </c>
      <c r="H28" s="3249" t="s">
        <v>3286</v>
      </c>
      <c r="I28" s="3249" t="s">
        <v>3367</v>
      </c>
      <c r="J28" s="3249" t="s">
        <v>3343</v>
      </c>
      <c r="K28" s="3249" t="s">
        <v>3289</v>
      </c>
      <c r="L28" s="3249" t="s">
        <v>3289</v>
      </c>
      <c r="M28" s="3250">
        <v>43833</v>
      </c>
      <c r="N28" s="3249" t="s">
        <v>3290</v>
      </c>
      <c r="O28" s="3249" t="s">
        <v>3391</v>
      </c>
      <c r="P28" s="3249">
        <v>365000</v>
      </c>
      <c r="Q28" s="3249">
        <v>9081.4</v>
      </c>
      <c r="R28" s="3249">
        <v>48650</v>
      </c>
      <c r="S28" s="3249">
        <v>17.739999999999998</v>
      </c>
      <c r="T28" s="3249" t="s">
        <v>3322</v>
      </c>
      <c r="U28" s="3249" t="s">
        <v>3322</v>
      </c>
    </row>
    <row r="29" spans="1:21">
      <c r="A29" s="3249" t="s">
        <v>3392</v>
      </c>
      <c r="B29" s="3249" t="s">
        <v>3393</v>
      </c>
      <c r="C29" s="3249" t="s">
        <v>3284</v>
      </c>
      <c r="D29" s="3249">
        <v>23302.84</v>
      </c>
      <c r="E29" s="3249">
        <v>65248</v>
      </c>
      <c r="F29" s="3249" t="s">
        <v>3347</v>
      </c>
      <c r="G29" s="3249" t="s">
        <v>3285</v>
      </c>
      <c r="H29" s="3249" t="s">
        <v>3286</v>
      </c>
      <c r="I29" s="3249" t="s">
        <v>3367</v>
      </c>
      <c r="J29" s="3249" t="s">
        <v>3343</v>
      </c>
      <c r="K29" s="3249" t="s">
        <v>3289</v>
      </c>
      <c r="L29" s="3249" t="s">
        <v>3289</v>
      </c>
      <c r="M29" s="3250">
        <v>43833</v>
      </c>
      <c r="N29" s="3249" t="s">
        <v>3290</v>
      </c>
      <c r="O29" s="3249" t="s">
        <v>3394</v>
      </c>
      <c r="P29" s="3249">
        <v>340000</v>
      </c>
      <c r="Q29" s="3249">
        <v>9727</v>
      </c>
      <c r="R29" s="3249">
        <v>52109</v>
      </c>
      <c r="S29" s="3249">
        <v>25.93</v>
      </c>
      <c r="T29" s="3249" t="s">
        <v>3322</v>
      </c>
      <c r="U29" s="3249" t="s">
        <v>3322</v>
      </c>
    </row>
    <row r="30" spans="1:21">
      <c r="A30" s="3249" t="s">
        <v>3395</v>
      </c>
      <c r="B30" s="3249" t="s">
        <v>3396</v>
      </c>
      <c r="C30" s="3249" t="s">
        <v>3284</v>
      </c>
      <c r="D30" s="3249">
        <v>62168.34</v>
      </c>
      <c r="E30" s="3249">
        <v>186162</v>
      </c>
      <c r="F30" s="3249" t="s">
        <v>3397</v>
      </c>
      <c r="G30" s="3249" t="s">
        <v>3398</v>
      </c>
      <c r="H30" s="3249" t="s">
        <v>3286</v>
      </c>
      <c r="I30" s="3249" t="s">
        <v>3367</v>
      </c>
      <c r="J30" s="3249" t="s">
        <v>3399</v>
      </c>
      <c r="K30" s="3249" t="s">
        <v>3289</v>
      </c>
      <c r="L30" s="3249" t="s">
        <v>3289</v>
      </c>
      <c r="M30" s="3250">
        <v>43812</v>
      </c>
      <c r="N30" s="3249" t="s">
        <v>3290</v>
      </c>
      <c r="O30" s="3249" t="s">
        <v>3400</v>
      </c>
      <c r="P30" s="3249">
        <v>434800</v>
      </c>
      <c r="Q30" s="3249">
        <v>4662.6099999999997</v>
      </c>
      <c r="R30" s="3249">
        <v>23356</v>
      </c>
      <c r="S30" s="3249">
        <v>0</v>
      </c>
      <c r="T30" s="3249" t="s">
        <v>3322</v>
      </c>
      <c r="U30" s="3249">
        <v>38000</v>
      </c>
    </row>
    <row r="31" spans="1:21">
      <c r="A31" s="3249" t="s">
        <v>3401</v>
      </c>
      <c r="B31" s="3249" t="s">
        <v>3402</v>
      </c>
      <c r="C31" s="3249" t="s">
        <v>3284</v>
      </c>
      <c r="D31" s="3249">
        <v>74642.399999999994</v>
      </c>
      <c r="E31" s="3249">
        <v>82107</v>
      </c>
      <c r="F31" s="3249" t="s">
        <v>3403</v>
      </c>
      <c r="G31" s="3249" t="s">
        <v>3285</v>
      </c>
      <c r="H31" s="3249" t="s">
        <v>3286</v>
      </c>
      <c r="I31" s="3249" t="s">
        <v>3367</v>
      </c>
      <c r="J31" s="3249" t="s">
        <v>3343</v>
      </c>
      <c r="K31" s="3249" t="s">
        <v>3289</v>
      </c>
      <c r="L31" s="3249" t="s">
        <v>3289</v>
      </c>
      <c r="M31" s="3250">
        <v>43804</v>
      </c>
      <c r="N31" s="3249" t="s">
        <v>3290</v>
      </c>
      <c r="O31" s="3249" t="s">
        <v>3404</v>
      </c>
      <c r="P31" s="3249">
        <v>260000</v>
      </c>
      <c r="Q31" s="3249">
        <v>2322.1799999999998</v>
      </c>
      <c r="R31" s="3249">
        <v>31666</v>
      </c>
      <c r="S31" s="3249">
        <v>0</v>
      </c>
      <c r="T31" s="3249" t="s">
        <v>3322</v>
      </c>
      <c r="U31" s="3249" t="s">
        <v>3322</v>
      </c>
    </row>
    <row r="32" spans="1:21" s="3251" customFormat="1">
      <c r="A32" s="3251" t="s">
        <v>3405</v>
      </c>
      <c r="B32" s="3251" t="s">
        <v>3406</v>
      </c>
      <c r="C32" s="3251" t="s">
        <v>3284</v>
      </c>
      <c r="D32" s="3251">
        <v>39479.050000000003</v>
      </c>
      <c r="E32" s="3251">
        <v>43427</v>
      </c>
      <c r="F32" s="3251" t="s">
        <v>3403</v>
      </c>
      <c r="G32" s="3251" t="s">
        <v>3285</v>
      </c>
      <c r="H32" s="3251" t="s">
        <v>3286</v>
      </c>
      <c r="I32" s="3251" t="s">
        <v>3367</v>
      </c>
      <c r="J32" s="3251" t="s">
        <v>3343</v>
      </c>
      <c r="K32" s="3251" t="s">
        <v>3289</v>
      </c>
      <c r="L32" s="3251" t="s">
        <v>3289</v>
      </c>
      <c r="M32" s="3252">
        <v>43613</v>
      </c>
      <c r="N32" s="3251" t="s">
        <v>3290</v>
      </c>
      <c r="O32" s="3251" t="s">
        <v>3407</v>
      </c>
      <c r="P32" s="3251">
        <v>302000</v>
      </c>
      <c r="Q32" s="3251">
        <v>5099.75</v>
      </c>
      <c r="R32" s="3251">
        <v>69542</v>
      </c>
      <c r="S32" s="3251">
        <v>23.32</v>
      </c>
      <c r="T32" s="3251" t="s">
        <v>3322</v>
      </c>
      <c r="U32" s="3251" t="s">
        <v>3322</v>
      </c>
    </row>
    <row r="33" spans="1:21">
      <c r="A33" s="3249" t="s">
        <v>3408</v>
      </c>
      <c r="B33" s="3249" t="s">
        <v>3409</v>
      </c>
      <c r="C33" s="3249" t="s">
        <v>3284</v>
      </c>
      <c r="D33" s="3249">
        <v>17006.62</v>
      </c>
      <c r="E33" s="3249">
        <v>43844.08</v>
      </c>
      <c r="F33" s="3249">
        <v>2.58</v>
      </c>
      <c r="G33" s="3249" t="s">
        <v>3398</v>
      </c>
      <c r="H33" s="3249" t="s">
        <v>3286</v>
      </c>
      <c r="I33" s="3249" t="s">
        <v>3367</v>
      </c>
      <c r="J33" s="3249" t="s">
        <v>3410</v>
      </c>
      <c r="K33" s="3249" t="s">
        <v>3289</v>
      </c>
      <c r="L33" s="3249" t="s">
        <v>3289</v>
      </c>
      <c r="M33" s="3250">
        <v>43489</v>
      </c>
      <c r="N33" s="3249" t="s">
        <v>3290</v>
      </c>
      <c r="O33" s="3249" t="s">
        <v>3411</v>
      </c>
      <c r="P33" s="3249">
        <v>98500</v>
      </c>
      <c r="Q33" s="3249">
        <v>3861.24</v>
      </c>
      <c r="R33" s="3249">
        <v>22466</v>
      </c>
      <c r="S33" s="3249">
        <v>0</v>
      </c>
      <c r="T33" s="3249" t="s">
        <v>3322</v>
      </c>
      <c r="U33" s="3249">
        <v>38000</v>
      </c>
    </row>
    <row r="34" spans="1:21">
      <c r="A34" s="3249" t="s">
        <v>3412</v>
      </c>
      <c r="B34" s="3249" t="s">
        <v>3413</v>
      </c>
      <c r="C34" s="3249" t="s">
        <v>3284</v>
      </c>
      <c r="D34" s="3249">
        <v>41541.339999999997</v>
      </c>
      <c r="E34" s="3249">
        <v>87237</v>
      </c>
      <c r="F34" s="3249">
        <v>2.1</v>
      </c>
      <c r="G34" s="3249" t="s">
        <v>3285</v>
      </c>
      <c r="H34" s="3249" t="s">
        <v>3286</v>
      </c>
      <c r="I34" s="3249" t="s">
        <v>3367</v>
      </c>
      <c r="J34" s="3249" t="s">
        <v>3410</v>
      </c>
      <c r="K34" s="3249" t="s">
        <v>3289</v>
      </c>
      <c r="L34" s="3249" t="s">
        <v>3289</v>
      </c>
      <c r="M34" s="3250">
        <v>43482</v>
      </c>
      <c r="N34" s="3249" t="s">
        <v>3290</v>
      </c>
      <c r="O34" s="3249" t="s">
        <v>3414</v>
      </c>
      <c r="P34" s="3249">
        <v>206000</v>
      </c>
      <c r="Q34" s="3249">
        <v>3305.94</v>
      </c>
      <c r="R34" s="3249">
        <v>23614</v>
      </c>
      <c r="S34" s="3249">
        <v>37.33</v>
      </c>
      <c r="T34" s="3249" t="s">
        <v>3322</v>
      </c>
      <c r="U34" s="3249" t="s">
        <v>3322</v>
      </c>
    </row>
    <row r="35" spans="1:21">
      <c r="A35" s="3249" t="s">
        <v>3415</v>
      </c>
      <c r="B35" s="3249" t="s">
        <v>3416</v>
      </c>
      <c r="C35" s="3249" t="s">
        <v>3284</v>
      </c>
      <c r="D35" s="3249">
        <v>43166.27</v>
      </c>
      <c r="E35" s="3249">
        <v>131841</v>
      </c>
      <c r="F35" s="3249">
        <v>3.05</v>
      </c>
      <c r="G35" s="3249" t="s">
        <v>3285</v>
      </c>
      <c r="H35" s="3249" t="s">
        <v>3286</v>
      </c>
      <c r="I35" s="3249" t="s">
        <v>3367</v>
      </c>
      <c r="J35" s="3249" t="s">
        <v>3417</v>
      </c>
      <c r="K35" s="3249" t="s">
        <v>3289</v>
      </c>
      <c r="L35" s="3249" t="s">
        <v>3289</v>
      </c>
      <c r="M35" s="3250">
        <v>43430</v>
      </c>
      <c r="N35" s="3249" t="s">
        <v>3290</v>
      </c>
      <c r="O35" s="3249" t="s">
        <v>3418</v>
      </c>
      <c r="P35" s="3249">
        <v>584000</v>
      </c>
      <c r="Q35" s="3249">
        <v>9019.39</v>
      </c>
      <c r="R35" s="3249">
        <v>44296</v>
      </c>
      <c r="S35" s="3249">
        <v>26.3</v>
      </c>
      <c r="T35" s="3249" t="s">
        <v>3322</v>
      </c>
      <c r="U35" s="3249">
        <v>67702</v>
      </c>
    </row>
    <row r="36" spans="1:21">
      <c r="A36" s="3249" t="s">
        <v>3419</v>
      </c>
      <c r="B36" s="3249" t="s">
        <v>3420</v>
      </c>
      <c r="C36" s="3249" t="s">
        <v>3284</v>
      </c>
      <c r="D36" s="3249">
        <v>61127.91</v>
      </c>
      <c r="E36" s="3249">
        <v>152820</v>
      </c>
      <c r="F36" s="3249">
        <v>2.5</v>
      </c>
      <c r="G36" s="3249" t="s">
        <v>3285</v>
      </c>
      <c r="H36" s="3249" t="s">
        <v>3286</v>
      </c>
      <c r="I36" s="3249" t="s">
        <v>3367</v>
      </c>
      <c r="J36" s="3249" t="s">
        <v>3421</v>
      </c>
      <c r="K36" s="3249" t="s">
        <v>3289</v>
      </c>
      <c r="L36" s="3249" t="s">
        <v>3289</v>
      </c>
      <c r="M36" s="3250">
        <v>43404</v>
      </c>
      <c r="N36" s="3249" t="s">
        <v>3290</v>
      </c>
      <c r="O36" s="3249" t="s">
        <v>3422</v>
      </c>
      <c r="P36" s="3249">
        <v>483400</v>
      </c>
      <c r="Q36" s="3249">
        <v>5272.01</v>
      </c>
      <c r="R36" s="3249">
        <v>31632</v>
      </c>
      <c r="S36" s="3249">
        <v>0</v>
      </c>
      <c r="T36" s="3249" t="s">
        <v>3322</v>
      </c>
      <c r="U36" s="3249">
        <v>40100</v>
      </c>
    </row>
    <row r="37" spans="1:21">
      <c r="A37" s="3249" t="s">
        <v>3423</v>
      </c>
      <c r="B37" s="3249" t="s">
        <v>3424</v>
      </c>
      <c r="C37" s="3249" t="s">
        <v>3284</v>
      </c>
      <c r="D37" s="3249">
        <v>27200</v>
      </c>
      <c r="E37" s="3249">
        <v>76160</v>
      </c>
      <c r="F37" s="3249">
        <v>2.8</v>
      </c>
      <c r="G37" s="3249" t="s">
        <v>3285</v>
      </c>
      <c r="H37" s="3249" t="s">
        <v>3286</v>
      </c>
      <c r="I37" s="3249" t="s">
        <v>3367</v>
      </c>
      <c r="J37" s="3249" t="s">
        <v>3417</v>
      </c>
      <c r="K37" s="3249" t="s">
        <v>3289</v>
      </c>
      <c r="L37" s="3249" t="s">
        <v>3289</v>
      </c>
      <c r="M37" s="3250">
        <v>43130</v>
      </c>
      <c r="N37" s="3249" t="s">
        <v>3290</v>
      </c>
      <c r="O37" s="3249" t="s">
        <v>3425</v>
      </c>
      <c r="P37" s="3249">
        <v>312500</v>
      </c>
      <c r="Q37" s="3249">
        <v>7659.31</v>
      </c>
      <c r="R37" s="3249">
        <v>41032</v>
      </c>
      <c r="S37" s="3249">
        <v>4.83</v>
      </c>
      <c r="T37" s="3249" t="s">
        <v>3322</v>
      </c>
      <c r="U37" s="3249">
        <v>54378</v>
      </c>
    </row>
    <row r="38" spans="1:21">
      <c r="A38" s="3249" t="s">
        <v>3426</v>
      </c>
      <c r="B38" s="3249" t="s">
        <v>3427</v>
      </c>
      <c r="C38" s="3249" t="s">
        <v>3284</v>
      </c>
      <c r="D38" s="3249">
        <v>53525.81</v>
      </c>
      <c r="E38" s="3249">
        <v>58878</v>
      </c>
      <c r="F38" s="3249">
        <v>1.1000000000000001</v>
      </c>
      <c r="G38" s="3249" t="s">
        <v>3285</v>
      </c>
      <c r="H38" s="3249" t="s">
        <v>3286</v>
      </c>
      <c r="I38" s="3249" t="s">
        <v>3367</v>
      </c>
      <c r="J38" s="3249" t="s">
        <v>3352</v>
      </c>
      <c r="K38" s="3249" t="s">
        <v>3289</v>
      </c>
      <c r="L38" s="3249" t="s">
        <v>3289</v>
      </c>
      <c r="M38" s="3250">
        <v>43117</v>
      </c>
      <c r="N38" s="3249" t="s">
        <v>3290</v>
      </c>
      <c r="O38" s="3249" t="s">
        <v>3428</v>
      </c>
      <c r="P38" s="3249">
        <v>336500</v>
      </c>
      <c r="Q38" s="3249">
        <v>4191.12</v>
      </c>
      <c r="R38" s="3249">
        <v>57152</v>
      </c>
      <c r="S38" s="3249">
        <v>1.02</v>
      </c>
      <c r="T38" s="3249" t="s">
        <v>3322</v>
      </c>
      <c r="U38" s="3249" t="s">
        <v>3322</v>
      </c>
    </row>
    <row r="39" spans="1:21">
      <c r="A39" s="3249" t="s">
        <v>3429</v>
      </c>
      <c r="B39" s="3249" t="s">
        <v>3430</v>
      </c>
      <c r="C39" s="3249" t="s">
        <v>3284</v>
      </c>
      <c r="D39" s="3249">
        <v>74772.84</v>
      </c>
      <c r="E39" s="3249">
        <v>134591</v>
      </c>
      <c r="F39" s="3249">
        <v>1.8</v>
      </c>
      <c r="G39" s="3249" t="s">
        <v>3285</v>
      </c>
      <c r="H39" s="3249" t="s">
        <v>3286</v>
      </c>
      <c r="I39" s="3249" t="s">
        <v>3367</v>
      </c>
      <c r="J39" s="3249" t="s">
        <v>3417</v>
      </c>
      <c r="K39" s="3249" t="s">
        <v>3289</v>
      </c>
      <c r="L39" s="3249" t="s">
        <v>3289</v>
      </c>
      <c r="M39" s="3250">
        <v>43112</v>
      </c>
      <c r="N39" s="3249" t="s">
        <v>3290</v>
      </c>
      <c r="O39" s="3249" t="s">
        <v>3431</v>
      </c>
      <c r="P39" s="3249">
        <v>550000</v>
      </c>
      <c r="Q39" s="3249">
        <v>4903.74</v>
      </c>
      <c r="R39" s="3249">
        <v>40865</v>
      </c>
      <c r="S39" s="3249">
        <v>16.45</v>
      </c>
      <c r="T39" s="3249" t="s">
        <v>3322</v>
      </c>
      <c r="U39" s="3249">
        <v>53000</v>
      </c>
    </row>
    <row r="40" spans="1:21" s="3251" customFormat="1">
      <c r="A40" s="3251" t="s">
        <v>3432</v>
      </c>
      <c r="B40" s="3251" t="s">
        <v>3433</v>
      </c>
      <c r="C40" s="3251" t="s">
        <v>3284</v>
      </c>
      <c r="D40" s="3251">
        <v>90394.02</v>
      </c>
      <c r="E40" s="3251">
        <v>99433</v>
      </c>
      <c r="F40" s="3251">
        <v>1.1000000000000001</v>
      </c>
      <c r="G40" s="3251" t="s">
        <v>3285</v>
      </c>
      <c r="H40" s="3251" t="s">
        <v>3286</v>
      </c>
      <c r="I40" s="3251" t="s">
        <v>3367</v>
      </c>
      <c r="J40" s="3251" t="s">
        <v>3352</v>
      </c>
      <c r="K40" s="3251" t="s">
        <v>3289</v>
      </c>
      <c r="L40" s="3251" t="s">
        <v>3289</v>
      </c>
      <c r="M40" s="3252">
        <v>43104</v>
      </c>
      <c r="N40" s="3251" t="s">
        <v>3290</v>
      </c>
      <c r="O40" s="3251" t="s">
        <v>3434</v>
      </c>
      <c r="P40" s="3251">
        <v>610000</v>
      </c>
      <c r="Q40" s="3251">
        <v>4498.82</v>
      </c>
      <c r="R40" s="3251">
        <v>61348</v>
      </c>
      <c r="S40" s="3251">
        <v>9.34</v>
      </c>
      <c r="T40" s="3251" t="s">
        <v>3322</v>
      </c>
      <c r="U40" s="3251">
        <v>68924</v>
      </c>
    </row>
    <row r="41" spans="1:21">
      <c r="A41" s="3249" t="s">
        <v>3435</v>
      </c>
      <c r="B41" s="3249" t="s">
        <v>3436</v>
      </c>
      <c r="C41" s="3249" t="s">
        <v>3284</v>
      </c>
      <c r="D41" s="3249">
        <v>6180.98</v>
      </c>
      <c r="E41" s="3249">
        <v>32400</v>
      </c>
      <c r="F41" s="3249">
        <v>5.24</v>
      </c>
      <c r="G41" s="3249" t="s">
        <v>3398</v>
      </c>
      <c r="H41" s="3249" t="s">
        <v>3286</v>
      </c>
      <c r="I41" s="3249" t="s">
        <v>3367</v>
      </c>
      <c r="J41" s="3249" t="s">
        <v>3437</v>
      </c>
      <c r="K41" s="3249" t="s">
        <v>3289</v>
      </c>
      <c r="L41" s="3249" t="s">
        <v>3289</v>
      </c>
      <c r="M41" s="3250">
        <v>43098</v>
      </c>
      <c r="N41" s="3249" t="s">
        <v>3290</v>
      </c>
      <c r="O41" s="3249" t="s">
        <v>3438</v>
      </c>
      <c r="P41" s="3249" t="s">
        <v>3289</v>
      </c>
      <c r="Q41" s="3249" t="s">
        <v>3289</v>
      </c>
      <c r="R41" s="3249" t="s">
        <v>3289</v>
      </c>
      <c r="S41" s="3249">
        <v>0</v>
      </c>
      <c r="T41" s="3249" t="s">
        <v>3322</v>
      </c>
      <c r="U41" s="3249" t="s">
        <v>3322</v>
      </c>
    </row>
    <row r="42" spans="1:21">
      <c r="A42" s="3249" t="s">
        <v>3439</v>
      </c>
      <c r="B42" s="3249" t="s">
        <v>3440</v>
      </c>
      <c r="C42" s="3249" t="s">
        <v>3284</v>
      </c>
      <c r="D42" s="3249">
        <v>35847.35</v>
      </c>
      <c r="E42" s="3249">
        <v>75279</v>
      </c>
      <c r="F42" s="3249">
        <v>2.1</v>
      </c>
      <c r="G42" s="3249" t="s">
        <v>3285</v>
      </c>
      <c r="H42" s="3249" t="s">
        <v>3286</v>
      </c>
      <c r="I42" s="3249" t="s">
        <v>3367</v>
      </c>
      <c r="J42" s="3249" t="s">
        <v>3410</v>
      </c>
      <c r="K42" s="3249" t="s">
        <v>3289</v>
      </c>
      <c r="L42" s="3249" t="s">
        <v>3289</v>
      </c>
      <c r="M42" s="3250">
        <v>43083</v>
      </c>
      <c r="N42" s="3249" t="s">
        <v>3290</v>
      </c>
      <c r="O42" s="3249" t="s">
        <v>3441</v>
      </c>
      <c r="P42" s="3249">
        <v>186000</v>
      </c>
      <c r="Q42" s="3249">
        <v>3459.11</v>
      </c>
      <c r="R42" s="3249">
        <v>24708</v>
      </c>
      <c r="S42" s="3249">
        <v>9.41</v>
      </c>
      <c r="T42" s="3249" t="s">
        <v>3322</v>
      </c>
      <c r="U42" s="3249" t="s">
        <v>3322</v>
      </c>
    </row>
    <row r="43" spans="1:21">
      <c r="A43" s="3249" t="s">
        <v>3442</v>
      </c>
      <c r="B43" s="3249" t="s">
        <v>3443</v>
      </c>
      <c r="C43" s="3249" t="s">
        <v>3284</v>
      </c>
      <c r="D43" s="3249">
        <v>77973.48</v>
      </c>
      <c r="E43" s="3249">
        <v>194934</v>
      </c>
      <c r="F43" s="3249">
        <v>2.5</v>
      </c>
      <c r="G43" s="3249" t="s">
        <v>3285</v>
      </c>
      <c r="H43" s="3249" t="s">
        <v>3286</v>
      </c>
      <c r="I43" s="3249" t="s">
        <v>3367</v>
      </c>
      <c r="J43" s="3249" t="s">
        <v>3410</v>
      </c>
      <c r="K43" s="3249" t="s">
        <v>3289</v>
      </c>
      <c r="L43" s="3249" t="s">
        <v>3289</v>
      </c>
      <c r="M43" s="3250">
        <v>43042</v>
      </c>
      <c r="N43" s="3249" t="s">
        <v>3290</v>
      </c>
      <c r="O43" s="3249" t="s">
        <v>3444</v>
      </c>
      <c r="P43" s="3249">
        <v>498000</v>
      </c>
      <c r="Q43" s="3249">
        <v>4257.8599999999997</v>
      </c>
      <c r="R43" s="3249">
        <v>25547</v>
      </c>
      <c r="S43" s="3249">
        <v>0</v>
      </c>
      <c r="T43" s="3249" t="s">
        <v>3322</v>
      </c>
      <c r="U43" s="3249" t="s">
        <v>3322</v>
      </c>
    </row>
    <row r="44" spans="1:21">
      <c r="A44" s="3249" t="s">
        <v>3445</v>
      </c>
      <c r="B44" s="3249" t="s">
        <v>3446</v>
      </c>
      <c r="C44" s="3249" t="s">
        <v>3284</v>
      </c>
      <c r="D44" s="3249">
        <v>84786.55</v>
      </c>
      <c r="E44" s="3249">
        <v>186530</v>
      </c>
      <c r="F44" s="3249">
        <v>2.2000000000000002</v>
      </c>
      <c r="G44" s="3249" t="s">
        <v>3285</v>
      </c>
      <c r="H44" s="3249" t="s">
        <v>3286</v>
      </c>
      <c r="I44" s="3249" t="s">
        <v>3367</v>
      </c>
      <c r="J44" s="3249" t="s">
        <v>3410</v>
      </c>
      <c r="K44" s="3249" t="s">
        <v>3289</v>
      </c>
      <c r="L44" s="3249" t="s">
        <v>3289</v>
      </c>
      <c r="M44" s="3250">
        <v>43042</v>
      </c>
      <c r="N44" s="3249" t="s">
        <v>3290</v>
      </c>
      <c r="O44" s="3249" t="s">
        <v>3447</v>
      </c>
      <c r="P44" s="3249">
        <v>535500</v>
      </c>
      <c r="Q44" s="3249">
        <v>4210.57</v>
      </c>
      <c r="R44" s="3249">
        <v>28709</v>
      </c>
      <c r="S44" s="3249">
        <v>0.51</v>
      </c>
      <c r="T44" s="3249" t="s">
        <v>3322</v>
      </c>
      <c r="U44" s="3249" t="s">
        <v>3322</v>
      </c>
    </row>
    <row r="45" spans="1:21">
      <c r="A45" s="3249" t="s">
        <v>3448</v>
      </c>
      <c r="B45" s="3249" t="s">
        <v>3449</v>
      </c>
      <c r="C45" s="3249" t="s">
        <v>3284</v>
      </c>
      <c r="D45" s="3249">
        <v>10423.85</v>
      </c>
      <c r="E45" s="3249">
        <v>31272</v>
      </c>
      <c r="F45" s="3249">
        <v>3</v>
      </c>
      <c r="G45" s="3249" t="s">
        <v>3285</v>
      </c>
      <c r="H45" s="3249" t="s">
        <v>3310</v>
      </c>
      <c r="I45" s="3249" t="s">
        <v>3367</v>
      </c>
      <c r="J45" s="3249" t="s">
        <v>3450</v>
      </c>
      <c r="K45" s="3249" t="s">
        <v>3289</v>
      </c>
      <c r="L45" s="3249" t="s">
        <v>3289</v>
      </c>
      <c r="M45" s="3250">
        <v>43019</v>
      </c>
      <c r="N45" s="3249" t="s">
        <v>3290</v>
      </c>
      <c r="O45" s="3249" t="s">
        <v>3451</v>
      </c>
      <c r="P45" s="3249">
        <v>165000</v>
      </c>
      <c r="Q45" s="3249">
        <v>10552.72</v>
      </c>
      <c r="R45" s="3249">
        <v>52763</v>
      </c>
      <c r="S45" s="3249">
        <v>33.5</v>
      </c>
      <c r="T45" s="3249" t="s">
        <v>3322</v>
      </c>
      <c r="U45" s="3249">
        <v>85373</v>
      </c>
    </row>
    <row r="46" spans="1:21" s="3251" customFormat="1">
      <c r="A46" s="3251" t="s">
        <v>3452</v>
      </c>
      <c r="B46" s="3251" t="s">
        <v>3453</v>
      </c>
      <c r="C46" s="3251" t="s">
        <v>3284</v>
      </c>
      <c r="D46" s="3251">
        <v>36708.14</v>
      </c>
      <c r="E46" s="3251">
        <v>102783</v>
      </c>
      <c r="F46" s="3251">
        <v>2.8</v>
      </c>
      <c r="G46" s="3251" t="s">
        <v>3285</v>
      </c>
      <c r="H46" s="3251" t="s">
        <v>3286</v>
      </c>
      <c r="I46" s="3251" t="s">
        <v>3367</v>
      </c>
      <c r="J46" s="3251" t="s">
        <v>3450</v>
      </c>
      <c r="K46" s="3251" t="s">
        <v>3289</v>
      </c>
      <c r="L46" s="3251" t="s">
        <v>3289</v>
      </c>
      <c r="M46" s="3252">
        <v>42999</v>
      </c>
      <c r="N46" s="3251" t="s">
        <v>3290</v>
      </c>
      <c r="O46" s="3251" t="s">
        <v>3454</v>
      </c>
      <c r="P46" s="3251">
        <v>626000</v>
      </c>
      <c r="Q46" s="3251">
        <v>11368.96</v>
      </c>
      <c r="R46" s="3251">
        <v>60905</v>
      </c>
      <c r="S46" s="3251">
        <v>49.05</v>
      </c>
      <c r="T46" s="3251" t="s">
        <v>3322</v>
      </c>
      <c r="U46" s="3251" t="s">
        <v>3322</v>
      </c>
    </row>
    <row r="47" spans="1:21">
      <c r="A47" s="3249" t="s">
        <v>3455</v>
      </c>
      <c r="B47" s="3249" t="s">
        <v>3456</v>
      </c>
      <c r="C47" s="3249" t="s">
        <v>3284</v>
      </c>
      <c r="D47" s="3249">
        <v>25399.58</v>
      </c>
      <c r="E47" s="3249">
        <v>71267</v>
      </c>
      <c r="F47" s="3249">
        <v>2.8</v>
      </c>
      <c r="G47" s="3249" t="s">
        <v>3285</v>
      </c>
      <c r="H47" s="3249" t="s">
        <v>3286</v>
      </c>
      <c r="I47" s="3249" t="s">
        <v>3367</v>
      </c>
      <c r="J47" s="3249" t="s">
        <v>3410</v>
      </c>
      <c r="K47" s="3249" t="s">
        <v>3289</v>
      </c>
      <c r="L47" s="3249" t="s">
        <v>3289</v>
      </c>
      <c r="M47" s="3250">
        <v>42991</v>
      </c>
      <c r="N47" s="3249" t="s">
        <v>3290</v>
      </c>
      <c r="O47" s="3249" t="s">
        <v>3457</v>
      </c>
      <c r="P47" s="3249">
        <v>206500</v>
      </c>
      <c r="Q47" s="3249">
        <v>5420.04</v>
      </c>
      <c r="R47" s="3249">
        <v>28976</v>
      </c>
      <c r="S47" s="3249">
        <v>29.06</v>
      </c>
      <c r="T47" s="3249" t="s">
        <v>3322</v>
      </c>
      <c r="U47" s="3249" t="s">
        <v>3322</v>
      </c>
    </row>
    <row r="48" spans="1:21">
      <c r="A48" s="3249" t="s">
        <v>3458</v>
      </c>
      <c r="B48" s="3249" t="s">
        <v>3459</v>
      </c>
      <c r="C48" s="3249" t="s">
        <v>3284</v>
      </c>
      <c r="D48" s="3249">
        <v>82336.42</v>
      </c>
      <c r="E48" s="3249">
        <v>139022</v>
      </c>
      <c r="F48" s="3249" t="s">
        <v>3460</v>
      </c>
      <c r="G48" s="3249" t="s">
        <v>3285</v>
      </c>
      <c r="H48" s="3249" t="s">
        <v>3286</v>
      </c>
      <c r="I48" s="3249" t="s">
        <v>3367</v>
      </c>
      <c r="J48" s="3249" t="s">
        <v>3450</v>
      </c>
      <c r="K48" s="3249" t="s">
        <v>3289</v>
      </c>
      <c r="L48" s="3249" t="s">
        <v>3289</v>
      </c>
      <c r="M48" s="3250">
        <v>42955</v>
      </c>
      <c r="N48" s="3249" t="s">
        <v>3290</v>
      </c>
      <c r="O48" s="3249" t="s">
        <v>3461</v>
      </c>
      <c r="P48" s="3249">
        <v>580800</v>
      </c>
      <c r="Q48" s="3249">
        <v>4702.66</v>
      </c>
      <c r="R48" s="3249">
        <v>41778</v>
      </c>
      <c r="S48" s="3249">
        <v>20</v>
      </c>
      <c r="T48" s="3249" t="s">
        <v>3322</v>
      </c>
      <c r="U48" s="3249">
        <v>53000</v>
      </c>
    </row>
    <row r="49" spans="1:21">
      <c r="A49" s="3249" t="s">
        <v>3462</v>
      </c>
      <c r="B49" s="3249" t="s">
        <v>3463</v>
      </c>
      <c r="C49" s="3249" t="s">
        <v>3284</v>
      </c>
      <c r="D49" s="3249">
        <v>54881.23</v>
      </c>
      <c r="E49" s="3249">
        <v>104288</v>
      </c>
      <c r="F49" s="3249" t="s">
        <v>3464</v>
      </c>
      <c r="G49" s="3249" t="s">
        <v>3285</v>
      </c>
      <c r="H49" s="3249" t="s">
        <v>3286</v>
      </c>
      <c r="I49" s="3249" t="s">
        <v>3367</v>
      </c>
      <c r="J49" s="3249" t="s">
        <v>3465</v>
      </c>
      <c r="K49" s="3249" t="s">
        <v>3289</v>
      </c>
      <c r="L49" s="3249" t="s">
        <v>3289</v>
      </c>
      <c r="M49" s="3250">
        <v>42955</v>
      </c>
      <c r="N49" s="3249" t="s">
        <v>3290</v>
      </c>
      <c r="O49" s="3249" t="s">
        <v>3466</v>
      </c>
      <c r="P49" s="3249">
        <v>180550</v>
      </c>
      <c r="Q49" s="3249">
        <v>2193.2199999999998</v>
      </c>
      <c r="R49" s="3249">
        <v>17313</v>
      </c>
      <c r="S49" s="3249">
        <v>15</v>
      </c>
      <c r="T49" s="3249" t="s">
        <v>3322</v>
      </c>
      <c r="U49" s="3249">
        <v>53000</v>
      </c>
    </row>
    <row r="50" spans="1:21">
      <c r="A50" s="3249" t="s">
        <v>3467</v>
      </c>
      <c r="B50" s="3249" t="s">
        <v>3468</v>
      </c>
      <c r="C50" s="3249" t="s">
        <v>3284</v>
      </c>
      <c r="D50" s="3249">
        <v>59511.18</v>
      </c>
      <c r="E50" s="3249">
        <v>89267</v>
      </c>
      <c r="F50" s="3249">
        <v>1.5</v>
      </c>
      <c r="G50" s="3249" t="s">
        <v>3285</v>
      </c>
      <c r="H50" s="3249" t="s">
        <v>3310</v>
      </c>
      <c r="I50" s="3249" t="s">
        <v>3367</v>
      </c>
      <c r="J50" s="3249" t="s">
        <v>3417</v>
      </c>
      <c r="K50" s="3249" t="s">
        <v>3289</v>
      </c>
      <c r="L50" s="3249" t="s">
        <v>3289</v>
      </c>
      <c r="M50" s="3250">
        <v>42858</v>
      </c>
      <c r="N50" s="3249" t="s">
        <v>3290</v>
      </c>
      <c r="O50" s="3249" t="s">
        <v>3469</v>
      </c>
      <c r="P50" s="3249">
        <v>457500</v>
      </c>
      <c r="Q50" s="3249">
        <v>5125.09</v>
      </c>
      <c r="R50" s="3249">
        <v>51251</v>
      </c>
      <c r="S50" s="3249">
        <v>31.09</v>
      </c>
      <c r="T50" s="3249" t="s">
        <v>3322</v>
      </c>
      <c r="U50" s="3249">
        <v>67516</v>
      </c>
    </row>
    <row r="51" spans="1:21">
      <c r="A51" s="3249" t="s">
        <v>3470</v>
      </c>
      <c r="B51" s="3249" t="s">
        <v>3471</v>
      </c>
      <c r="C51" s="3249" t="s">
        <v>3284</v>
      </c>
      <c r="D51" s="3249">
        <v>53213.75</v>
      </c>
      <c r="E51" s="3249">
        <v>100410</v>
      </c>
      <c r="F51" s="3249">
        <v>1.9</v>
      </c>
      <c r="G51" s="3249" t="s">
        <v>3285</v>
      </c>
      <c r="H51" s="3249" t="s">
        <v>3472</v>
      </c>
      <c r="I51" s="3249" t="s">
        <v>3367</v>
      </c>
      <c r="J51" s="3249" t="s">
        <v>3410</v>
      </c>
      <c r="K51" s="3249" t="s">
        <v>3289</v>
      </c>
      <c r="L51" s="3249" t="s">
        <v>3289</v>
      </c>
      <c r="M51" s="3250">
        <v>42852</v>
      </c>
      <c r="N51" s="3249" t="s">
        <v>3290</v>
      </c>
      <c r="O51" s="3249" t="s">
        <v>3473</v>
      </c>
      <c r="P51" s="3249">
        <v>289000</v>
      </c>
      <c r="Q51" s="3249">
        <v>3620.62</v>
      </c>
      <c r="R51" s="3249">
        <v>28782</v>
      </c>
      <c r="S51" s="3249">
        <v>22.98</v>
      </c>
      <c r="T51" s="3249" t="s">
        <v>3322</v>
      </c>
      <c r="U51" s="3249" t="s">
        <v>3322</v>
      </c>
    </row>
  </sheetData>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5"/>
  <sheetViews>
    <sheetView workbookViewId="0">
      <selection activeCell="D15" sqref="D15"/>
    </sheetView>
  </sheetViews>
  <sheetFormatPr defaultRowHeight="13.5"/>
  <cols>
    <col min="1" max="1" width="17.5" customWidth="1"/>
    <col min="2" max="2" width="17.625" customWidth="1"/>
    <col min="3" max="3" width="14.75" customWidth="1"/>
    <col min="4" max="4" width="12.25" customWidth="1"/>
  </cols>
  <sheetData>
    <row r="1" spans="1:6">
      <c r="A1" s="3240" t="s">
        <v>3475</v>
      </c>
      <c r="B1" s="3240" t="s">
        <v>3477</v>
      </c>
      <c r="C1" s="3240" t="s">
        <v>3478</v>
      </c>
      <c r="D1" s="3240" t="s">
        <v>3476</v>
      </c>
      <c r="E1" s="3240" t="s">
        <v>3479</v>
      </c>
    </row>
    <row r="2" spans="1:6">
      <c r="A2" s="3240" t="s">
        <v>3474</v>
      </c>
      <c r="B2" s="3240" t="s">
        <v>3489</v>
      </c>
      <c r="C2" s="3240" t="s">
        <v>3481</v>
      </c>
      <c r="D2">
        <v>106000</v>
      </c>
      <c r="E2" s="3240" t="s">
        <v>3480</v>
      </c>
    </row>
    <row r="3" spans="1:6">
      <c r="A3" s="3240" t="s">
        <v>3482</v>
      </c>
      <c r="B3" s="3240" t="s">
        <v>3489</v>
      </c>
      <c r="C3" s="3240" t="s">
        <v>3483</v>
      </c>
      <c r="D3">
        <v>128000</v>
      </c>
      <c r="E3" s="3240" t="s">
        <v>3480</v>
      </c>
    </row>
    <row r="4" spans="1:6">
      <c r="A4" s="3240" t="s">
        <v>3484</v>
      </c>
      <c r="B4" s="3240" t="s">
        <v>3490</v>
      </c>
      <c r="C4" s="3240" t="s">
        <v>3485</v>
      </c>
      <c r="D4">
        <v>135000</v>
      </c>
      <c r="E4" s="3240" t="s">
        <v>3480</v>
      </c>
      <c r="F4" s="3240" t="s">
        <v>3491</v>
      </c>
    </row>
    <row r="5" spans="1:6">
      <c r="A5" s="3240" t="s">
        <v>3486</v>
      </c>
      <c r="B5" s="3240" t="s">
        <v>3487</v>
      </c>
      <c r="C5" s="3240" t="s">
        <v>3488</v>
      </c>
      <c r="D5">
        <v>140000</v>
      </c>
      <c r="E5" s="3240" t="s">
        <v>3480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1546</v>
      </c>
      <c r="B2" s="3265" t="s">
        <v>1547</v>
      </c>
      <c r="C2" s="3265" t="s">
        <v>1548</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6"/>
      <c r="B3" s="3266"/>
      <c r="C3" s="3266"/>
      <c r="D3" s="962" t="s">
        <v>1543</v>
      </c>
      <c r="E3" s="962" t="s">
        <v>1549</v>
      </c>
      <c r="F3" s="962" t="s">
        <v>1543</v>
      </c>
      <c r="G3" s="962" t="s">
        <v>1544</v>
      </c>
      <c r="H3" s="962" t="s">
        <v>1543</v>
      </c>
      <c r="I3" s="962" t="s">
        <v>1544</v>
      </c>
    </row>
    <row r="4" spans="1:9" ht="30">
      <c r="A4" s="1659" t="str">
        <f>项目基本情况!S2</f>
        <v>北京市出让国有建设用地使用权及在建建筑物房地产</v>
      </c>
      <c r="B4" s="962">
        <f>项目基本情况!C17</f>
        <v>33617.25</v>
      </c>
      <c r="C4" s="962">
        <f>项目基本情况!C18</f>
        <v>8422.83</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266" t="s">
        <v>1545</v>
      </c>
      <c r="B5" s="3266"/>
      <c r="C5" s="3266"/>
      <c r="D5" s="3267" t="e">
        <f ca="1">结果表!D119</f>
        <v>#REF!</v>
      </c>
      <c r="E5" s="3267"/>
      <c r="F5" s="3267" t="e">
        <f ca="1">结果表!F119</f>
        <v>#REF!</v>
      </c>
      <c r="G5" s="3267"/>
      <c r="H5" s="3267" t="e">
        <f ca="1">结果表!H119</f>
        <v>#REF!</v>
      </c>
      <c r="I5" s="3267"/>
    </row>
    <row r="6" spans="1:9" ht="15.75">
      <c r="A6" s="3268" t="str">
        <f>结果表!A120</f>
        <v>估价师知悉的法定优先受偿款</v>
      </c>
      <c r="B6" s="3268"/>
      <c r="C6" s="3268"/>
      <c r="D6" s="3268">
        <f>结果表!D120</f>
        <v>0</v>
      </c>
      <c r="E6" s="3268"/>
      <c r="F6" s="3268"/>
      <c r="G6" s="3268"/>
      <c r="H6" s="3268"/>
      <c r="I6" s="3268"/>
    </row>
    <row r="7" spans="1:9" ht="15">
      <c r="A7" s="3266" t="s">
        <v>1545</v>
      </c>
      <c r="B7" s="3266"/>
      <c r="C7" s="3266"/>
      <c r="D7" s="3269" t="str">
        <f>结果表!D121</f>
        <v>零元整</v>
      </c>
      <c r="E7" s="3270"/>
      <c r="F7" s="3270"/>
      <c r="G7" s="3270"/>
      <c r="H7" s="3270"/>
      <c r="I7" s="3271"/>
    </row>
    <row r="8" spans="1:9" ht="15.75">
      <c r="A8" s="3268" t="str">
        <f>结果表!A122</f>
        <v>房地产抵押价值</v>
      </c>
      <c r="B8" s="3268"/>
      <c r="C8" s="3268"/>
      <c r="D8" s="3268" t="e">
        <f ca="1">结果表!D122</f>
        <v>#REF!</v>
      </c>
      <c r="E8" s="3268"/>
      <c r="F8" s="3268"/>
      <c r="G8" s="3268"/>
      <c r="H8" s="3268"/>
      <c r="I8" s="3268"/>
    </row>
    <row r="9" spans="1:9" ht="15">
      <c r="A9" s="3266" t="s">
        <v>1545</v>
      </c>
      <c r="B9" s="3266"/>
      <c r="C9" s="3266"/>
      <c r="D9" s="3267" t="e">
        <f ca="1">结果表!D123</f>
        <v>#REF!</v>
      </c>
      <c r="E9" s="3267"/>
      <c r="F9" s="3267"/>
      <c r="G9" s="3267"/>
      <c r="H9" s="3267"/>
      <c r="I9" s="3267"/>
    </row>
    <row r="10" spans="1:9" ht="15.75">
      <c r="A10" s="3268" t="str">
        <f>结果表!A124</f>
        <v/>
      </c>
      <c r="B10" s="3268"/>
      <c r="C10" s="3268"/>
      <c r="D10" s="3268" t="str">
        <f>结果表!D124</f>
        <v>——</v>
      </c>
      <c r="E10" s="3268"/>
      <c r="F10" s="3268"/>
      <c r="G10" s="3268"/>
      <c r="H10" s="3268"/>
      <c r="I10" s="3268"/>
    </row>
    <row r="11" spans="1:9" ht="15">
      <c r="A11" s="3266" t="s">
        <v>1545</v>
      </c>
      <c r="B11" s="3266"/>
      <c r="C11" s="3266"/>
      <c r="D11" s="3267" t="e">
        <f>结果表!D125</f>
        <v>#VALUE!</v>
      </c>
      <c r="E11" s="3267"/>
      <c r="F11" s="3267"/>
      <c r="G11" s="3267"/>
      <c r="H11" s="3267"/>
      <c r="I11" s="3267"/>
    </row>
    <row r="12" spans="1:9" ht="15.75">
      <c r="A12" s="3268" t="str">
        <f>结果表!A126</f>
        <v/>
      </c>
      <c r="B12" s="3268"/>
      <c r="C12" s="3268"/>
      <c r="D12" s="3268" t="str">
        <f>结果表!D126</f>
        <v>——</v>
      </c>
      <c r="E12" s="3268"/>
      <c r="F12" s="3268"/>
      <c r="G12" s="3268"/>
      <c r="H12" s="3268"/>
      <c r="I12" s="3268"/>
    </row>
    <row r="13" spans="1:9" ht="15.75" thickBot="1">
      <c r="A13" s="3272" t="s">
        <v>1545</v>
      </c>
      <c r="B13" s="3272"/>
      <c r="C13" s="3272"/>
      <c r="D13" s="3273" t="e">
        <f>结果表!D127</f>
        <v>#VALUE!</v>
      </c>
      <c r="E13" s="3273"/>
      <c r="F13" s="3273"/>
      <c r="G13" s="3273"/>
      <c r="H13" s="3273"/>
      <c r="I13" s="3273"/>
    </row>
    <row r="14" spans="1:9" ht="15" thickTop="1">
      <c r="A14" s="3274" t="s">
        <v>1550</v>
      </c>
      <c r="B14" s="3274"/>
      <c r="C14" s="3274"/>
      <c r="D14" s="3274"/>
      <c r="E14" s="3274"/>
      <c r="F14" s="3274"/>
      <c r="G14" s="3274"/>
      <c r="H14" s="3274"/>
      <c r="I14" s="3274"/>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5" t="s">
        <v>1567</v>
      </c>
      <c r="B1" s="3275"/>
      <c r="C1" s="3275"/>
      <c r="D1" s="3275"/>
    </row>
    <row r="2" spans="1:4" ht="18">
      <c r="A2" s="3276" t="s">
        <v>1551</v>
      </c>
      <c r="B2" s="3276"/>
      <c r="C2" s="3276"/>
      <c r="D2" s="3276"/>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76" t="s">
        <v>1557</v>
      </c>
      <c r="B6" s="3276"/>
      <c r="C6" s="3276"/>
      <c r="D6" s="3276"/>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77" t="s">
        <v>1560</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1" t="s">
        <v>1561</v>
      </c>
      <c r="B16" s="3281"/>
      <c r="C16" s="3281"/>
      <c r="D16" s="3281"/>
    </row>
    <row r="17" spans="1:4" ht="144" customHeight="1">
      <c r="A17" s="3281" t="s">
        <v>1562</v>
      </c>
      <c r="B17" s="3281"/>
      <c r="C17" s="3281"/>
      <c r="D17" s="3281"/>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1563</v>
      </c>
      <c r="B22" s="3283"/>
      <c r="C22" s="3283"/>
      <c r="D22" s="3283"/>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0">
        <v>42551</v>
      </c>
      <c r="D31" s="32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9" t="s">
        <v>1574</v>
      </c>
      <c r="B15" s="3284" t="s">
        <v>136</v>
      </c>
      <c r="C15" s="3285"/>
    </row>
    <row r="16" spans="1:7" ht="13.5">
      <c r="A16" s="3290"/>
      <c r="B16" s="3284" t="s">
        <v>69</v>
      </c>
      <c r="C16" s="3285"/>
    </row>
    <row r="17" spans="1:3" ht="13.5">
      <c r="A17" s="3290"/>
      <c r="B17" s="3287" t="s">
        <v>1575</v>
      </c>
      <c r="C17" s="1686" t="s">
        <v>1574</v>
      </c>
    </row>
    <row r="18" spans="1:3" ht="13.5">
      <c r="A18" s="3290"/>
      <c r="B18" s="3287"/>
      <c r="C18" s="1686" t="s">
        <v>1576</v>
      </c>
    </row>
    <row r="19" spans="1:3" ht="13.5">
      <c r="A19" s="3290"/>
      <c r="B19" s="3287"/>
      <c r="C19" s="1686" t="s">
        <v>1577</v>
      </c>
    </row>
    <row r="20" spans="1:3" ht="13.5">
      <c r="A20" s="3291"/>
      <c r="B20" s="3286" t="s">
        <v>1578</v>
      </c>
      <c r="C20" s="3285"/>
    </row>
    <row r="21" spans="1:3" ht="13.5">
      <c r="A21" s="1687" t="s">
        <v>1579</v>
      </c>
      <c r="B21" s="1688"/>
      <c r="C21" s="1689"/>
    </row>
    <row r="22" spans="1:3" ht="13.5">
      <c r="A22" s="3288" t="s">
        <v>1580</v>
      </c>
      <c r="B22" s="3286" t="s">
        <v>1581</v>
      </c>
      <c r="C22" s="3285"/>
    </row>
    <row r="23" spans="1:3" ht="13.5">
      <c r="A23" s="3288"/>
      <c r="B23" s="3286" t="s">
        <v>1582</v>
      </c>
      <c r="C23" s="3285"/>
    </row>
    <row r="24" spans="1:3" ht="13.5">
      <c r="A24" s="3288"/>
      <c r="B24" s="3286" t="s">
        <v>1583</v>
      </c>
      <c r="C24" s="3285"/>
    </row>
    <row r="25" spans="1:3" ht="13.5">
      <c r="A25" s="3288"/>
      <c r="B25" s="3287" t="s">
        <v>1584</v>
      </c>
      <c r="C25" s="1686" t="s">
        <v>1585</v>
      </c>
    </row>
    <row r="26" spans="1:3" ht="13.5">
      <c r="A26" s="3288"/>
      <c r="B26" s="3287"/>
      <c r="C26" s="1686" t="s">
        <v>1586</v>
      </c>
    </row>
    <row r="27" spans="1:3" ht="13.5">
      <c r="A27" s="3288"/>
      <c r="B27" s="3287"/>
      <c r="C27" s="1686" t="s">
        <v>1587</v>
      </c>
    </row>
    <row r="28" spans="1:3" ht="13.5">
      <c r="A28" s="3288"/>
      <c r="B28" s="3287"/>
      <c r="C28" s="1686" t="s">
        <v>1588</v>
      </c>
    </row>
    <row r="29" spans="1:3" ht="13.5">
      <c r="A29" s="3288"/>
      <c r="B29" s="3287"/>
      <c r="C29" s="1686" t="s">
        <v>1589</v>
      </c>
    </row>
    <row r="30" spans="1:3" ht="13.5">
      <c r="A30" s="3288"/>
      <c r="B30" s="3287"/>
      <c r="C30" s="1686" t="s">
        <v>1590</v>
      </c>
    </row>
    <row r="31" spans="1:3" ht="13.5">
      <c r="A31" s="3288"/>
      <c r="B31" s="3287"/>
      <c r="C31" s="1686" t="s">
        <v>1591</v>
      </c>
    </row>
    <row r="32" spans="1:3" ht="13.5">
      <c r="A32" s="3288"/>
      <c r="B32" s="3287"/>
      <c r="C32" s="1686" t="s">
        <v>1592</v>
      </c>
    </row>
    <row r="33" spans="1:3" ht="13.5">
      <c r="A33" s="3288"/>
      <c r="B33" s="3287"/>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44578</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2" t="s">
        <v>2841</v>
      </c>
      <c r="B17" s="3292"/>
      <c r="C17" s="3292"/>
      <c r="D17" s="3292"/>
      <c r="E17" s="3292"/>
      <c r="F17" s="3292"/>
      <c r="G17" s="3292"/>
      <c r="H17" s="3292"/>
    </row>
    <row r="18" spans="1:8" ht="24" customHeight="1">
      <c r="A18" s="3293" t="s">
        <v>2842</v>
      </c>
      <c r="B18" s="3293"/>
      <c r="C18" s="3293"/>
      <c r="D18" s="2535"/>
      <c r="E18" s="3294" t="s">
        <v>2843</v>
      </c>
      <c r="F18" s="3293"/>
      <c r="G18" s="3293"/>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面积明细废弃</vt:lpstr>
      <vt:lpstr>建委及中指数据</vt:lpstr>
      <vt:lpstr>面积明细更新</vt:lpstr>
      <vt:lpstr>最新土地案例</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2022-01-17T05:21:16Z</dcterms:modified>
</cp:coreProperties>
</file>