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I7" i="39" l="1"/>
  <c r="G7" i="39"/>
  <c r="E7" i="39"/>
  <c r="E118" i="39"/>
  <c r="F118" i="39"/>
  <c r="G118" i="39" s="1"/>
  <c r="H118" i="39" s="1"/>
  <c r="I118" i="39" s="1"/>
  <c r="J118" i="39" s="1"/>
  <c r="E117" i="39"/>
  <c r="F117" i="39" s="1"/>
  <c r="G117" i="39" s="1"/>
  <c r="H117" i="39" s="1"/>
  <c r="I117" i="39" s="1"/>
  <c r="J117" i="39" s="1"/>
  <c r="D118" i="39"/>
  <c r="D117" i="39"/>
  <c r="I38" i="39"/>
  <c r="G38" i="39"/>
  <c r="E38" i="39"/>
  <c r="C38" i="39"/>
  <c r="I5" i="39"/>
  <c r="G5" i="39"/>
  <c r="E5" i="39"/>
  <c r="E71" i="39"/>
  <c r="F71" i="39" s="1"/>
  <c r="G71" i="39" s="1"/>
  <c r="H71" i="39" s="1"/>
  <c r="I71" i="39" s="1"/>
  <c r="J71" i="39" s="1"/>
  <c r="K71" i="39" s="1"/>
  <c r="L71" i="39" s="1"/>
  <c r="M71" i="39" s="1"/>
  <c r="D71" i="39"/>
  <c r="C11" i="39"/>
  <c r="I46" i="39"/>
  <c r="G46" i="39"/>
  <c r="E46" i="39"/>
  <c r="F19" i="6"/>
  <c r="D3" i="4"/>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J19" i="40"/>
  <c r="AC19" i="40"/>
  <c r="J50" i="40"/>
  <c r="H103" i="9"/>
  <c r="D8" i="53" s="1"/>
  <c r="B16" i="53"/>
  <c r="B33" i="72" s="1"/>
  <c r="C7" i="37"/>
  <c r="C7" i="34"/>
  <c r="C7" i="36"/>
  <c r="W35" i="40"/>
  <c r="A118" i="9"/>
  <c r="A4" i="52"/>
  <c r="B41" i="72" s="1"/>
  <c r="J11" i="39"/>
  <c r="W11" i="39" s="1"/>
  <c r="F11" i="39"/>
  <c r="AA11" i="39" s="1"/>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G5" i="3" s="1"/>
  <c r="B3" i="3" s="1"/>
  <c r="BA13" i="3"/>
  <c r="E10" i="6"/>
  <c r="BA5" i="3"/>
  <c r="E27" i="6"/>
  <c r="K24" i="6" s="1"/>
  <c r="M24" i="6" s="1"/>
  <c r="I24" i="6" s="1"/>
  <c r="S24" i="6" s="1"/>
  <c r="E11" i="6"/>
  <c r="E61" i="39"/>
  <c r="BL17" i="3"/>
  <c r="AZ17" i="3"/>
  <c r="BL13" i="3"/>
  <c r="E65" i="39"/>
  <c r="G30" i="6"/>
  <c r="G31" i="6"/>
  <c r="J56" i="9"/>
  <c r="J57" i="9" s="1"/>
  <c r="J59" i="9" s="1"/>
  <c r="J61" i="9" s="1"/>
  <c r="A24" i="51"/>
  <c r="B18" i="72"/>
  <c r="U29" i="34"/>
  <c r="E14" i="6"/>
  <c r="E64" i="39"/>
  <c r="E5" i="6"/>
  <c r="D9" i="11"/>
  <c r="C9" i="11" s="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Q8" i="1" s="1"/>
  <c r="K11" i="1"/>
  <c r="M11" i="1" s="1"/>
  <c r="O11" i="1" s="1"/>
  <c r="P11" i="1" s="1"/>
  <c r="AP6" i="1"/>
  <c r="C36" i="69"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9" i="69"/>
  <c r="C9" i="69" s="1"/>
  <c r="D19" i="12"/>
  <c r="C19" i="12" s="1"/>
  <c r="AQ9" i="1"/>
  <c r="AR11" i="1"/>
  <c r="E59" i="40"/>
  <c r="E30" i="6"/>
  <c r="K15" i="1"/>
  <c r="T9" i="1"/>
  <c r="T13" i="1"/>
  <c r="D9" i="68"/>
  <c r="C9" i="68" s="1"/>
  <c r="K20" i="6"/>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31" i="6"/>
  <c r="K14" i="1"/>
  <c r="M14" i="1" s="1"/>
  <c r="O14" i="1" s="1"/>
  <c r="P14" i="1" s="1"/>
  <c r="BL5" i="3"/>
  <c r="K21" i="6"/>
  <c r="M21" i="6" s="1"/>
  <c r="I21" i="6" s="1"/>
  <c r="S21" i="6" s="1"/>
  <c r="E397" i="3"/>
  <c r="E568" i="3"/>
  <c r="E511" i="3"/>
  <c r="I6" i="3"/>
  <c r="E16" i="3"/>
  <c r="E536" i="3"/>
  <c r="AK6" i="3"/>
  <c r="E549" i="3"/>
  <c r="E434" i="3"/>
  <c r="E453" i="3"/>
  <c r="E306" i="3"/>
  <c r="E368" i="3"/>
  <c r="E296" i="3"/>
  <c r="E244" i="3"/>
  <c r="E262" i="3"/>
  <c r="E196" i="3"/>
  <c r="E136" i="3"/>
  <c r="E156" i="3"/>
  <c r="E236" i="3"/>
  <c r="E148" i="3"/>
  <c r="E269" i="3"/>
  <c r="E122" i="3"/>
  <c r="E89" i="3"/>
  <c r="K26" i="6"/>
  <c r="M26" i="6" s="1"/>
  <c r="I26" i="6" s="1"/>
  <c r="S26" i="6" s="1"/>
  <c r="K19" i="6"/>
  <c r="M19" i="6" s="1"/>
  <c r="K25" i="6"/>
  <c r="M25" i="6" s="1"/>
  <c r="I25" i="6" s="1"/>
  <c r="S25" i="6" s="1"/>
  <c r="K23" i="6"/>
  <c r="M23" i="6" s="1"/>
  <c r="I23" i="6" s="1"/>
  <c r="S23" i="6" s="1"/>
  <c r="E140" i="3"/>
  <c r="E85" i="3"/>
  <c r="E223" i="3"/>
  <c r="E238" i="3"/>
  <c r="E197" i="3"/>
  <c r="E116" i="3"/>
  <c r="E173" i="3"/>
  <c r="E105" i="3"/>
  <c r="E3" i="6"/>
  <c r="D3" i="34" s="1"/>
  <c r="E286" i="3"/>
  <c r="E312"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L27" i="6"/>
  <c r="M20" i="6"/>
  <c r="I20" i="6" s="1"/>
  <c r="S20" i="6" s="1"/>
  <c r="AP7" i="1"/>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11" i="12"/>
  <c r="C23" i="12" s="1"/>
  <c r="R8" i="1"/>
  <c r="E2" i="70"/>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G17" i="43"/>
  <c r="C16" i="43"/>
  <c r="D5" i="43"/>
  <c r="C5" i="43"/>
  <c r="E68" i="39"/>
  <c r="F68" i="39" s="1"/>
  <c r="V16" i="71"/>
  <c r="C16" i="71"/>
  <c r="D17" i="71"/>
  <c r="E41" i="43"/>
  <c r="C41" i="43"/>
  <c r="C20" i="43"/>
  <c r="I59" i="34"/>
  <c r="J59" i="34" s="1"/>
  <c r="D14" i="71"/>
  <c r="T16" i="71"/>
  <c r="D15" i="71"/>
  <c r="D16" i="71"/>
  <c r="U16" i="71"/>
  <c r="F13" i="15"/>
  <c r="D7" i="73"/>
  <c r="L47" i="15"/>
  <c r="AO9" i="1"/>
  <c r="F5" i="73"/>
  <c r="D2" i="34"/>
  <c r="F16" i="15"/>
  <c r="D2" i="36"/>
  <c r="L47" i="67"/>
  <c r="M26" i="67"/>
  <c r="F38" i="15"/>
  <c r="M27" i="15"/>
  <c r="M21" i="67"/>
  <c r="M28" i="67"/>
  <c r="F40" i="67"/>
  <c r="D3" i="73"/>
  <c r="M6" i="67"/>
  <c r="F42" i="15"/>
  <c r="AO10" i="1"/>
  <c r="M21" i="15"/>
  <c r="AO11" i="1"/>
  <c r="E8" i="76"/>
  <c r="M22" i="15"/>
  <c r="M24" i="67"/>
  <c r="F42" i="67"/>
  <c r="E13" i="76"/>
  <c r="J15" i="67"/>
  <c r="C76" i="15"/>
  <c r="L48" i="67"/>
  <c r="F6" i="67"/>
  <c r="F20" i="31"/>
  <c r="AO7" i="1"/>
  <c r="F43" i="15"/>
  <c r="M23" i="15"/>
  <c r="M8" i="15"/>
  <c r="F41" i="67"/>
  <c r="M28" i="15"/>
  <c r="M29" i="67"/>
  <c r="F36" i="15"/>
  <c r="F7" i="15"/>
  <c r="F7" i="67"/>
  <c r="D2" i="35"/>
  <c r="D2" i="33"/>
  <c r="M24" i="15"/>
  <c r="M23" i="67"/>
  <c r="C76" i="67"/>
  <c r="F35" i="15"/>
  <c r="F16" i="67"/>
  <c r="B12" i="76"/>
  <c r="F6" i="73"/>
  <c r="L48" i="15"/>
  <c r="J15" i="15"/>
  <c r="AO12" i="1"/>
  <c r="M9" i="15"/>
  <c r="F37" i="67"/>
  <c r="B8" i="76"/>
  <c r="B9" i="76"/>
  <c r="F8" i="67"/>
  <c r="M29" i="15"/>
  <c r="E11" i="76"/>
  <c r="F26" i="67"/>
  <c r="AO8" i="1"/>
  <c r="E7" i="76"/>
  <c r="B13" i="76"/>
  <c r="F9" i="67"/>
  <c r="B7" i="76"/>
  <c r="M22" i="67"/>
  <c r="M8" i="67"/>
  <c r="F3" i="73"/>
  <c r="F26" i="15"/>
  <c r="M27" i="67"/>
  <c r="E2" i="68"/>
  <c r="F41" i="15"/>
  <c r="B10" i="76"/>
  <c r="F37" i="15"/>
  <c r="D5" i="73"/>
  <c r="M9" i="67"/>
  <c r="F35" i="67"/>
  <c r="F7" i="73"/>
  <c r="D4" i="73"/>
  <c r="D6" i="73"/>
  <c r="F43" i="67"/>
  <c r="F8" i="15"/>
  <c r="AO13" i="1"/>
  <c r="F40" i="15"/>
  <c r="E2" i="69"/>
  <c r="F36" i="67"/>
  <c r="M26" i="15"/>
  <c r="F9" i="15"/>
  <c r="M6" i="15"/>
  <c r="D2" i="37"/>
  <c r="F4" i="73"/>
  <c r="D2" i="21"/>
  <c r="B11" i="76"/>
  <c r="E9" i="76"/>
  <c r="E10" i="76"/>
  <c r="F6" i="15"/>
  <c r="F13" i="67"/>
  <c r="AO6" i="1"/>
  <c r="F38" i="67"/>
  <c r="E12" i="76"/>
  <c r="F34" i="68" l="1"/>
  <c r="S9" i="39"/>
  <c r="W9" i="39"/>
  <c r="U9" i="39"/>
  <c r="W8" i="39"/>
  <c r="AB8" i="39"/>
  <c r="C92" i="9"/>
  <c r="C94" i="9"/>
  <c r="C5" i="11"/>
  <c r="C20" i="11" s="1"/>
  <c r="B41" i="1"/>
  <c r="F54" i="9" s="1"/>
  <c r="C24" i="12"/>
  <c r="C36" i="11"/>
  <c r="F32" i="15"/>
  <c r="F60" i="15" s="1"/>
  <c r="C21" i="69"/>
  <c r="D22" i="67"/>
  <c r="T7" i="1"/>
  <c r="AR7" i="1"/>
  <c r="S6" i="1"/>
  <c r="AT6" i="3"/>
  <c r="E125" i="3"/>
  <c r="E217" i="3"/>
  <c r="E366" i="3"/>
  <c r="E526" i="3"/>
  <c r="E553" i="3"/>
  <c r="E268" i="3"/>
  <c r="E282" i="3"/>
  <c r="E322" i="3"/>
  <c r="N6" i="3"/>
  <c r="AJ6" i="3"/>
  <c r="E239" i="3"/>
  <c r="E509" i="3"/>
  <c r="E516" i="3"/>
  <c r="E579" i="3"/>
  <c r="E569" i="3"/>
  <c r="E431" i="3"/>
  <c r="E396" i="3"/>
  <c r="E247" i="3"/>
  <c r="E229" i="3"/>
  <c r="E201" i="3"/>
  <c r="E151" i="3"/>
  <c r="E53" i="3"/>
  <c r="E175" i="3"/>
  <c r="E319" i="3"/>
  <c r="E530" i="3"/>
  <c r="E501" i="3"/>
  <c r="E343" i="3"/>
  <c r="E153" i="3"/>
  <c r="E305" i="3"/>
  <c r="E426" i="3"/>
  <c r="E508" i="3"/>
  <c r="E328" i="3"/>
  <c r="E388" i="3"/>
  <c r="O6" i="3"/>
  <c r="E555" i="3"/>
  <c r="E574" i="3"/>
  <c r="E410" i="3"/>
  <c r="E359" i="3"/>
  <c r="E337" i="3"/>
  <c r="E285" i="3"/>
  <c r="E143" i="3"/>
  <c r="E97" i="3"/>
  <c r="E353" i="3"/>
  <c r="E385"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14"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27"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6" i="39"/>
  <c r="E16" i="6"/>
  <c r="K16" i="1"/>
  <c r="S16" i="1"/>
  <c r="AR8" i="1"/>
  <c r="I19" i="6"/>
  <c r="O12" i="1"/>
  <c r="P12" i="1" s="1"/>
  <c r="P6" i="1"/>
  <c r="M16" i="1"/>
  <c r="C34" i="68" s="1"/>
  <c r="O7" i="1"/>
  <c r="O9" i="1"/>
  <c r="P9" i="1" s="1"/>
  <c r="O8" i="1"/>
  <c r="P8" i="1" s="1"/>
  <c r="C34" i="69"/>
  <c r="C35" i="69" s="1"/>
  <c r="M18" i="9"/>
  <c r="B118" i="9" s="1"/>
  <c r="B14" i="74" s="1"/>
  <c r="B1" i="74" s="1"/>
  <c r="C7" i="74" s="1"/>
  <c r="D14" i="12"/>
  <c r="D17" i="12" s="1"/>
  <c r="C17" i="12" s="1"/>
  <c r="D37" i="11"/>
  <c r="C37" i="11" s="1"/>
  <c r="E6" i="6"/>
  <c r="D3" i="33"/>
  <c r="K27" i="6"/>
  <c r="H16" i="1"/>
  <c r="Q16" i="1"/>
  <c r="K22" i="6"/>
  <c r="M22" i="6" s="1"/>
  <c r="I22" i="6" s="1"/>
  <c r="S22" i="6" s="1"/>
  <c r="E533" i="3"/>
  <c r="E358" i="3"/>
  <c r="E390" i="3"/>
  <c r="E311" i="3"/>
  <c r="E270" i="3"/>
  <c r="E128" i="3"/>
  <c r="E293" i="3"/>
  <c r="E165" i="3"/>
  <c r="E124" i="3"/>
  <c r="E205" i="3"/>
  <c r="E246" i="3"/>
  <c r="E227" i="3"/>
  <c r="E280" i="3"/>
  <c r="E352" i="3"/>
  <c r="E336" i="3"/>
  <c r="E461" i="3"/>
  <c r="E399" i="3"/>
  <c r="E510" i="3"/>
  <c r="X6" i="3"/>
  <c r="E567" i="3"/>
  <c r="AA6" i="3"/>
  <c r="E545" i="3"/>
  <c r="E583" i="3"/>
  <c r="E539" i="3"/>
  <c r="E347" i="3"/>
  <c r="E329" i="3"/>
  <c r="AY6" i="3"/>
  <c r="E302" i="3"/>
  <c r="E535" i="3"/>
  <c r="E503" i="3"/>
  <c r="E550" i="3"/>
  <c r="E17" i="3"/>
  <c r="E445" i="3"/>
  <c r="E361" i="3"/>
  <c r="E260" i="3"/>
  <c r="E213" i="3"/>
  <c r="E172" i="3"/>
  <c r="E183" i="3"/>
  <c r="E395" i="3"/>
  <c r="E565" i="3"/>
  <c r="E563" i="3"/>
  <c r="E528" i="3"/>
  <c r="E415" i="3"/>
  <c r="E304" i="3"/>
  <c r="E278" i="3"/>
  <c r="E261" i="3"/>
  <c r="E114" i="3"/>
  <c r="E237" i="3"/>
  <c r="E69" i="3"/>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8" i="74"/>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1" i="43"/>
  <c r="V11" i="43" s="1"/>
  <c r="T12" i="43"/>
  <c r="V12" i="43" s="1"/>
  <c r="Y12" i="71"/>
  <c r="Z12" i="71" s="1"/>
  <c r="Y11" i="71"/>
  <c r="AA12" i="71"/>
  <c r="AB3" i="71"/>
  <c r="C35" i="43"/>
  <c r="E35" i="43" s="1"/>
  <c r="C36" i="43"/>
  <c r="E36" i="43" s="1"/>
  <c r="T9" i="43"/>
  <c r="V9" i="43" s="1"/>
  <c r="C39" i="43"/>
  <c r="C37" i="43"/>
  <c r="E37" i="43" s="1"/>
  <c r="B12" i="71"/>
  <c r="B11" i="71" s="1"/>
  <c r="B10" i="71" s="1"/>
  <c r="B9" i="71" s="1"/>
  <c r="B8" i="71" s="1"/>
  <c r="B7" i="71" s="1"/>
  <c r="B6" i="71" s="1"/>
  <c r="B5" i="71" s="1"/>
  <c r="X12" i="71"/>
  <c r="AB12" i="71"/>
  <c r="T15" i="43"/>
  <c r="V15" i="43" s="1"/>
  <c r="Z11" i="7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G36" i="43"/>
  <c r="I36"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G1" i="73"/>
  <c r="C16" i="15"/>
  <c r="C17" i="15"/>
  <c r="C14" i="15"/>
  <c r="C17" i="67"/>
  <c r="C14" i="67"/>
  <c r="C16" i="67"/>
  <c r="F28" i="67" l="1"/>
  <c r="C28" i="67" s="1"/>
  <c r="F48" i="9"/>
  <c r="O52" i="9" s="1"/>
  <c r="F32" i="67"/>
  <c r="F60" i="67" s="1"/>
  <c r="D68" i="9"/>
  <c r="M18" i="67"/>
  <c r="F30" i="11"/>
  <c r="C30" i="11" s="1"/>
  <c r="F52" i="9"/>
  <c r="F30" i="69"/>
  <c r="F48" i="69" s="1"/>
  <c r="M18" i="15"/>
  <c r="F30" i="68"/>
  <c r="C30" i="68" s="1"/>
  <c r="F53" i="9"/>
  <c r="F28" i="15"/>
  <c r="C28" i="15" s="1"/>
  <c r="F31" i="12"/>
  <c r="C31" i="12" s="1"/>
  <c r="F48" i="68"/>
  <c r="C48" i="11"/>
  <c r="C15" i="15"/>
  <c r="C18" i="15"/>
  <c r="C38" i="69"/>
  <c r="C14" i="12"/>
  <c r="M27" i="6"/>
  <c r="AQ6" i="1"/>
  <c r="AR6" i="1"/>
  <c r="T6" i="1"/>
  <c r="T16" i="1" s="1"/>
  <c r="AC6" i="3"/>
  <c r="H6" i="3"/>
  <c r="C38" i="68"/>
  <c r="C35" i="68"/>
  <c r="O16" i="1"/>
  <c r="P7" i="1"/>
  <c r="S19" i="6"/>
  <c r="S27" i="6" s="1"/>
  <c r="I27" i="6"/>
  <c r="F27" i="69"/>
  <c r="F28" i="12"/>
  <c r="C29" i="12" s="1"/>
  <c r="D28" i="12" s="1"/>
  <c r="F27" i="11"/>
  <c r="F27" i="68"/>
  <c r="D10" i="11"/>
  <c r="C10" i="11" s="1"/>
  <c r="D20" i="12"/>
  <c r="C20" i="12" s="1"/>
  <c r="C18" i="12" s="1"/>
  <c r="D10" i="68"/>
  <c r="D10" i="69"/>
  <c r="L16" i="1"/>
  <c r="N16" i="1"/>
  <c r="C34" i="11"/>
  <c r="P16" i="1"/>
  <c r="C11" i="12" s="1"/>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98" i="3"/>
  <c r="AY82" i="3"/>
  <c r="AY18" i="3"/>
  <c r="AY191" i="3"/>
  <c r="AY171" i="3"/>
  <c r="AY132" i="3"/>
  <c r="AY90" i="3"/>
  <c r="AY31" i="3"/>
  <c r="AY163" i="3"/>
  <c r="AY292" i="3"/>
  <c r="AY75" i="3"/>
  <c r="AY147" i="3"/>
  <c r="AY237" i="3"/>
  <c r="AY220" i="3"/>
  <c r="AY387" i="3"/>
  <c r="AY350" i="3"/>
  <c r="AY334"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67" i="3"/>
  <c r="AY196" i="3"/>
  <c r="AY139" i="3"/>
  <c r="AY74" i="3"/>
  <c r="AY123" i="3"/>
  <c r="AY204" i="3"/>
  <c r="AY252" i="3"/>
  <c r="AY363" i="3"/>
  <c r="AY489"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103" i="3"/>
  <c r="AY50" i="3"/>
  <c r="AY160" i="3"/>
  <c r="AY289" i="3"/>
  <c r="AY183" i="3"/>
  <c r="AY261" i="3"/>
  <c r="AY284" i="3"/>
  <c r="AY209" i="3"/>
  <c r="AY319"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23" i="3"/>
  <c r="AY338" i="3"/>
  <c r="AY306" i="3"/>
  <c r="AY490" i="3"/>
  <c r="AY459" i="3"/>
  <c r="AY448" i="3"/>
  <c r="AY416" i="3"/>
  <c r="AY429" i="3"/>
  <c r="AY550" i="3"/>
  <c r="BD6" i="3"/>
  <c r="BC6" i="3"/>
  <c r="AY511" i="3"/>
  <c r="AY504" i="3"/>
  <c r="AY586" i="3"/>
  <c r="AY498"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39" i="3"/>
  <c r="AY307" i="3"/>
  <c r="AY322" i="3"/>
  <c r="AY477" i="3"/>
  <c r="AY474" i="3"/>
  <c r="AY443" i="3"/>
  <c r="AY432" i="3"/>
  <c r="AY400" i="3"/>
  <c r="AY413" i="3"/>
  <c r="AY521" i="3"/>
  <c r="AY15" i="3"/>
  <c r="AY566" i="3"/>
  <c r="AY583" i="3"/>
  <c r="BT6" i="3"/>
  <c r="AY567" i="3"/>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5" i="43"/>
  <c r="D107" i="43"/>
  <c r="D106" i="43"/>
  <c r="D10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J10" i="40"/>
  <c r="W10" i="40" s="1"/>
  <c r="H10" i="39"/>
  <c r="AB10" i="39" s="1"/>
  <c r="F10" i="40"/>
  <c r="AA10" i="40" s="1"/>
  <c r="J10" i="39"/>
  <c r="W10" i="39" s="1"/>
  <c r="H10" i="40"/>
  <c r="AB10" i="40"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30" i="69" l="1"/>
  <c r="C48" i="68"/>
  <c r="C48" i="69"/>
  <c r="C19" i="15"/>
  <c r="C20" i="15" s="1"/>
  <c r="C26" i="15" s="1"/>
  <c r="E6" i="3"/>
  <c r="AC10" i="40"/>
  <c r="U10" i="40"/>
  <c r="C38" i="11"/>
  <c r="C35" i="11"/>
  <c r="C10" i="68"/>
  <c r="D19" i="68"/>
  <c r="C47" i="11"/>
  <c r="D45" i="11" s="1"/>
  <c r="C29" i="11"/>
  <c r="D27" i="11" s="1"/>
  <c r="C28" i="11"/>
  <c r="C27" i="11" s="1"/>
  <c r="F45" i="69"/>
  <c r="C29" i="69"/>
  <c r="D27" i="69" s="1"/>
  <c r="C47" i="69"/>
  <c r="D45" i="69" s="1"/>
  <c r="C15" i="12"/>
  <c r="C12" i="12"/>
  <c r="F50" i="11"/>
  <c r="F50" i="68"/>
  <c r="F50" i="69"/>
  <c r="C10" i="69"/>
  <c r="C8" i="69" s="1"/>
  <c r="C5" i="69" s="1"/>
  <c r="D19" i="69"/>
  <c r="F45" i="68"/>
  <c r="C47" i="68"/>
  <c r="D45" i="68" s="1"/>
  <c r="C29" i="68"/>
  <c r="D27" i="68" s="1"/>
  <c r="D25" i="6"/>
  <c r="D15" i="6"/>
  <c r="D22" i="6"/>
  <c r="D21" i="6"/>
  <c r="D24" i="6"/>
  <c r="D20" i="6"/>
  <c r="D5" i="6"/>
  <c r="D12" i="6"/>
  <c r="D11" i="6"/>
  <c r="D13" i="6"/>
  <c r="D28" i="6"/>
  <c r="E61" i="40"/>
  <c r="H22" i="6"/>
  <c r="H21" i="6"/>
  <c r="H24" i="6"/>
  <c r="H20" i="6"/>
  <c r="M19" i="9"/>
  <c r="C118" i="9" s="1"/>
  <c r="C14" i="74" s="1"/>
  <c r="B2" i="74" s="1"/>
  <c r="D19" i="6"/>
  <c r="D26" i="6"/>
  <c r="C18" i="4"/>
  <c r="D8" i="6"/>
  <c r="D23" i="6"/>
  <c r="D14" i="6"/>
  <c r="D6" i="6"/>
  <c r="D9" i="6"/>
  <c r="D10" i="6"/>
  <c r="L19" i="9"/>
  <c r="D29" i="6"/>
  <c r="H25" i="6"/>
  <c r="H23" i="6"/>
  <c r="H26" i="6"/>
  <c r="H19" i="6"/>
  <c r="H27" i="6" s="1"/>
  <c r="C115" i="43"/>
  <c r="D113" i="43" s="1"/>
  <c r="S6" i="43"/>
  <c r="T6" i="43" s="1"/>
  <c r="V6" i="43" s="1"/>
  <c r="S4" i="43"/>
  <c r="T4" i="43" s="1"/>
  <c r="V4" i="43" s="1"/>
  <c r="S5" i="43"/>
  <c r="T5" i="43" s="1"/>
  <c r="V5" i="43" s="1"/>
  <c r="S3" i="43"/>
  <c r="T3" i="43" s="1"/>
  <c r="V3" i="43" s="1"/>
  <c r="S2" i="43"/>
  <c r="T2" i="43" s="1"/>
  <c r="V2" i="43" s="1"/>
  <c r="C26" i="43" s="1"/>
  <c r="C23" i="43"/>
  <c r="C21" i="43" s="1"/>
  <c r="C29" i="43" s="1"/>
  <c r="S7" i="43"/>
  <c r="T7" i="43" s="1"/>
  <c r="V7"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D16" i="6" l="1"/>
  <c r="D30" i="6"/>
  <c r="C16" i="12"/>
  <c r="C21" i="12" s="1"/>
  <c r="C19" i="68"/>
  <c r="D37" i="68"/>
  <c r="C37" i="68" s="1"/>
  <c r="C33" i="68" s="1"/>
  <c r="C39" i="68" s="1"/>
  <c r="C46" i="68" s="1"/>
  <c r="C45" i="68" s="1"/>
  <c r="C33" i="11"/>
  <c r="C39" i="11" s="1"/>
  <c r="C46" i="11" s="1"/>
  <c r="C45" i="11" s="1"/>
  <c r="C19" i="69"/>
  <c r="C20" i="69" s="1"/>
  <c r="D37" i="69"/>
  <c r="C37" i="69" s="1"/>
  <c r="C33" i="69" s="1"/>
  <c r="C42" i="69" s="1"/>
  <c r="R23" i="6"/>
  <c r="A10" i="51"/>
  <c r="B9" i="72" s="1"/>
  <c r="C4" i="52"/>
  <c r="B45" i="72" s="1"/>
  <c r="A7" i="51"/>
  <c r="B7" i="72" s="1"/>
  <c r="D27" i="6"/>
  <c r="D31" i="6" s="1"/>
  <c r="R19" i="6"/>
  <c r="R20" i="6"/>
  <c r="R21" i="6"/>
  <c r="R26" i="6"/>
  <c r="D8" i="74"/>
  <c r="D7" i="74"/>
  <c r="R24" i="6"/>
  <c r="R22" i="6"/>
  <c r="R25" i="6"/>
  <c r="E29" i="43"/>
  <c r="C30" i="43"/>
  <c r="E30" i="43" s="1"/>
  <c r="C27"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42" i="11"/>
  <c r="C38" i="67"/>
  <c r="C38" i="15"/>
  <c r="C66" i="67"/>
  <c r="C60" i="67"/>
  <c r="C23" i="67"/>
  <c r="C29" i="67" s="1"/>
  <c r="B6" i="76"/>
  <c r="E6" i="76"/>
  <c r="C43" i="11" l="1"/>
  <c r="C42" i="68"/>
  <c r="C43" i="68"/>
  <c r="C24" i="69"/>
  <c r="R27" i="6"/>
  <c r="R6" i="1"/>
  <c r="R16" i="1" s="1"/>
  <c r="C28" i="69"/>
  <c r="C27" i="69" s="1"/>
  <c r="C25" i="69"/>
  <c r="C22" i="69" s="1"/>
  <c r="C22" i="12"/>
  <c r="C27" i="12" s="1"/>
  <c r="C25" i="12" s="1"/>
  <c r="C39" i="69"/>
  <c r="C43" i="69" s="1"/>
  <c r="C41" i="69" s="1"/>
  <c r="I6" i="6"/>
  <c r="I5" i="6"/>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41" i="11"/>
  <c r="C49" i="11" s="1"/>
  <c r="C51" i="11" s="1"/>
  <c r="C22" i="11"/>
  <c r="C31" i="11" s="1"/>
  <c r="C36" i="67"/>
  <c r="C33" i="67"/>
  <c r="C31" i="67" s="1"/>
  <c r="J14" i="67"/>
  <c r="C13" i="67"/>
  <c r="J19" i="67"/>
  <c r="J17" i="67" s="1"/>
  <c r="C57" i="67"/>
  <c r="C61" i="67" s="1"/>
  <c r="Q49" i="67"/>
  <c r="J59" i="67"/>
  <c r="J60" i="67" s="1"/>
  <c r="C41" i="68" l="1"/>
  <c r="C49" i="68" s="1"/>
  <c r="C51" i="68" s="1"/>
  <c r="C31" i="69"/>
  <c r="C46" i="69"/>
  <c r="C45" i="69" s="1"/>
  <c r="C49" i="69" s="1"/>
  <c r="C51" i="69" s="1"/>
  <c r="C30" i="12"/>
  <c r="C28" i="12" s="1"/>
  <c r="C32" i="12" s="1"/>
  <c r="B2" i="12" s="1"/>
  <c r="B3" i="12" s="1"/>
  <c r="B3" i="76"/>
  <c r="D5" i="71"/>
  <c r="M20" i="43"/>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52" i="69" l="1"/>
  <c r="B2" i="69" s="1"/>
  <c r="B3"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57" i="69" l="1"/>
  <c r="C56"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O68" i="39" l="1"/>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H7" i="39" l="1"/>
  <c r="J7" i="39"/>
  <c r="AA7" i="39"/>
  <c r="R47" i="39" s="1"/>
  <c r="S7" i="39"/>
  <c r="R39" i="35"/>
  <c r="E38" i="35"/>
  <c r="M63" i="40"/>
  <c r="L65" i="40"/>
  <c r="E47" i="39" l="1"/>
  <c r="W7" i="39"/>
  <c r="AC7" i="39"/>
  <c r="V47" i="39" s="1"/>
  <c r="I47" i="39" s="1"/>
  <c r="U7" i="39"/>
  <c r="AB7" i="39"/>
  <c r="T47" i="39" s="1"/>
  <c r="G47" i="39" s="1"/>
  <c r="C39" i="35"/>
  <c r="B2" i="35" s="1"/>
  <c r="B3" i="35" s="1"/>
  <c r="C38" i="35"/>
  <c r="N63" i="40"/>
  <c r="M65" i="40"/>
  <c r="E43" i="35"/>
  <c r="F43" i="35" s="1"/>
  <c r="E42" i="35"/>
  <c r="F42" i="35" s="1"/>
  <c r="I43" i="35"/>
  <c r="J43" i="35" s="1"/>
  <c r="R48" i="39" l="1"/>
  <c r="C48" i="39" s="1"/>
  <c r="E52" i="39"/>
  <c r="F52" i="39" s="1"/>
  <c r="E51" i="39"/>
  <c r="F51" i="39" s="1"/>
  <c r="G51" i="39"/>
  <c r="H51" i="39" s="1"/>
  <c r="G52" i="39"/>
  <c r="H52" i="39" s="1"/>
  <c r="I51" i="39"/>
  <c r="J51" i="39" s="1"/>
  <c r="I52" i="39"/>
  <c r="J52" i="39" s="1"/>
  <c r="O63" i="40"/>
  <c r="O65" i="40" s="1"/>
  <c r="N65" i="40"/>
  <c r="C47" i="39" l="1"/>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F66" i="39" l="1"/>
  <c r="B2" i="39" s="1"/>
  <c r="U7" i="40"/>
  <c r="AB7" i="40"/>
  <c r="T42" i="40" s="1"/>
  <c r="G42" i="40" s="1"/>
  <c r="AA7" i="40"/>
  <c r="R42" i="40" s="1"/>
  <c r="S7" i="40"/>
  <c r="AC7" i="40"/>
  <c r="V42" i="40" s="1"/>
  <c r="I42" i="40" s="1"/>
  <c r="W7" i="40"/>
  <c r="B3" i="39" l="1"/>
  <c r="C6" i="68"/>
  <c r="C7" i="68" s="1"/>
  <c r="C5" i="68" s="1"/>
  <c r="I46" i="40"/>
  <c r="J46" i="40" s="1"/>
  <c r="R43" i="40"/>
  <c r="E42" i="40"/>
  <c r="G47" i="40"/>
  <c r="H47" i="40" s="1"/>
  <c r="G46" i="40"/>
  <c r="H46" i="40" s="1"/>
  <c r="C23" i="68" l="1"/>
  <c r="C20" i="68"/>
  <c r="C25" i="68" s="1"/>
  <c r="C28" i="68"/>
  <c r="C27" i="68" s="1"/>
  <c r="C42" i="40"/>
  <c r="C43" i="40"/>
  <c r="E47" i="40"/>
  <c r="F47" i="40" s="1"/>
  <c r="E46" i="40"/>
  <c r="F46" i="40" s="1"/>
  <c r="I47" i="40"/>
  <c r="J47" i="40" s="1"/>
  <c r="C22" i="68" l="1"/>
  <c r="C31" i="68" s="1"/>
  <c r="C52"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2" i="68" l="1"/>
  <c r="B3" i="68" s="1"/>
  <c r="C57" i="68"/>
  <c r="C56" i="68" s="1"/>
  <c r="D19" i="9"/>
  <c r="D35" i="9"/>
  <c r="C20" i="9"/>
  <c r="D20" i="9"/>
  <c r="C19" i="9"/>
  <c r="D34" i="9"/>
  <c r="G19" i="9" l="1"/>
  <c r="G21" i="9" s="1"/>
  <c r="D22" i="9"/>
  <c r="C102" i="9"/>
  <c r="C21" i="9"/>
  <c r="D102" i="9"/>
  <c r="D21" i="9"/>
  <c r="D103" i="9"/>
  <c r="G20" i="9"/>
  <c r="C103" i="9"/>
  <c r="C32" i="9" l="1"/>
  <c r="C35" i="9" s="1"/>
  <c r="H118" i="9" l="1"/>
  <c r="H4" i="52" s="1"/>
  <c r="C34" i="9"/>
  <c r="D118" i="9" s="1"/>
  <c r="F118" i="9"/>
  <c r="D14" i="74" l="1"/>
  <c r="H101" i="9"/>
  <c r="H107" i="9" s="1"/>
  <c r="I118" i="9"/>
  <c r="C104" i="9"/>
  <c r="H119" i="9"/>
  <c r="H5" i="52" s="1"/>
  <c r="D119" i="9"/>
  <c r="D5" i="52" s="1"/>
  <c r="B49" i="72" s="1"/>
  <c r="D4" i="52"/>
  <c r="B47" i="72" s="1"/>
  <c r="E14" i="74"/>
  <c r="F14" i="74"/>
  <c r="B5" i="74"/>
  <c r="M48" i="9"/>
  <c r="D45" i="9"/>
  <c r="C105" i="9"/>
  <c r="I4" i="52"/>
  <c r="H102" i="9"/>
  <c r="D7" i="53" s="1"/>
  <c r="B21" i="72" s="1"/>
  <c r="F119" i="9"/>
  <c r="F5" i="52" s="1"/>
  <c r="B53" i="72" s="1"/>
  <c r="F4" i="52"/>
  <c r="B51" i="72" s="1"/>
  <c r="G118" i="9"/>
  <c r="G4" i="52" s="1"/>
  <c r="B52" i="72" s="1"/>
  <c r="D5" i="53" l="1"/>
  <c r="D6" i="53" s="1"/>
  <c r="B22" i="72" s="1"/>
  <c r="E118" i="9"/>
  <c r="E4" i="52" s="1"/>
  <c r="B48" i="72" s="1"/>
  <c r="C64" i="9"/>
  <c r="C63" i="9" s="1"/>
  <c r="C67" i="9" s="1"/>
  <c r="D52" i="9"/>
  <c r="C85" i="9"/>
  <c r="D53" i="9"/>
  <c r="C78" i="9"/>
  <c r="C73" i="9" s="1"/>
  <c r="C72" i="9"/>
  <c r="D55" i="9"/>
  <c r="M53" i="9" s="1"/>
  <c r="C93" i="9"/>
  <c r="C86" i="9" s="1"/>
  <c r="C5" i="74"/>
  <c r="D5" i="74"/>
  <c r="B20" i="72"/>
  <c r="D13" i="53"/>
  <c r="H108" i="9"/>
  <c r="D15" i="53" s="1"/>
  <c r="B31" i="72" s="1"/>
  <c r="D122" i="9"/>
  <c r="M49" i="9"/>
  <c r="C95" i="9" l="1"/>
  <c r="G14" i="74"/>
  <c r="B6" i="74" s="1"/>
  <c r="D8" i="52"/>
  <c r="D123" i="9"/>
  <c r="D9" i="52" s="1"/>
  <c r="B30" i="72"/>
  <c r="D14" i="53"/>
  <c r="B32" i="72" s="1"/>
  <c r="C96" i="9"/>
  <c r="E96" i="9" s="1"/>
  <c r="E97" i="9" s="1"/>
  <c r="C97" i="9"/>
  <c r="D58" i="9" s="1"/>
  <c r="D56" i="9" s="1"/>
  <c r="M54" i="9" s="1"/>
  <c r="C68" i="9"/>
  <c r="D54" i="9" s="1"/>
  <c r="D59" i="9"/>
  <c r="M55" i="9" s="1"/>
  <c r="L63" i="9"/>
  <c r="M63" i="9" s="1"/>
  <c r="L68" i="9"/>
  <c r="M68" i="9" s="1"/>
  <c r="L64" i="9"/>
  <c r="M64" i="9" s="1"/>
  <c r="L67" i="9"/>
  <c r="M67" i="9" s="1"/>
  <c r="L66" i="9"/>
  <c r="M66" i="9" s="1"/>
  <c r="L65" i="9"/>
  <c r="M65" i="9" s="1"/>
  <c r="C79" i="9"/>
  <c r="N57" i="9" l="1"/>
  <c r="D6" i="74"/>
  <c r="C6" i="74"/>
  <c r="C80" i="9"/>
  <c r="E80" i="9" s="1"/>
  <c r="E81" i="9" s="1"/>
  <c r="M69" i="9"/>
  <c r="N69" i="9" s="1"/>
  <c r="C81" i="9" l="1"/>
  <c r="N58" i="9"/>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<sst xmlns="http://schemas.openxmlformats.org/spreadsheetml/2006/main" count="7597" uniqueCount="3262">
  <si>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</si>
  <si>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</si>
  <si>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</si>
  <si>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</si>
  <si>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</si>
  <si>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</si>
  <si>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</si>
  <si>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</si>
  <si>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</si>
  <si>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</si>
  <si>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</si>
  <si>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</si>
  <si>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</si>
  <si>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</si>
  <si>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</si>
  <si>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</si>
  <si>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</si>
  <si>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</si>
  <si>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</si>
  <si>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</si>
  <si>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</si>
  <si>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</si>
  <si>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</si>
  <si>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</si>
  <si>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</si>
  <si>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</si>
  <si>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</si>
  <si>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</si>
  <si>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</si>
  <si>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</si>
  <si>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</si>
  <si>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</si>
  <si>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</si>
  <si>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</si>
  <si>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</si>
  <si>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</si>
  <si>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</si>
  <si>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</si>
  <si>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</si>
  <si>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</si>
  <si>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</si>
  <si>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</si>
  <si>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</si>
  <si>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</si>
  <si>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</si>
  <si>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</si>
  <si>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</si>
  <si>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</si>
  <si>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</si>
  <si>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</si>
  <si>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</si>
  <si>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</si>
  <si>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</si>
  <si>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</si>
  <si>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</si>
  <si>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</si>
  <si>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</si>
  <si>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</si>
  <si>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</si>
  <si>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</si>
  <si>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</si>
  <si>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</si>
  <si>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</si>
  <si>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</si>
  <si>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</si>
  <si>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</si>
  <si>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</si>
  <si>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</si>
  <si>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</si>
  <si>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</si>
  <si>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</si>
  <si>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</si>
  <si>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</si>
  <si>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</si>
  <si>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</si>
  <si>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</si>
  <si>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</si>
  <si>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</si>
  <si>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</si>
  <si>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</si>
  <si>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</si>
  <si>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</si>
  <si>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</si>
  <si>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</si>
  <si>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</si>
  <si>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</si>
  <si>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</si>
  <si>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</si>
  <si>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</si>
  <si>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</si>
  <si>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</si>
  <si>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</si>
  <si>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</si>
  <si>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</si>
  <si>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</si>
  <si>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</si>
  <si>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</si>
  <si>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</si>
  <si>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</si>
  <si>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</si>
  <si>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</si>
  <si>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</si>
  <si>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</si>
  <si>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</si>
  <si>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</si>
  <si>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</si>
  <si>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</si>
  <si>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</si>
  <si>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</si>
  <si>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</si>
  <si>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</si>
  <si>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</si>
  <si>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</si>
  <si>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</si>
  <si>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</si>
  <si>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</si>
  <si>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</si>
  <si>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</si>
  <si>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</si>
  <si>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</si>
  <si>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</si>
  <si>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</si>
  <si>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</si>
  <si>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</si>
  <si>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</si>
  <si>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</si>
  <si>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</si>
  <si>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</si>
  <si>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</si>
  <si>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</si>
  <si>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</si>
  <si>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</si>
  <si>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</si>
  <si>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</si>
  <si>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</si>
  <si>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</si>
  <si>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</si>
  <si>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</si>
  <si>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</si>
  <si>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</si>
  <si>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</si>
  <si>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</si>
  <si>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</si>
  <si>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</si>
  <si>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</si>
  <si>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</si>
  <si>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</si>
  <si>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</si>
  <si>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</si>
  <si>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</si>
  <si>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</si>
  <si>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</si>
  <si>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</si>
  <si>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</si>
  <si>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</si>
  <si>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</si>
  <si>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</si>
  <si>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</si>
  <si>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</si>
  <si>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</si>
  <si>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</si>
  <si>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</si>
  <si>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</si>
  <si>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</si>
  <si>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</si>
  <si>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</si>
  <si>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</si>
  <si>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</si>
  <si>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</si>
  <si>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</si>
  <si>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</si>
  <si>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</si>
  <si>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</si>
  <si>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</si>
  <si>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</si>
  <si>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</si>
  <si>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</si>
  <si>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</si>
  <si>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</si>
  <si>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</si>
  <si>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</si>
  <si>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</si>
  <si>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</si>
  <si>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</si>
  <si>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</si>
  <si>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</si>
  <si>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</si>
  <si>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</si>
  <si>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</si>
  <si>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</si>
  <si>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</si>
  <si>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</si>
  <si>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</si>
  <si>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</si>
  <si>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</si>
  <si>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</si>
  <si>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</si>
  <si>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</si>
  <si>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</si>
  <si>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</si>
  <si>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</si>
  <si>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</si>
  <si>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</si>
  <si>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</si>
  <si>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</si>
  <si>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</si>
  <si>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</si>
  <si>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</si>
  <si>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</si>
  <si>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</si>
  <si>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</si>
  <si>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</si>
  <si>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</si>
  <si>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</si>
  <si>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</si>
  <si>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</si>
  <si>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</si>
  <si>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</si>
  <si>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</si>
  <si>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</si>
  <si>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</si>
  <si>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</si>
  <si>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</si>
  <si>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</si>
  <si>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</si>
  <si>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</si>
  <si>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</si>
  <si>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</si>
  <si>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</si>
  <si>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</si>
  <si>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</si>
  <si>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</si>
  <si>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</si>
  <si>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</si>
  <si>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</si>
  <si>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</si>
  <si>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</si>
  <si>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</si>
  <si>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</si>
  <si>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</si>
  <si>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</si>
  <si>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</si>
  <si>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</si>
  <si>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</si>
  <si>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</si>
  <si>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</si>
  <si>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</si>
  <si>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</si>
  <si>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</si>
  <si>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</si>
  <si>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</si>
  <si>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</si>
  <si>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</si>
  <si>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</si>
  <si>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</si>
  <si>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</si>
  <si>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</si>
  <si>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</si>
  <si>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</si>
  <si>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</si>
  <si>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</si>
  <si>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</si>
  <si>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</si>
  <si>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</si>
  <si>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</si>
  <si>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</si>
  <si>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</si>
  <si>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</si>
  <si>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</si>
  <si>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</si>
  <si>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</si>
  <si>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</si>
  <si>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</si>
  <si>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</si>
  <si>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</si>
  <si>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</si>
  <si>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</si>
  <si>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</si>
  <si>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</si>
  <si>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</si>
  <si>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</si>
  <si>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</si>
  <si>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</si>
  <si>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</si>
  <si>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</si>
  <si>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</si>
  <si>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</si>
  <si>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</si>
  <si>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</si>
  <si>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</si>
  <si>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</si>
  <si>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</si>
  <si>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</si>
  <si>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</si>
  <si>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</si>
  <si>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</si>
  <si>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</si>
  <si>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</si>
  <si>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</si>
  <si>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</si>
  <si>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</si>
  <si>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</si>
  <si>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</si>
  <si>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</si>
  <si>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</si>
  <si>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</si>
  <si>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</si>
  <si>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</si>
  <si>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</si>
  <si>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</si>
  <si>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</si>
  <si>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</si>
  <si>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</si>
  <si>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</si>
  <si>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</si>
  <si>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</si>
  <si>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</si>
  <si>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</si>
  <si>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</si>
  <si>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</si>
  <si>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</si>
  <si>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</si>
  <si>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</si>
  <si>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</si>
  <si>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</si>
  <si>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</si>
  <si>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</si>
  <si>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</si>
  <si>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</si>
  <si>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</si>
  <si>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</si>
  <si>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</si>
  <si>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</si>
  <si>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</si>
  <si>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</si>
  <si>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</si>
  <si>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</si>
  <si>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</si>
  <si>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</si>
  <si>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</si>
  <si>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</si>
  <si>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</si>
  <si>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</si>
  <si>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</si>
  <si>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</si>
  <si>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</si>
  <si>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</si>
  <si>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</si>
  <si>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</si>
  <si>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</si>
  <si>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</si>
  <si>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</si>
  <si>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</si>
  <si>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</si>
  <si>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</si>
  <si>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</si>
  <si>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</si>
  <si>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</si>
  <si>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</si>
  <si>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</si>
  <si>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</si>
  <si>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</si>
  <si>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</si>
  <si>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</si>
  <si>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</si>
  <si>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</si>
  <si>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</si>
  <si>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</si>
  <si>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</si>
  <si>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</si>
  <si>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</si>
  <si>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</si>
  <si>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</si>
  <si>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</si>
  <si>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</si>
  <si>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</si>
  <si>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</si>
  <si>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</si>
  <si>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</si>
  <si>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</si>
  <si>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</si>
  <si>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</si>
  <si>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</si>
  <si>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</si>
  <si>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</si>
  <si>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</si>
  <si>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</si>
  <si>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</si>
  <si>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</si>
  <si>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</si>
  <si>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</si>
  <si>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</si>
  <si>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</si>
  <si>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</si>
  <si>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</si>
  <si>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</si>
  <si>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</si>
  <si>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</si>
  <si>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</si>
  <si>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</si>
  <si>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</si>
  <si>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</si>
  <si>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</si>
  <si>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</si>
  <si>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</si>
  <si>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</si>
  <si>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</si>
  <si>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</si>
  <si>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</si>
  <si>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</si>
  <si>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</si>
  <si>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</si>
  <si>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</si>
  <si>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</si>
  <si>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</si>
  <si>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</si>
  <si>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</si>
  <si>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</si>
  <si>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</si>
  <si>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</si>
  <si>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</si>
  <si>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</si>
  <si>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</si>
  <si>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</si>
  <si>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</si>
  <si>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</si>
  <si>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</si>
  <si>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</si>
  <si>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</si>
  <si>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</si>
  <si>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</si>
  <si>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</si>
  <si>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</si>
  <si>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</si>
  <si>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</si>
  <si>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</si>
  <si>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</si>
  <si>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</si>
  <si>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</si>
  <si>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</si>
  <si>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</si>
  <si>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</si>
  <si>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</si>
  <si>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</si>
  <si>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</si>
  <si>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</si>
  <si>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</si>
  <si>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</si>
  <si>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</si>
  <si>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</si>
  <si>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</si>
  <si>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</si>
  <si>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</si>
  <si>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</si>
  <si>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</si>
  <si>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</si>
  <si>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</si>
  <si>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</si>
  <si>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</si>
  <si>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</si>
  <si>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</si>
  <si>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</si>
  <si>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</si>
  <si>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</si>
  <si>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</si>
  <si>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</si>
  <si>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</si>
  <si>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</si>
  <si>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</si>
  <si>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</si>
  <si>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</si>
  <si>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</si>
  <si>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</si>
  <si>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</si>
  <si>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</si>
  <si>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</si>
  <si>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</si>
  <si>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</si>
  <si>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</si>
  <si>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</si>
  <si>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</si>
  <si>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</si>
  <si>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</si>
  <si>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</si>
  <si>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</si>
  <si>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</si>
  <si>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</si>
  <si>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</si>
  <si>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</si>
  <si>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</si>
  <si>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</si>
  <si>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</si>
  <si>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</si>
  <si>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</si>
  <si>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</si>
  <si>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</si>
  <si>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</si>
  <si>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</si>
  <si>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</si>
  <si>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</si>
  <si>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</si>
  <si>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</si>
  <si>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</si>
  <si>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</si>
  <si>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</si>
  <si>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</si>
  <si>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</si>
  <si>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</si>
  <si>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</si>
  <si>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</si>
  <si>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</si>
  <si>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</si>
  <si>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</si>
  <si>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</si>
  <si>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</si>
  <si>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</si>
  <si>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</si>
  <si>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</si>
  <si>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</si>
  <si>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</si>
  <si>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</si>
  <si>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</si>
  <si>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</si>
  <si>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</si>
  <si>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</si>
  <si>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</si>
  <si>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</si>
  <si>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</si>
  <si>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</si>
  <si>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</si>
  <si>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</si>
  <si>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</si>
  <si>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</si>
  <si>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</si>
  <si>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</si>
  <si>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</si>
  <si>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</si>
  <si>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</si>
  <si>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</si>
  <si>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</si>
  <si>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</si>
  <si>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</si>
  <si>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</si>
  <si>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</si>
  <si>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</si>
  <si>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</si>
  <si>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</si>
  <si>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</si>
  <si>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</si>
  <si>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</si>
  <si>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</si>
  <si>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</si>
  <si>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</si>
  <si>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</si>
  <si>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</si>
  <si>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</si>
  <si>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</si>
  <si>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</si>
  <si>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</si>
  <si>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</si>
  <si>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</si>
  <si>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</si>
  <si>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</si>
  <si>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</si>
  <si>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</si>
  <si>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</si>
  <si>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</si>
  <si>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</si>
  <si>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</si>
  <si>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</si>
  <si>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</si>
  <si>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</si>
  <si>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</si>
  <si>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</si>
  <si>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</si>
  <si>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</si>
  <si>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</si>
  <si>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</si>
  <si>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</si>
  <si>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</si>
  <si>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</si>
  <si>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</si>
  <si>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</si>
  <si>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</si>
  <si>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</si>
  <si>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</si>
  <si>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</si>
  <si>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</si>
  <si>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</si>
  <si>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</si>
  <si>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</si>
  <si>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</si>
  <si>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</si>
  <si>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</si>
  <si>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</si>
  <si>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</si>
  <si>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</si>
  <si>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</si>
  <si>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</si>
  <si>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</si>
  <si>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</si>
  <si>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</si>
  <si>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</si>
  <si>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</si>
  <si>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</si>
  <si>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</si>
  <si>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</si>
  <si>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</si>
  <si>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</si>
  <si>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</si>
  <si>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</si>
  <si>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</si>
  <si>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</si>
  <si>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</si>
  <si>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</si>
  <si>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</si>
  <si>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</si>
  <si>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</si>
  <si>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</si>
  <si>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</si>
  <si>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</si>
  <si>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</si>
  <si>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</si>
  <si>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</si>
  <si>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</si>
  <si>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</si>
  <si>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</si>
  <si>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</si>
  <si>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</si>
  <si>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</si>
  <si>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</si>
  <si>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</si>
  <si>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</si>
  <si>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</si>
  <si>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</si>
  <si>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</si>
  <si>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</si>
  <si>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</si>
  <si>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</si>
  <si>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</si>
  <si>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</si>
  <si>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</si>
  <si>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</si>
  <si>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</si>
  <si>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</si>
  <si>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</si>
  <si>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</si>
  <si>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</si>
  <si>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</si>
  <si>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</si>
  <si>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</si>
  <si>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</si>
  <si>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</si>
  <si>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</si>
  <si>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</si>
  <si>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</si>
  <si>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</si>
  <si>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</si>
  <si>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</si>
  <si>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</si>
  <si>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</si>
  <si>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</si>
  <si>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</si>
  <si>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</si>
  <si>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</si>
  <si>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</si>
  <si>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</si>
  <si>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</si>
  <si>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</si>
  <si>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</si>
  <si>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</si>
  <si>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</si>
  <si>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</si>
  <si>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</si>
  <si>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</si>
  <si>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</si>
  <si>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</si>
  <si>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</si>
  <si>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</si>
  <si>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</si>
  <si>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</si>
  <si>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</si>
  <si>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</si>
  <si>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</si>
  <si>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</si>
  <si>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</si>
  <si>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</si>
  <si>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</si>
  <si>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</si>
  <si>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</si>
  <si>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</si>
  <si>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</si>
  <si>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</si>
  <si>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</si>
  <si>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</si>
  <si>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</si>
  <si>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</si>
  <si>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</si>
  <si>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</si>
  <si>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</si>
  <si>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</si>
  <si>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</si>
  <si>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</si>
  <si>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</si>
  <si>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</si>
  <si>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</si>
  <si>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</si>
  <si>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</si>
  <si>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</si>
  <si>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</si>
  <si>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</si>
  <si>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</si>
  <si>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</si>
  <si>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</si>
  <si>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</si>
  <si>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</si>
  <si>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</si>
  <si>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</si>
  <si>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</si>
  <si>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</si>
  <si>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</si>
  <si>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</si>
  <si>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</si>
  <si>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</si>
  <si>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</si>
  <si>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</si>
  <si>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</si>
  <si>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</si>
  <si>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</si>
  <si>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</si>
  <si>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</si>
  <si>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</si>
  <si>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</si>
  <si>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</si>
  <si>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</si>
  <si>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</si>
  <si>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</si>
  <si>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</si>
  <si>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</si>
  <si>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</si>
  <si>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</si>
  <si>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</si>
  <si>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</si>
  <si>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</si>
  <si>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</si>
  <si>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</si>
  <si>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</si>
  <si>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</si>
  <si>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</si>
  <si>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</si>
  <si>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</si>
  <si>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</si>
  <si>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</si>
  <si>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</si>
  <si>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</si>
  <si>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</si>
  <si>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</si>
  <si>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</si>
  <si>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</si>
  <si>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</si>
  <si>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</si>
  <si>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</si>
  <si>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</si>
  <si>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</si>
  <si>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</si>
  <si>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</si>
  <si>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</si>
  <si>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</si>
  <si>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</si>
  <si>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</si>
  <si>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</si>
  <si>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</si>
  <si>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</si>
  <si>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</si>
  <si>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</si>
  <si>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</si>
  <si>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</si>
  <si>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</si>
  <si>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</si>
  <si>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</si>
  <si>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</si>
  <si>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</si>
  <si>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</si>
  <si>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</si>
  <si>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</si>
  <si>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</si>
  <si>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</si>
  <si>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</si>
  <si>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</si>
  <si>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</si>
  <si>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</si>
  <si>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</si>
  <si>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</si>
  <si>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</si>
  <si>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</si>
  <si>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</si>
  <si>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</si>
  <si>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</si>
  <si>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</si>
  <si>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</si>
  <si>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</si>
  <si>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</si>
  <si>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</si>
  <si>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</si>
  <si>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</si>
  <si>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</si>
  <si>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</si>
  <si>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</si>
  <si>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</si>
  <si>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</si>
  <si>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</si>
  <si>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</si>
  <si>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</si>
  <si>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</si>
  <si>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</si>
  <si>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</si>
  <si>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</si>
  <si>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</si>
  <si>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</si>
  <si>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</si>
  <si>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</si>
  <si>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</si>
  <si>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</si>
  <si>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</si>
  <si>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</si>
  <si>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</si>
  <si>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</si>
  <si>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</si>
  <si>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</si>
  <si>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</si>
  <si>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</si>
  <si>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</si>
  <si>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</si>
  <si>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</si>
  <si>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</si>
  <si>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</si>
  <si>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</si>
  <si>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</si>
  <si>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</si>
  <si>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</si>
  <si>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</si>
  <si>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</si>
  <si>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</si>
  <si>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</si>
  <si>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</si>
  <si>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</si>
  <si>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</si>
  <si>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</si>
  <si>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</si>
  <si>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</si>
  <si>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</si>
  <si>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</si>
  <si>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</si>
  <si>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</si>
  <si>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</si>
  <si>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</si>
  <si>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</si>
  <si>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</si>
  <si>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</si>
  <si>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</si>
  <si>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</si>
  <si>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</si>
  <si>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</si>
  <si>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</si>
  <si>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</si>
  <si>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</si>
  <si>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</si>
  <si>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</si>
  <si>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</si>
  <si>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</si>
  <si>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</si>
  <si>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</si>
  <si>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</si>
  <si>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</si>
  <si>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</si>
  <si>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</si>
  <si>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</si>
  <si>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</si>
  <si>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</si>
  <si>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</si>
  <si>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</si>
  <si>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</si>
  <si>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</si>
  <si>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</si>
  <si>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</si>
  <si>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</si>
  <si>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</si>
  <si>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</si>
  <si>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</si>
  <si>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</si>
  <si>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</si>
  <si>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</si>
  <si>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</si>
  <si>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</si>
  <si>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</si>
  <si>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</si>
  <si>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</si>
  <si>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</si>
  <si>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</si>
  <si>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</si>
  <si>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</si>
  <si>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</si>
  <si>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</si>
  <si>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</si>
  <si>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</si>
  <si>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</si>
  <si>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</si>
  <si>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</si>
  <si>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</si>
  <si>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</si>
  <si>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</si>
  <si>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</si>
  <si>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</si>
  <si>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</si>
  <si>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</si>
  <si>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</si>
  <si>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</si>
  <si>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</si>
  <si>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</si>
  <si>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</si>
  <si>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</si>
  <si>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</si>
  <si>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</si>
  <si>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</si>
  <si>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</si>
  <si>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</si>
  <si>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</si>
  <si>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</si>
  <si>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</si>
  <si>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</si>
  <si>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</si>
  <si>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</si>
  <si>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</si>
  <si>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</si>
  <si>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</si>
  <si>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</si>
  <si>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</si>
  <si>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</si>
  <si>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</si>
  <si>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</si>
  <si>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</si>
  <si>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</si>
  <si>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</si>
  <si>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</si>
  <si>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</si>
  <si>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</si>
  <si>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</si>
  <si>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</si>
  <si>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</si>
  <si>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</si>
  <si>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</si>
  <si>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</si>
  <si>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</si>
  <si>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</si>
  <si>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</si>
  <si>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</si>
  <si>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</si>
  <si>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</si>
  <si>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</si>
  <si>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</si>
  <si>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</si>
  <si>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</si>
  <si>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</si>
  <si>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</si>
  <si>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</si>
  <si>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</si>
  <si>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</si>
  <si>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</si>
  <si>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</si>
  <si>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</si>
  <si>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</si>
  <si>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</si>
  <si>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</si>
  <si>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</si>
  <si>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</si>
  <si>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</si>
  <si>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</si>
  <si>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</si>
  <si>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</si>
  <si>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</si>
  <si>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</si>
  <si>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</si>
  <si>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</si>
  <si>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</si>
  <si>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</si>
  <si>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</si>
  <si>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</si>
  <si>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</si>
  <si>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</si>
  <si>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</si>
  <si>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</si>
  <si>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</si>
  <si>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</si>
  <si>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</si>
  <si>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</si>
  <si>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</si>
  <si>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</si>
  <si>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</si>
  <si>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</si>
  <si>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</si>
  <si>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</si>
  <si>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</si>
  <si>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</si>
  <si>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</si>
  <si>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</si>
  <si>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</si>
  <si>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</si>
  <si>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</si>
  <si>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</si>
  <si>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</si>
  <si>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</si>
  <si>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</si>
  <si>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</si>
  <si>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</si>
  <si>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</si>
  <si>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</si>
  <si>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</si>
  <si>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</si>
  <si>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</si>
  <si>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</si>
  <si>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</si>
  <si>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</si>
  <si>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</si>
  <si>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</si>
  <si>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</si>
  <si>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</si>
  <si>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</si>
  <si>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</si>
  <si>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</si>
  <si>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</si>
  <si>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</si>
  <si>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</si>
  <si>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</si>
  <si>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</si>
  <si>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</si>
  <si>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</si>
  <si>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</si>
  <si>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</si>
  <si>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</si>
  <si>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</si>
  <si>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</si>
  <si>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</si>
  <si>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</si>
  <si>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</si>
  <si>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</si>
  <si>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</si>
  <si>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</si>
  <si>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</si>
  <si>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</si>
  <si>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</si>
  <si>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</si>
  <si>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</si>
  <si>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</si>
  <si>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</si>
  <si>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</si>
  <si>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</si>
  <si>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</si>
  <si>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</si>
  <si>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</si>
  <si>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</si>
  <si>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</si>
  <si>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</si>
  <si>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</si>
  <si>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</si>
  <si>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</si>
  <si>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</si>
  <si>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</si>
  <si>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</si>
  <si>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</si>
  <si>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</si>
  <si>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</si>
  <si>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</si>
  <si>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</si>
  <si>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</si>
  <si>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</si>
  <si>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</si>
  <si>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</si>
  <si>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</si>
  <si>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</si>
  <si>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</si>
  <si>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</si>
  <si>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</si>
  <si>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</si>
  <si>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</si>
  <si>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</si>
  <si>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</si>
  <si>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</si>
  <si>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</si>
  <si>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</si>
  <si>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</si>
  <si>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</si>
  <si>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</si>
  <si>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</si>
  <si>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</si>
  <si>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</si>
  <si>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</si>
  <si>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</si>
  <si>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</si>
  <si>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</si>
  <si>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</si>
  <si>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</si>
  <si>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</si>
  <si>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</si>
  <si>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</si>
  <si>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</si>
  <si>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</si>
  <si>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</si>
  <si>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</si>
  <si>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</si>
  <si>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</si>
  <si>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</si>
  <si>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</si>
  <si>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</si>
  <si>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</si>
  <si>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</si>
  <si>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</si>
  <si>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</si>
  <si>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</si>
  <si>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</si>
  <si>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</si>
  <si>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</si>
  <si>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</si>
  <si>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</si>
  <si>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</si>
  <si>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</si>
  <si>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</si>
  <si>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</si>
  <si>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</si>
  <si>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</si>
  <si>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</si>
  <si>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</si>
  <si>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</si>
  <si>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</si>
  <si>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</si>
  <si>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</si>
  <si>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</si>
  <si>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</si>
  <si>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</si>
  <si>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</si>
  <si>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</si>
  <si>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</si>
  <si>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</si>
  <si>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</si>
  <si>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</si>
  <si>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</si>
  <si>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</si>
  <si>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</si>
  <si>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</si>
  <si>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</si>
  <si>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</si>
  <si>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</si>
  <si>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</si>
  <si>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</si>
  <si>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</si>
  <si>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</si>
  <si>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</si>
  <si>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</si>
  <si>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</si>
  <si>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</si>
  <si>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</si>
  <si>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</si>
  <si>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</si>
  <si>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</si>
  <si>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</si>
  <si>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</si>
  <si>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</si>
  <si>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</si>
  <si>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</si>
  <si>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</si>
  <si>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</si>
  <si>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</si>
  <si>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</si>
  <si>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</si>
  <si>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</si>
  <si>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</si>
  <si>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</si>
  <si>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</si>
  <si>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</si>
  <si>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</si>
  <si>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</si>
  <si>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</si>
  <si>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</si>
  <si>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</si>
  <si>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</si>
  <si>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</si>
  <si>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</si>
  <si>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</si>
  <si>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</si>
  <si>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</si>
  <si>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</si>
  <si>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</si>
  <si>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</si>
  <si>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</si>
  <si>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</si>
  <si>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</si>
  <si>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</si>
  <si>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</si>
  <si>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</si>
  <si>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</si>
  <si>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</si>
  <si>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</si>
  <si>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</si>
  <si>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</si>
  <si>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</si>
  <si>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</si>
  <si>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</si>
  <si>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</si>
  <si>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</si>
  <si>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</si>
  <si>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</si>
  <si>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</si>
  <si>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</si>
  <si>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</si>
  <si>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</si>
  <si>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</si>
  <si>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</si>
  <si>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</si>
  <si>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</si>
  <si>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</si>
  <si>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</si>
  <si>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</si>
  <si>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</si>
  <si>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</si>
  <si>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</si>
  <si>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</si>
  <si>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</si>
  <si>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</si>
  <si>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</si>
  <si>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</si>
  <si>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</si>
  <si>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</si>
  <si>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</si>
  <si>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</si>
  <si>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</si>
  <si>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</si>
  <si>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</si>
  <si>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</si>
  <si>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</si>
  <si>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</si>
  <si>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</si>
  <si>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</si>
  <si>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</si>
  <si>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</si>
  <si>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</si>
  <si>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</si>
  <si>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</si>
  <si>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</si>
  <si>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</si>
  <si>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</si>
  <si>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</si>
  <si>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</si>
  <si>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</si>
  <si>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</si>
  <si>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</si>
  <si>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</si>
  <si>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</si>
  <si>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</si>
  <si>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</si>
  <si>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</si>
  <si>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</si>
  <si>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</si>
  <si>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</si>
  <si>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</si>
  <si>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</si>
  <si>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</si>
  <si>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</si>
  <si>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</si>
  <si>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</si>
  <si>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</si>
  <si>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</si>
  <si>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</si>
  <si>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</si>
  <si>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</si>
  <si>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</si>
  <si>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</si>
  <si>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</si>
  <si>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</si>
  <si>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</si>
  <si>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</si>
  <si>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</si>
  <si>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</si>
  <si>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</si>
  <si>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</si>
  <si>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</si>
  <si>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</si>
  <si>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</si>
  <si>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</si>
  <si>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</si>
  <si>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</si>
  <si>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</si>
  <si>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</si>
  <si>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</si>
  <si>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</si>
  <si>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</si>
  <si>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</si>
  <si>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</si>
  <si>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</si>
  <si>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</si>
  <si>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</si>
  <si>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</si>
  <si>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</si>
  <si>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</si>
  <si>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</si>
  <si>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</si>
  <si>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</si>
  <si>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</si>
  <si>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</si>
  <si>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</si>
  <si>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</si>
  <si>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</si>
  <si>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</si>
  <si>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</si>
  <si>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</si>
  <si>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</si>
  <si>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</si>
  <si>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</si>
  <si>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</si>
  <si>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</si>
  <si>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</si>
  <si>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</si>
  <si>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</si>
  <si>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</si>
  <si>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</si>
  <si>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</si>
  <si>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</si>
  <si>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</si>
  <si>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</si>
  <si>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</si>
  <si>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</si>
  <si>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</si>
  <si>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</si>
  <si>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</si>
  <si>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</si>
  <si>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</si>
  <si>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</si>
  <si>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</si>
  <si>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</si>
  <si>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</si>
  <si>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</si>
  <si>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</si>
  <si>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</si>
  <si>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</si>
  <si>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</si>
  <si>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</si>
  <si>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</si>
  <si>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</si>
  <si>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</si>
  <si>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</si>
  <si>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</si>
  <si>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</si>
  <si>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</si>
  <si>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</si>
  <si>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</si>
  <si>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</si>
  <si>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</si>
  <si>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</si>
  <si>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</si>
  <si>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</si>
  <si>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</si>
  <si>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</si>
  <si>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</si>
  <si>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</si>
  <si>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</si>
  <si>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</si>
  <si>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</si>
  <si>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</si>
  <si>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</si>
  <si>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</si>
  <si>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</si>
  <si>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</si>
  <si>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</si>
  <si>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</si>
  <si>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</si>
  <si>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</si>
  <si>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</si>
  <si>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</si>
  <si>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</si>
  <si>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</si>
  <si>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</si>
  <si>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</si>
  <si>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</si>
  <si>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</si>
  <si>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</si>
  <si>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</si>
  <si>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</si>
  <si>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</si>
  <si>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</si>
  <si>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</si>
  <si>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</si>
  <si>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</si>
  <si>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</si>
  <si>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</si>
  <si>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</si>
  <si>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</si>
  <si>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</si>
  <si>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</si>
  <si>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</si>
  <si>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</si>
  <si>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</si>
  <si>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</si>
  <si>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</si>
  <si>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</si>
  <si>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</si>
  <si>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</si>
  <si>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</si>
  <si>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</si>
  <si>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</si>
  <si>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</si>
  <si>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</si>
  <si>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</si>
  <si>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</si>
  <si>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</si>
  <si>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</si>
  <si>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</si>
  <si>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</si>
  <si>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</si>
  <si>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</si>
  <si>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</si>
  <si>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</si>
  <si>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</si>
  <si>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</si>
  <si>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</si>
  <si>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</si>
  <si>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</si>
  <si>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</si>
  <si>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</si>
  <si>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</si>
  <si>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</si>
  <si>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</si>
  <si>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</si>
  <si>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</si>
  <si>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</si>
  <si>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</si>
  <si>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</si>
  <si>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</si>
  <si>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</si>
  <si>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</si>
  <si>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</si>
  <si>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</si>
  <si>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</si>
  <si>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</si>
  <si>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</si>
  <si>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</si>
  <si>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</si>
  <si>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</si>
  <si>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</si>
  <si>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</si>
  <si>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</si>
  <si>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</si>
  <si>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</si>
  <si>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</si>
  <si>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</si>
  <si>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</si>
  <si>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</si>
  <si>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</si>
  <si>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</si>
  <si>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</si>
  <si>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</si>
  <si>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</si>
  <si>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</si>
  <si>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</si>
  <si>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</si>
  <si>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</si>
  <si>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</si>
  <si>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</si>
  <si>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</si>
  <si>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</si>
  <si>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</si>
  <si>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</si>
  <si>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</si>
  <si>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</si>
  <si>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</si>
  <si>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</si>
  <si>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</si>
  <si>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</si>
  <si>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</si>
  <si>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</si>
  <si>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</si>
  <si>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</si>
  <si>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</si>
  <si>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</si>
  <si>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</si>
  <si>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</si>
  <si>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</si>
  <si>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</si>
  <si>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</si>
  <si>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</si>
  <si>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</si>
  <si>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</si>
  <si>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</si>
  <si>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</si>
  <si>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</si>
  <si>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</si>
  <si>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</si>
  <si>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</si>
  <si>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</si>
  <si>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</si>
  <si>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</si>
  <si>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</si>
  <si>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</si>
  <si>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</si>
  <si>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</si>
  <si>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</si>
  <si>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</si>
  <si>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</si>
  <si>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</si>
  <si>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</si>
  <si>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</si>
  <si>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</si>
  <si>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</si>
  <si>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</si>
  <si>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</si>
  <si>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</si>
  <si>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</si>
  <si>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</si>
  <si>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</si>
  <si>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</si>
  <si>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</si>
  <si>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</si>
  <si>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</si>
  <si>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</si>
  <si>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</si>
  <si>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</si>
  <si>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</si>
  <si>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</si>
  <si>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</si>
  <si>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</si>
  <si>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</si>
  <si>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</si>
  <si>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</si>
  <si>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</si>
  <si>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</si>
  <si>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</si>
  <si>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</si>
  <si>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</si>
  <si>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</si>
  <si>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</si>
  <si>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</si>
  <si>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</si>
  <si>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</si>
  <si>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</si>
  <si>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</si>
  <si>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</si>
  <si>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</si>
  <si>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</si>
  <si>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</si>
  <si>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</si>
  <si>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</si>
  <si>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</si>
  <si>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</si>
  <si>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</si>
  <si>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</si>
  <si>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</si>
  <si>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</si>
  <si>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</si>
  <si>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</si>
  <si>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</si>
  <si>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</si>
  <si>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</si>
  <si>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</si>
  <si>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</si>
  <si>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</si>
  <si>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</si>
  <si>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</si>
  <si>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</si>
  <si>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</si>
  <si>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</si>
  <si>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</si>
  <si>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</si>
  <si>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</si>
  <si>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</si>
  <si>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</si>
  <si>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</si>
  <si>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</si>
  <si>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</si>
  <si>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</si>
  <si>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</si>
  <si>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</si>
  <si>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</si>
  <si>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</si>
  <si>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</si>
  <si>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</si>
  <si>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</si>
  <si>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</si>
  <si>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</si>
  <si>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</si>
  <si>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</si>
  <si>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</si>
  <si>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</si>
  <si>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</si>
  <si>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</si>
  <si>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</si>
  <si>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</si>
  <si>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</si>
  <si>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</si>
  <si>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</si>
  <si>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</si>
  <si>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</si>
  <si>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</si>
  <si>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</si>
  <si>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</si>
  <si>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</si>
  <si>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</si>
  <si>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</si>
  <si>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</si>
  <si>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</si>
  <si>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</si>
  <si>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</si>
  <si>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</si>
  <si>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</si>
  <si>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</si>
  <si>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</si>
  <si>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</si>
  <si>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</si>
  <si>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</si>
  <si>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</si>
  <si>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</si>
  <si>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</si>
  <si>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</si>
  <si>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</si>
  <si>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</si>
  <si>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</si>
  <si>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</si>
  <si>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</si>
  <si>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</si>
  <si>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</si>
  <si>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</si>
  <si>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</si>
  <si>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</si>
  <si>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</si>
  <si>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</si>
  <si>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</si>
  <si>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</si>
  <si>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</si>
  <si>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</si>
  <si>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</si>
  <si>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</si>
  <si>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</si>
  <si>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</si>
  <si>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</si>
  <si>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</si>
  <si>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</si>
  <si>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</si>
  <si>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</si>
  <si>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</si>
  <si>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</si>
  <si>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</si>
  <si>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</si>
  <si>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</si>
  <si>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</si>
  <si>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</si>
  <si>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</si>
  <si>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</si>
  <si>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</si>
  <si>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</si>
  <si>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</si>
  <si>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</si>
  <si>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</si>
  <si>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</si>
  <si>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</si>
  <si>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</si>
  <si>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</si>
  <si>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</si>
  <si>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</si>
  <si>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</si>
  <si>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</si>
  <si>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</si>
  <si>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</si>
  <si>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</si>
  <si>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</si>
  <si>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</si>
  <si>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</si>
  <si>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</si>
  <si>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</si>
  <si>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</si>
  <si>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</si>
  <si>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</si>
  <si>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</si>
  <si>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</si>
  <si>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</si>
  <si>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</si>
  <si>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</si>
  <si>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</si>
  <si>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</si>
  <si>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</si>
  <si>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</si>
  <si>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</si>
  <si>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</si>
  <si>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</si>
  <si>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</si>
  <si>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</si>
  <si>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</si>
  <si>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</si>
  <si>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</si>
  <si>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</si>
  <si>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</si>
  <si>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</si>
  <si>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</si>
  <si>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</si>
  <si>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</si>
  <si>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</si>
  <si>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</si>
  <si>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</si>
  <si>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</si>
  <si>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</si>
  <si>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</si>
  <si>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</si>
  <si>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</si>
  <si>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</si>
  <si>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</si>
  <si>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</si>
  <si>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</si>
  <si>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</si>
  <si>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</si>
  <si>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</si>
  <si>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</si>
  <si>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</si>
  <si>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</si>
  <si>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</si>
  <si>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</si>
  <si>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</si>
  <si>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</si>
  <si>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</si>
  <si>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</si>
  <si>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</si>
  <si>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</si>
  <si>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</si>
  <si>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</si>
  <si>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</si>
  <si>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</si>
  <si>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</si>
  <si>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</si>
  <si>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</si>
  <si>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</si>
  <si>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</si>
  <si>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</si>
  <si>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</si>
  <si>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</si>
  <si>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</si>
  <si>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</si>
  <si>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</si>
  <si>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</si>
  <si>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</si>
  <si>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</si>
  <si>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</si>
  <si>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</si>
  <si>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</si>
  <si>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</si>
  <si>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</si>
  <si>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</si>
  <si>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</si>
  <si>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</si>
  <si>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</si>
  <si>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</si>
  <si>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</si>
  <si>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</si>
  <si>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</si>
  <si>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</si>
  <si>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</si>
  <si>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</si>
  <si>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</si>
  <si>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</si>
  <si>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</si>
  <si>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</si>
  <si>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</si>
  <si>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</si>
  <si>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</si>
  <si>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</si>
  <si>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</si>
  <si>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</si>
  <si>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</si>
  <si>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</si>
  <si>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</si>
  <si>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</si>
  <si>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</si>
  <si>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</si>
  <si>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</si>
  <si>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</si>
  <si>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</si>
  <si>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</si>
  <si>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</si>
  <si>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</si>
  <si>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</si>
  <si>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</si>
  <si>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</si>
  <si>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</si>
  <si>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</si>
  <si>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</si>
  <si>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</si>
  <si>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</si>
  <si>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</si>
  <si>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</si>
  <si>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</si>
  <si>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</si>
  <si>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</si>
  <si>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</si>
  <si>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</si>
  <si>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</si>
  <si>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</si>
  <si>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</si>
  <si>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</si>
  <si>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</si>
  <si>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</si>
  <si>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</si>
  <si>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</si>
  <si>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</si>
  <si>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</si>
  <si>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</si>
  <si>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</si>
  <si>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</si>
  <si>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</si>
  <si>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</si>
  <si>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</si>
  <si>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</si>
  <si>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</si>
  <si>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</si>
  <si>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</si>
  <si>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</si>
  <si>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</si>
  <si>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</si>
  <si>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</si>
  <si>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</si>
  <si>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</si>
  <si>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</si>
  <si>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</si>
  <si>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</si>
  <si>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</si>
  <si>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</si>
  <si>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</si>
  <si>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</si>
  <si>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</si>
  <si>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</si>
  <si>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</si>
  <si>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</si>
  <si>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</si>
  <si>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</si>
  <si>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</si>
  <si>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</si>
  <si>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</si>
  <si>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</si>
  <si>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</si>
  <si>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</si>
  <si>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</si>
  <si>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</si>
  <si>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</si>
  <si>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</si>
  <si>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</si>
  <si>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</si>
  <si>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</si>
  <si>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</si>
  <si>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</si>
  <si>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</si>
  <si>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</si>
  <si>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</si>
  <si>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</si>
  <si>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</si>
  <si>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</si>
  <si>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</si>
  <si>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</si>
  <si>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</si>
  <si>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</si>
  <si>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</si>
  <si>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</si>
  <si>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</si>
  <si>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</si>
  <si>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</si>
  <si>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</si>
  <si>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</si>
  <si>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</si>
  <si>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</si>
  <si>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</si>
  <si>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</si>
  <si>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</si>
  <si>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</si>
  <si>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</si>
  <si>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</si>
  <si>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</si>
  <si>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</si>
  <si>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</si>
  <si>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</si>
  <si>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</si>
  <si>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</si>
  <si>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</si>
  <si>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</si>
  <si>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</si>
  <si>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</si>
  <si>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</si>
  <si>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</si>
  <si>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</si>
  <si>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</si>
  <si>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</si>
  <si>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</si>
  <si>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</si>
  <si>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</si>
  <si>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</si>
  <si>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</si>
  <si>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</si>
  <si>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</si>
  <si>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</si>
  <si>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</si>
  <si>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</si>
  <si>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</si>
  <si>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</si>
  <si>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</si>
  <si>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</si>
  <si>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</si>
  <si>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</si>
  <si>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</si>
  <si>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</si>
  <si>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</si>
  <si>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</si>
  <si>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</si>
  <si>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</si>
  <si>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</si>
  <si>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</si>
  <si>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</si>
  <si>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</si>
  <si>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</si>
  <si>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</si>
  <si>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</si>
  <si>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</si>
  <si>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</si>
  <si>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</si>
  <si>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</si>
  <si>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</si>
  <si>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</si>
  <si>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</si>
  <si>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</si>
  <si>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</si>
  <si>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</si>
  <si>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</si>
  <si>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</si>
  <si>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</si>
  <si>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</si>
  <si>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</si>
  <si>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</si>
  <si>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</si>
  <si>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</si>
  <si>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</si>
  <si>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</si>
  <si>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</si>
  <si>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</si>
  <si>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</si>
  <si>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</si>
  <si>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</si>
  <si>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</si>
  <si>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</si>
  <si>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</si>
  <si>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</si>
  <si>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</si>
  <si>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</si>
  <si>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</si>
  <si>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</si>
  <si>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</si>
  <si>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</si>
  <si>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</si>
  <si>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</si>
  <si>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</si>
  <si>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</si>
  <si>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</si>
  <si>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</si>
  <si>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</si>
  <si>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</si>
  <si>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</si>
  <si>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</si>
  <si>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</si>
  <si>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</si>
  <si>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</si>
  <si>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</si>
  <si>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</si>
  <si>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</si>
  <si>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</si>
  <si>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</si>
  <si>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</si>
  <si>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</si>
  <si>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</si>
  <si>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</si>
  <si>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</si>
  <si>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</si>
  <si>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</si>
  <si>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</si>
  <si>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</si>
  <si>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</si>
  <si>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</si>
  <si>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</si>
  <si>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</si>
  <si>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</si>
  <si>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</si>
  <si>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</si>
  <si>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</si>
  <si>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</si>
  <si>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</si>
  <si>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</si>
  <si>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</si>
  <si>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</si>
  <si>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</si>
  <si>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</si>
  <si>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</si>
  <si>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</si>
  <si>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</si>
  <si>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</si>
  <si>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</si>
  <si>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</si>
  <si>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</si>
  <si>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</si>
  <si>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</si>
  <si>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</si>
  <si>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</si>
  <si>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</si>
  <si>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</si>
  <si>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</si>
  <si>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</si>
  <si>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</si>
  <si>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</si>
  <si>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</si>
  <si>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</si>
  <si>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</si>
  <si>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</si>
  <si>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</si>
  <si>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</si>
  <si>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</si>
  <si>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</si>
  <si>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</si>
  <si>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</si>
  <si>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</si>
  <si>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</si>
  <si>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</si>
  <si>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</si>
  <si>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</si>
  <si>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</si>
  <si>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</si>
  <si>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</si>
  <si>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</si>
  <si>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</si>
  <si>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</si>
  <si>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</si>
  <si>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</si>
  <si>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</si>
  <si>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</si>
  <si>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</si>
  <si>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</si>
  <si>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</si>
  <si>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</si>
  <si>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</si>
  <si>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</si>
  <si>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</si>
  <si>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</si>
  <si>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</si>
  <si>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</si>
  <si>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</si>
  <si>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</si>
  <si>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</si>
  <si>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</si>
  <si>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</si>
  <si>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</si>
  <si>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</si>
  <si>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</si>
  <si>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</si>
  <si>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</si>
  <si>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</si>
  <si>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</si>
  <si>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</si>
  <si>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</si>
  <si>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</si>
  <si>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</si>
  <si>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</si>
  <si>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</si>
  <si>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</si>
  <si>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</si>
  <si>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</si>
  <si>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</si>
  <si>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</si>
  <si>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</si>
  <si>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</si>
  <si>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</si>
  <si>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</si>
  <si>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</si>
  <si>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</si>
  <si>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</si>
  <si>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</si>
  <si>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</si>
  <si>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</si>
  <si>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</si>
  <si>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</si>
  <si>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</si>
  <si>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</si>
  <si>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</si>
  <si>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</si>
  <si>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</si>
  <si>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</si>
  <si>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</si>
  <si>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</si>
  <si>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</si>
  <si>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</si>
  <si>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</si>
  <si>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</si>
  <si>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</si>
  <si>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</si>
  <si>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</si>
  <si>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</si>
  <si>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</si>
  <si>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</si>
  <si>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</si>
  <si>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</si>
  <si>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</si>
  <si>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</si>
  <si>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</si>
  <si>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</si>
  <si>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</si>
  <si>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</si>
  <si>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</si>
  <si>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</si>
  <si>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</si>
  <si>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</si>
  <si>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</si>
  <si>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</si>
  <si>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</si>
  <si>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</si>
  <si>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</si>
  <si>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</si>
  <si>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</si>
  <si>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</si>
  <si>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</si>
  <si>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</si>
  <si>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</si>
  <si>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</si>
  <si>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</si>
  <si>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</si>
  <si>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</si>
  <si>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</si>
  <si>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</si>
  <si>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</si>
  <si>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</si>
  <si>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</si>
  <si>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</si>
  <si>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</si>
  <si>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</si>
  <si>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</si>
  <si>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</si>
  <si>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</si>
  <si>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</si>
  <si>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</si>
  <si>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</si>
  <si>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</si>
  <si>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</si>
  <si>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</si>
  <si>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</si>
  <si>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</si>
  <si>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</si>
  <si>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</si>
  <si>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</si>
  <si>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</si>
  <si>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</si>
  <si>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</si>
  <si>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</si>
  <si>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</si>
  <si>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</si>
  <si>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</si>
  <si>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</si>
  <si>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</si>
  <si>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</si>
  <si>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</si>
  <si>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</si>
  <si>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</si>
  <si>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</si>
  <si>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</si>
  <si>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</si>
  <si>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</si>
  <si>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</si>
  <si>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</si>
  <si>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</si>
  <si>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</si>
  <si>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</si>
  <si>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</si>
  <si>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</si>
  <si>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</si>
  <si>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</si>
  <si>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</si>
  <si>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</si>
  <si>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</si>
  <si>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</si>
  <si>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</si>
  <si>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</si>
  <si>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</si>
  <si>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</si>
  <si>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</si>
  <si>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</si>
  <si>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</si>
  <si>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</si>
  <si>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</si>
  <si>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</si>
  <si>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</si>
  <si>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</si>
  <si>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</si>
  <si>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</si>
  <si>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</si>
  <si>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</si>
  <si>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</si>
  <si>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</si>
  <si>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</si>
  <si>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</si>
  <si>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</si>
  <si>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</si>
  <si>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</si>
  <si>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</si>
  <si>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</si>
  <si>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</si>
  <si>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</si>
  <si>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</si>
  <si>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</si>
  <si>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</si>
  <si>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</si>
  <si>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</si>
  <si>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</si>
  <si>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</si>
  <si>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</si>
  <si>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</si>
  <si>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</si>
  <si>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</si>
  <si>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</si>
  <si>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</si>
  <si>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</si>
  <si>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</si>
  <si>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</si>
  <si>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</si>
  <si>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</si>
  <si>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</si>
  <si>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</si>
  <si>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</si>
  <si>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</si>
  <si>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</si>
  <si>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</si>
  <si>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</si>
  <si>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</si>
  <si>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</si>
  <si>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</si>
  <si>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</si>
  <si>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</si>
  <si>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</si>
  <si>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</si>
  <si>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</si>
  <si>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</si>
  <si>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</si>
  <si>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</si>
  <si>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</si>
  <si>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</si>
  <si>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</si>
  <si>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</si>
  <si>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</si>
  <si>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</si>
  <si>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</si>
  <si>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</si>
  <si>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</si>
  <si>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</si>
  <si>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</si>
  <si>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</si>
  <si>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</si>
  <si>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</si>
  <si>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</si>
  <si>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</si>
  <si>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</si>
  <si>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</si>
  <si>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</si>
  <si>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</si>
  <si>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</si>
  <si>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</si>
  <si>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</si>
  <si>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</si>
  <si>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</si>
  <si>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</si>
  <si>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</si>
  <si>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</si>
  <si>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</si>
  <si>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</si>
  <si>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</si>
  <si>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</si>
  <si>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</si>
  <si>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</si>
  <si>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</si>
  <si>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</si>
  <si>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</si>
  <si>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</si>
  <si>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</si>
  <si>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</si>
  <si>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</si>
  <si>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</si>
  <si>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</si>
  <si>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</si>
  <si>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</si>
  <si>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</si>
  <si>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</si>
  <si>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</si>
  <si>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</si>
  <si>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</si>
  <si>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</si>
  <si>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</si>
  <si>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</si>
  <si>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</si>
  <si>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</si>
  <si>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</si>
  <si>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</si>
  <si>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</si>
  <si>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</si>
  <si>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</si>
  <si>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</si>
  <si>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</si>
  <si>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</si>
  <si>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</si>
  <si>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</si>
  <si>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</si>
  <si>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</si>
  <si>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</si>
  <si>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</si>
  <si>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</si>
  <si>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</si>
  <si>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</si>
  <si>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</si>
  <si>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</si>
  <si>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</si>
  <si>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</si>
  <si>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</si>
  <si>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</si>
  <si>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</si>
  <si>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</si>
  <si>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</si>
  <si>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</si>
  <si>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</si>
  <si>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</si>
  <si>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</si>
  <si>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</si>
  <si>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</si>
  <si>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</si>
  <si>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</si>
  <si>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</si>
  <si>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</si>
  <si>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</si>
  <si>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</si>
  <si>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</si>
  <si>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</si>
  <si>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</si>
  <si>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</si>
  <si>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</si>
  <si>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</si>
  <si>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</si>
  <si>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</si>
  <si>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</si>
  <si>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</si>
  <si>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</si>
  <si>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</si>
  <si>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</si>
  <si>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</si>
  <si>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</si>
  <si>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</si>
  <si>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</si>
  <si>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</si>
  <si>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</si>
  <si>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</si>
  <si>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</si>
  <si>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</si>
  <si>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</si>
  <si>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</si>
  <si>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</si>
  <si>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</si>
  <si>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</si>
  <si>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</si>
  <si>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</si>
  <si>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</si>
  <si>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</si>
  <si>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</si>
  <si>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</si>
  <si>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</si>
  <si>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</si>
  <si>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</si>
  <si>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</si>
  <si>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</si>
  <si>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</si>
  <si>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</si>
  <si>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</si>
  <si>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</si>
  <si>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</si>
  <si>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</si>
  <si>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</si>
  <si>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</si>
  <si>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</si>
  <si>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</si>
  <si>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</si>
  <si>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</si>
  <si>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</si>
  <si>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</si>
  <si>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</si>
  <si>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</si>
  <si>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</si>
  <si>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</si>
  <si>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</si>
  <si>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</si>
  <si>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</si>
  <si>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</si>
  <si>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</si>
  <si>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</si>
  <si>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</si>
  <si>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</si>
  <si>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</si>
  <si>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</si>
  <si>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</si>
  <si>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</si>
  <si>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</si>
  <si>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</si>
  <si>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</si>
  <si>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</si>
  <si>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</si>
  <si>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</si>
  <si>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</si>
  <si>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</si>
  <si>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</si>
  <si>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</si>
  <si>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</si>
  <si>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</si>
  <si>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</si>
  <si>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</si>
  <si>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</si>
  <si>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</si>
  <si>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</si>
  <si>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</si>
  <si>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</si>
  <si>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</si>
  <si>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</si>
  <si>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</si>
  <si>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</si>
  <si>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</si>
  <si>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</si>
  <si>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</si>
  <si>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</si>
  <si>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</si>
  <si>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</si>
  <si>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</si>
  <si>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</si>
  <si>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</si>
  <si>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</si>
  <si>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</si>
  <si>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</si>
  <si>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</si>
  <si>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</si>
  <si>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</si>
  <si>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</si>
  <si>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</si>
  <si>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</si>
  <si>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</si>
  <si>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</si>
  <si>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</si>
  <si>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</si>
  <si>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</si>
  <si>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</si>
  <si>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</si>
  <si>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</si>
  <si>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</si>
  <si>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</si>
  <si>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</si>
  <si>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</si>
  <si>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</si>
  <si>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</si>
  <si>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</si>
  <si>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</si>
  <si>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</si>
  <si>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</si>
  <si>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</si>
  <si>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</si>
  <si>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</si>
  <si>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</si>
  <si>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</si>
  <si>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</si>
  <si>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</si>
  <si>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</si>
  <si>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</si>
  <si>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</si>
  <si>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</si>
  <si>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</si>
  <si>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</si>
  <si>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</si>
  <si>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</si>
  <si>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</si>
  <si>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</si>
  <si>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</si>
  <si>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</si>
  <si>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</si>
  <si>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</si>
  <si>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</si>
  <si>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</si>
  <si>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</si>
  <si>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</si>
  <si>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</si>
  <si>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</si>
  <si>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</si>
  <si>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</si>
  <si>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</si>
  <si>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</si>
  <si>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</si>
  <si>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</si>
  <si>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</si>
  <si>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</si>
  <si>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</si>
  <si>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</si>
  <si>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</si>
  <si>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</si>
  <si>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</si>
  <si>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</si>
  <si>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</si>
  <si>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</si>
  <si>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</si>
  <si>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</si>
  <si>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</si>
  <si>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</si>
  <si>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</si>
  <si>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</si>
  <si>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</si>
  <si>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</si>
  <si>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</si>
  <si>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</si>
  <si>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</si>
  <si>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</si>
  <si>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</si>
  <si>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</si>
  <si>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</si>
  <si>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</si>
  <si>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</si>
  <si>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</si>
  <si>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</si>
  <si>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</si>
  <si>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</si>
  <si>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</si>
  <si>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</si>
  <si>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</si>
  <si>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</si>
  <si>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</si>
  <si>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</si>
  <si>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</si>
  <si>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</si>
  <si>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</si>
  <si>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</si>
  <si>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</si>
  <si>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</si>
  <si>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</si>
  <si>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</si>
  <si>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</si>
  <si>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</si>
  <si>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</si>
  <si>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</si>
  <si>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</si>
  <si>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</si>
  <si>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</si>
  <si>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</si>
  <si>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</si>
  <si>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</si>
  <si>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</si>
  <si>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</si>
  <si>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</si>
  <si>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</si>
  <si>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</si>
  <si>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</si>
  <si>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</si>
  <si>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</si>
  <si>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</si>
  <si>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</si>
  <si>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</si>
  <si>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</si>
  <si>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</si>
  <si>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</si>
  <si>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</si>
  <si>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</si>
  <si>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</si>
  <si>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</si>
  <si>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</si>
  <si>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</si>
  <si>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</si>
  <si>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</si>
  <si>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</si>
  <si>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</si>
  <si>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</si>
  <si>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</si>
  <si>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</si>
  <si>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</si>
  <si>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</si>
  <si>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</si>
  <si>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</si>
  <si>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</si>
  <si>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</si>
  <si>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</si>
  <si>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</si>
  <si>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</si>
  <si>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</si>
  <si>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</si>
  <si>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</si>
  <si>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</si>
  <si>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</si>
  <si>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</si>
  <si>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</si>
  <si>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</si>
  <si>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</si>
  <si>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</si>
  <si>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</si>
  <si>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</si>
  <si>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</si>
  <si>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</si>
  <si>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</si>
  <si>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</si>
  <si>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</si>
  <si>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</si>
  <si>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</si>
  <si>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</si>
  <si>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</si>
  <si>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</si>
  <si>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</si>
  <si>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</si>
  <si>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</si>
  <si>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</si>
  <si>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</si>
  <si>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</si>
  <si>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</si>
  <si>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</si>
  <si>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</si>
  <si>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</si>
  <si>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</si>
  <si>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</si>
  <si>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</si>
  <si>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</si>
  <si>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</si>
  <si>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</si>
  <si>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</si>
  <si>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</si>
  <si>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</si>
  <si>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</si>
  <si>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</si>
  <si>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</si>
  <si>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</si>
  <si>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</si>
  <si>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</si>
  <si>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</si>
  <si>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</si>
  <si>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</si>
  <si>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</si>
  <si>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</si>
  <si>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</si>
  <si>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</si>
  <si>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</si>
  <si>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</si>
  <si>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</si>
  <si>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</si>
  <si>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</si>
  <si>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</si>
  <si>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</si>
  <si>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</si>
  <si>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</si>
  <si>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</si>
  <si>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</si>
  <si>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</si>
  <si>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</si>
  <si>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</si>
  <si>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</si>
  <si>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</si>
  <si>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</si>
  <si>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</si>
  <si>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</si>
  <si>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</si>
  <si>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</si>
  <si>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</si>
  <si>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</si>
  <si>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</si>
  <si>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</si>
  <si>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</si>
  <si>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</si>
  <si>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</si>
  <si>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</si>
  <si>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</si>
  <si>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</si>
  <si>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</si>
  <si>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</si>
  <si>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</si>
  <si>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</si>
  <si>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</si>
  <si>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</si>
  <si>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</si>
  <si>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</si>
  <si>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</si>
  <si>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</si>
  <si>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</si>
  <si>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</si>
  <si>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</si>
  <si>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</si>
  <si>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</si>
  <si>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</si>
  <si>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</si>
  <si>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</si>
  <si>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</si>
  <si>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</si>
  <si>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</si>
  <si>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</si>
  <si>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</si>
  <si>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</si>
  <si>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</si>
  <si>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</si>
  <si>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</si>
  <si>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</si>
  <si>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</si>
  <si>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</si>
  <si>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</si>
  <si>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</si>
  <si>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</si>
  <si>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</si>
  <si>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</si>
  <si>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</si>
  <si>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</si>
  <si>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</si>
  <si>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</si>
  <si>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</si>
  <si>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</si>
  <si>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</si>
  <si>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</si>
  <si>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</si>
  <si>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</si>
  <si>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</si>
  <si>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</si>
  <si>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</si>
  <si>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</si>
  <si>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</si>
  <si>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</si>
  <si>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</si>
  <si>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</si>
  <si>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</si>
  <si>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</si>
  <si>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</si>
  <si>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</si>
  <si>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</si>
  <si>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</si>
  <si>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</si>
  <si>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</si>
  <si>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</si>
  <si>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</si>
  <si>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</si>
  <si>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</si>
  <si>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</si>
  <si>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</si>
  <si>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</si>
  <si>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</si>
  <si>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</si>
  <si>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</si>
  <si>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</si>
  <si>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</si>
  <si>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</si>
  <si>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</si>
  <si>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</si>
  <si>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</si>
  <si>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</si>
  <si>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</si>
  <si>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</si>
  <si>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</si>
  <si>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</si>
  <si>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</si>
  <si>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</si>
  <si>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</si>
  <si>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</si>
  <si>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</si>
  <si>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</si>
  <si>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</si>
  <si>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</si>
  <si>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</si>
  <si>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</si>
  <si>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</si>
  <si>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</si>
  <si>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</si>
  <si>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</si>
  <si>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</si>
  <si>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</si>
  <si>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</si>
  <si>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</si>
  <si>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</si>
  <si>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</si>
  <si>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</si>
  <si>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</si>
  <si>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</si>
  <si>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</si>
  <si>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</si>
  <si>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</si>
  <si>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</si>
  <si>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</si>
  <si>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</si>
  <si>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</si>
  <si>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</si>
  <si>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</si>
  <si>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</si>
  <si>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</si>
  <si>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</si>
  <si>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</si>
  <si>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</si>
  <si>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</si>
  <si>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</si>
  <si>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</si>
  <si>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</si>
  <si>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</si>
  <si>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</si>
  <si>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</si>
  <si>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</si>
  <si>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</si>
  <si>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</si>
  <si>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</si>
  <si>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</si>
  <si>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</si>
  <si>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</si>
  <si>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</si>
  <si>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</si>
  <si>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</si>
  <si>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</si>
  <si>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</si>
  <si>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</si>
  <si>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</si>
  <si>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</si>
  <si>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</si>
  <si>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</si>
  <si>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</si>
  <si>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</si>
  <si>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</si>
  <si>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</si>
  <si>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</si>
  <si>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</si>
  <si>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</si>
  <si>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</si>
  <si>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</si>
  <si>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</si>
  <si>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</si>
  <si>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</si>
  <si>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</si>
  <si>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</si>
  <si>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</si>
  <si>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</si>
  <si>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</si>
  <si>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</si>
  <si>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</si>
  <si>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</si>
  <si>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</si>
  <si>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</si>
  <si>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</si>
  <si>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</si>
  <si>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</si>
  <si>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</si>
  <si>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</si>
  <si>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</si>
  <si>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</si>
  <si>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</si>
  <si>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</si>
  <si>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</si>
  <si>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</si>
  <si>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</si>
  <si>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</si>
  <si>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</si>
  <si>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</si>
  <si>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</si>
  <si>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</si>
  <si>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</si>
  <si>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</si>
  <si>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</si>
  <si>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</si>
  <si>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</si>
  <si>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</si>
  <si>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</si>
  <si>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</si>
  <si>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</si>
  <si>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</si>
  <si>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</si>
  <si>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</si>
  <si>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</si>
  <si>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</si>
  <si>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</si>
  <si>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</si>
  <si>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</si>
  <si>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</si>
  <si>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</si>
  <si>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</si>
  <si>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</si>
  <si>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</si>
  <si>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</si>
  <si>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</si>
  <si>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</si>
  <si>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</si>
  <si>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</si>
  <si>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</si>
  <si>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</si>
  <si>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</si>
  <si>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</si>
  <si>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</si>
  <si>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</si>
  <si>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</si>
  <si>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</si>
  <si>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</si>
  <si>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</si>
  <si>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</si>
  <si>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</si>
  <si>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</si>
  <si>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</si>
  <si>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</si>
  <si>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</si>
  <si>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</si>
  <si>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</si>
  <si>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</si>
  <si>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</si>
  <si>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</si>
  <si>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</si>
  <si>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</si>
  <si>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</si>
  <si>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</si>
  <si>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</si>
  <si>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</si>
  <si>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</si>
  <si>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</si>
  <si>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</si>
  <si>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</si>
  <si>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</si>
  <si>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</si>
  <si>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</si>
  <si>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</si>
  <si>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</si>
  <si>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</si>
  <si>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</si>
  <si>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</si>
  <si>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</si>
  <si>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</si>
  <si>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</si>
  <si>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</si>
  <si>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</si>
  <si>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</si>
  <si>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</si>
  <si>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</si>
  <si>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</si>
  <si>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</si>
  <si>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</si>
  <si>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</si>
  <si>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</si>
  <si>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</si>
  <si>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</si>
  <si>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</si>
  <si>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</si>
  <si>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</si>
  <si>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</si>
  <si>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</si>
  <si>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</si>
  <si>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</si>
  <si>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</si>
  <si>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</si>
  <si>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</si>
  <si>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</si>
  <si>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</si>
  <si>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</si>
  <si>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</si>
  <si>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</si>
  <si>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</si>
  <si>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</si>
  <si>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</si>
  <si>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</si>
  <si>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</si>
  <si>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</si>
  <si>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</si>
  <si>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</si>
  <si>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</si>
  <si>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</si>
  <si>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</si>
  <si>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</si>
  <si>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</si>
  <si>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</si>
  <si>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</si>
  <si>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</si>
  <si>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</si>
  <si>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</si>
  <si>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</si>
  <si>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</si>
  <si>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</si>
  <si>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</si>
  <si>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</si>
  <si>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</si>
  <si>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</si>
  <si>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</si>
  <si>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</si>
  <si>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</si>
  <si>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</si>
  <si>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</si>
  <si>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</si>
  <si>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</si>
  <si>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</si>
  <si>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</si>
  <si>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</si>
  <si>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</si>
  <si>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</si>
  <si>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</si>
  <si>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</si>
  <si>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</si>
  <si>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</si>
  <si>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</si>
  <si>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</si>
  <si>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</si>
  <si>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</si>
  <si>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</si>
  <si>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</si>
  <si>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</si>
  <si>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</si>
  <si>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</si>
  <si>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</si>
  <si>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</si>
  <si>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</si>
  <si>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</si>
  <si>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</si>
  <si>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</si>
  <si>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</si>
  <si>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</si>
  <si>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</si>
  <si>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</si>
  <si>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</si>
  <si>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</si>
  <si>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</si>
  <si>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</si>
  <si>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</si>
  <si>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</si>
  <si>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</si>
  <si>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</si>
  <si>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</si>
  <si>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</si>
  <si>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</si>
  <si>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</si>
  <si>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</si>
  <si>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</si>
  <si>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</si>
  <si>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</si>
  <si>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</si>
  <si>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</si>
  <si>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</si>
  <si>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</si>
  <si>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</si>
  <si>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</si>
  <si>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</si>
  <si>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</si>
  <si>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</si>
  <si>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</si>
  <si>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</si>
  <si>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</si>
  <si>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</si>
  <si>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</si>
  <si>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</si>
  <si>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</si>
  <si>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</si>
  <si>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</si>
  <si>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</si>
  <si>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</si>
  <si>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</si>
  <si>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</si>
  <si>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</si>
  <si>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</si>
  <si>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</si>
  <si>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</si>
  <si>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</si>
  <si>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</si>
  <si>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</si>
  <si>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</si>
  <si>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</si>
  <si>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</si>
  <si>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</si>
  <si>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</si>
  <si>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</si>
  <si>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</si>
  <si>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</si>
  <si>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</si>
  <si>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其他：</t>
  </si>
  <si>
    <t>企业</t>
  </si>
  <si>
    <t>出让</t>
  </si>
  <si>
    <t>房地产抵押价值</t>
  </si>
  <si>
    <t>山东省威海市</t>
    <phoneticPr fontId="6" type="noConversion"/>
  </si>
  <si>
    <r>
      <rPr>
        <sz val="10"/>
        <color theme="9" tint="-0.249977111117893"/>
        <rFont val="宋体"/>
        <family val="3"/>
        <charset val="134"/>
      </rPr>
      <t>远遥路</t>
    </r>
    <r>
      <rPr>
        <sz val="10"/>
        <color theme="9" tint="-0.249977111117893"/>
        <rFont val="Arial"/>
        <family val="2"/>
      </rPr>
      <t>-1-1</t>
    </r>
    <r>
      <rPr>
        <sz val="10"/>
        <color theme="9" tint="-0.249977111117893"/>
        <rFont val="宋体"/>
        <family val="3"/>
        <charset val="134"/>
      </rPr>
      <t>号</t>
    </r>
    <phoneticPr fontId="6" type="noConversion"/>
  </si>
  <si>
    <t>是</t>
  </si>
  <si>
    <t>地上</t>
  </si>
  <si>
    <t>独立商业</t>
  </si>
  <si>
    <t>科技馆</t>
    <phoneticPr fontId="7" type="noConversion"/>
  </si>
  <si>
    <t>成新度</t>
  </si>
  <si>
    <t>利息：取LPR加浮动点数</t>
  </si>
  <si>
    <t>地块名称</t>
  </si>
  <si>
    <t>板块</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</si>
  <si>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</si>
  <si>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</si>
  <si>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</si>
  <si>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</si>
  <si>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</si>
  <si>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</si>
  <si>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</si>
  <si>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</si>
  <si>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</si>
  <si>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</si>
  <si>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</si>
  <si>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环翠区孙家疃街道金海游艇东、环海路北    </t>
  </si>
  <si>
    <t xml:space="preserve">      环翠中心区</t>
  </si>
  <si>
    <t xml:space="preserve">      商服(旅馆、商务金融)用地、 公共管理与公共服务(公用设施)用地</t>
  </si>
  <si>
    <t xml:space="preserve">  威海天和置业有限公司     </t>
  </si>
  <si>
    <t xml:space="preserve">      商服用地40年、公共管理与公共服务用地50年</t>
  </si>
  <si>
    <t xml:space="preserve">环翠区温泉镇温泉路南、城际铁路西    </t>
  </si>
  <si>
    <t xml:space="preserve">      环翠中部版块</t>
  </si>
  <si>
    <t xml:space="preserve">      商服(商务金融)用地、公共管理与公共服务(公用设施)用地</t>
  </si>
  <si>
    <t xml:space="preserve">  威海昱德房地产开发有限公司     </t>
  </si>
  <si>
    <t xml:space="preserve">      商服用地40年、公用设施用地50年</t>
  </si>
  <si>
    <t xml:space="preserve">高区环山路南、李家夼旧村东    </t>
  </si>
  <si>
    <t xml:space="preserve">      大于1并且小于或等于1.1</t>
  </si>
  <si>
    <t xml:space="preserve">      零售商业用地</t>
  </si>
  <si>
    <t xml:space="preserve">  济南瀚通石化有限公司     </t>
  </si>
  <si>
    <t xml:space="preserve">      40年</t>
  </si>
  <si>
    <t xml:space="preserve">廒上村北、沈阳路西    </t>
  </si>
  <si>
    <t xml:space="preserve">      环翠西部</t>
  </si>
  <si>
    <t xml:space="preserve">      ≤0.35</t>
  </si>
  <si>
    <t xml:space="preserve">      商服(零售商业)用地</t>
  </si>
  <si>
    <t xml:space="preserve">  威海市瑞鸿石油有限公司     </t>
  </si>
  <si>
    <t xml:space="preserve">      商服用地40年</t>
  </si>
  <si>
    <t xml:space="preserve">高区文化西路南、营口路东    </t>
  </si>
  <si>
    <t xml:space="preserve">      环翠高区</t>
  </si>
  <si>
    <t xml:space="preserve">      大于或等于1并且小于或等于4.5</t>
  </si>
  <si>
    <t xml:space="preserve">      商务金融用地</t>
  </si>
  <si>
    <t xml:space="preserve">  威海新凯合置业有限公司     </t>
  </si>
  <si>
    <t xml:space="preserve">经区滨海大道北、东风路西    </t>
  </si>
  <si>
    <t xml:space="preserve">      环翠北部版块</t>
  </si>
  <si>
    <t xml:space="preserve">      小于或等于0.5</t>
  </si>
  <si>
    <t xml:space="preserve">      娱乐用地</t>
  </si>
  <si>
    <t xml:space="preserve">  威海仁安旅游服务有限公司     </t>
  </si>
  <si>
    <t xml:space="preserve">临港区威青高速西、昌平路南    </t>
  </si>
  <si>
    <t xml:space="preserve">      小于或等于1.95</t>
  </si>
  <si>
    <t xml:space="preserve">  威海弘远置业有限公司     </t>
  </si>
  <si>
    <t xml:space="preserve">临港区威泉路东、浙江路南    </t>
  </si>
  <si>
    <t xml:space="preserve">      环翠南部版块</t>
  </si>
  <si>
    <t xml:space="preserve">      小于或等于1.55</t>
  </si>
  <si>
    <t xml:space="preserve">  威海启润房地产开发有限公司     </t>
  </si>
  <si>
    <t xml:space="preserve">经区齐鲁大道北、香港路东地块四    </t>
  </si>
  <si>
    <t xml:space="preserve">      环翠经区</t>
  </si>
  <si>
    <t xml:space="preserve">      大于或等于1.01并且小于或等于2.5</t>
  </si>
  <si>
    <t xml:space="preserve">      商服(零售商业)用地、公共管理与公共服务(公用设施)用地</t>
  </si>
  <si>
    <t xml:space="preserve">  威海华悦龙润房地产开发有限公司     </t>
  </si>
  <si>
    <t xml:space="preserve">环翠区望岛河南、统一路西    </t>
  </si>
  <si>
    <t xml:space="preserve">      大于1并且小于或等于2.6</t>
  </si>
  <si>
    <t xml:space="preserve">      旅馆用地</t>
  </si>
  <si>
    <t xml:space="preserve">  威海市富环房地产开发有限公司     </t>
  </si>
  <si>
    <t xml:space="preserve">临港区江苏东路南、青威高速西    </t>
  </si>
  <si>
    <t xml:space="preserve">      小于或等于3</t>
  </si>
  <si>
    <t xml:space="preserve">  威海建设集团建恒建设投资有限公司     </t>
  </si>
  <si>
    <t xml:space="preserve">环翠区青岛路东、崂山路北    </t>
  </si>
  <si>
    <t xml:space="preserve">      大于0并且小于或等于3.6</t>
  </si>
  <si>
    <t xml:space="preserve">      商服(零售商业、商务金融)用地、公共管理与公共服务(公用设施)用地</t>
  </si>
  <si>
    <t xml:space="preserve">  威海城投置业有限公司     </t>
  </si>
  <si>
    <t xml:space="preserve">环翠区羊亭河北,双城路西    </t>
  </si>
  <si>
    <t xml:space="preserve">      ≤2.3</t>
  </si>
  <si>
    <t xml:space="preserve">      商服(旅馆用地)、公共管理与公共服务(公用设施)用地</t>
  </si>
  <si>
    <t xml:space="preserve">  威海市环翠区城市发展投资有限公司     </t>
  </si>
  <si>
    <t xml:space="preserve">桥顺路南、桥兴路东    </t>
  </si>
  <si>
    <t xml:space="preserve">      小于或等于1.5</t>
  </si>
  <si>
    <t xml:space="preserve">  山东卓亚房地产开发集团有限公司     </t>
  </si>
  <si>
    <t xml:space="preserve">临港区中韩路西、303省道北    </t>
  </si>
  <si>
    <t xml:space="preserve">      文登北部版块</t>
  </si>
  <si>
    <t xml:space="preserve">      小于或等于0.7</t>
  </si>
  <si>
    <t xml:space="preserve">高区文化西路北、火炬八街东    </t>
  </si>
  <si>
    <t xml:space="preserve">      小于或等于3.98</t>
  </si>
  <si>
    <t xml:space="preserve">  威海北方实业投资有限公司     </t>
  </si>
  <si>
    <t xml:space="preserve">高区双岛东路西、环湾东路南    </t>
  </si>
  <si>
    <t xml:space="preserve">      小于或等于0.6</t>
  </si>
  <si>
    <t xml:space="preserve">  威海海洋牧场科技发展有限公司     </t>
  </si>
  <si>
    <t xml:space="preserve">环翠区孙家疃街道山东村地块一    </t>
  </si>
  <si>
    <t xml:space="preserve">      大于0并且小于或等于0.6</t>
  </si>
  <si>
    <t xml:space="preserve">      商服(商务金融、餐饮、旅馆、零售商业、其他商服)用地、公共管理与公共服务(公用设施)用地</t>
  </si>
  <si>
    <t xml:space="preserve">  瑞游(威海)旅游开发有限公司     </t>
  </si>
  <si>
    <t xml:space="preserve">环翠区孙家疃街道山东村地块二    </t>
  </si>
  <si>
    <t xml:space="preserve">嵩山街道嵩山路西、华夏大道北侧地块五    </t>
  </si>
  <si>
    <t xml:space="preserve">      大于0并且小于或等于0.8</t>
  </si>
  <si>
    <t xml:space="preserve">      商服(其他商服)用地、公共管理与公共服务(公用设施)用地</t>
  </si>
  <si>
    <t xml:space="preserve">  威海华夏城房地产开发有限公司     </t>
  </si>
  <si>
    <t xml:space="preserve">嵩山街道嵩山路西、华夏大道北侧地块六    </t>
  </si>
  <si>
    <t xml:space="preserve">      大于0并且小于或等于0.4</t>
  </si>
  <si>
    <t xml:space="preserve">      商服(零售商业、其他商服)用地、公共管理与公共服务(公用设施)用地</t>
  </si>
  <si>
    <t xml:space="preserve">临港区江苏中路南、威泉路西    </t>
  </si>
  <si>
    <t xml:space="preserve">      小于或等于3.5</t>
  </si>
  <si>
    <t xml:space="preserve">  威海市临港国有资产经营管理有限公司     </t>
  </si>
  <si>
    <t xml:space="preserve">      小于或等于2.1</t>
  </si>
  <si>
    <t xml:space="preserve">嵩山街道嵩山路西、华夏大道南侧地块一    </t>
  </si>
  <si>
    <t xml:space="preserve">      大于0并且小于或等于0.5</t>
  </si>
  <si>
    <t xml:space="preserve">      商服(旅馆、其他商服)用地、公共管理与公共服务(公用设施)用地</t>
  </si>
  <si>
    <t xml:space="preserve">临港区威青高速东、台湾路南    </t>
  </si>
  <si>
    <t xml:space="preserve">      小于或等于0.3</t>
  </si>
  <si>
    <t xml:space="preserve">  三角集团有限公司     </t>
  </si>
  <si>
    <t xml:space="preserve">嵩山街道嵩山路西、华夏大道南侧地块二    </t>
  </si>
  <si>
    <t xml:space="preserve">      大于或等于1并且小于或等于1.89</t>
  </si>
  <si>
    <t xml:space="preserve">      商服(餐饮、旅馆、其他商服)用地、公共管理与公共服务(公用设施)用地</t>
  </si>
  <si>
    <t xml:space="preserve">      乳山城区</t>
  </si>
  <si>
    <t xml:space="preserve">      小于或等于3.2</t>
  </si>
  <si>
    <t xml:space="preserve">      商服(旅馆)用地</t>
  </si>
  <si>
    <t xml:space="preserve">  威海泰燊置业有限公司     </t>
  </si>
  <si>
    <t xml:space="preserve">嵩山街道嵩山路西、华夏大道西侧地块一    </t>
  </si>
  <si>
    <t xml:space="preserve">      商服(商务金融、娱乐用地、其他商服)用地、公共管理与公共服务(公用设施)用地</t>
  </si>
  <si>
    <t xml:space="preserve">临港区江苏东路南、威青高速东    </t>
  </si>
  <si>
    <t xml:space="preserve">      小于或等于2.7</t>
  </si>
  <si>
    <t xml:space="preserve">  威海凤德房地产开发有限公司     </t>
  </si>
  <si>
    <t xml:space="preserve">嵩山街道嵩山路西、华夏大道南侧地块三    </t>
  </si>
  <si>
    <t xml:space="preserve">      小于或等于2.2</t>
  </si>
  <si>
    <t xml:space="preserve">  威海锦展置业有限公司     </t>
  </si>
  <si>
    <t xml:space="preserve">环翠区羊亭镇海峰路北、于家夼村西    </t>
  </si>
  <si>
    <t xml:space="preserve">      小于或等于0.2</t>
  </si>
  <si>
    <t xml:space="preserve">  中国石化销售股份有限公司山东威海石油分公司     </t>
  </si>
  <si>
    <t xml:space="preserve">临港区银川路西、棋山路北    </t>
  </si>
  <si>
    <t xml:space="preserve">      小于或等于1</t>
  </si>
  <si>
    <t xml:space="preserve">      商服(旅馆、商务金融)、公共管理与公共服务(公用设施)用地</t>
  </si>
  <si>
    <t xml:space="preserve">  威海市极富房地产开发有限公司     </t>
  </si>
  <si>
    <t xml:space="preserve">环翠区望岛河北、统一路东    </t>
  </si>
  <si>
    <t xml:space="preserve">      ≥1,≤2</t>
  </si>
  <si>
    <t xml:space="preserve">  万达地产集团有限公司     </t>
  </si>
  <si>
    <t xml:space="preserve">      ≤3.1</t>
  </si>
  <si>
    <t xml:space="preserve">      商服(批发零售、住宿餐饮、商务金融)用地</t>
  </si>
  <si>
    <t xml:space="preserve">经区成大路北、山体公园西    </t>
  </si>
  <si>
    <t xml:space="preserve">      --</t>
  </si>
  <si>
    <t xml:space="preserve">      小于或等于1.1</t>
  </si>
  <si>
    <t xml:space="preserve">      住宿餐饮用地</t>
  </si>
  <si>
    <t xml:space="preserve">  威海丰置房地产开发有限公司     </t>
  </si>
  <si>
    <t xml:space="preserve">临港区台州路东、浙江路北    </t>
  </si>
  <si>
    <t xml:space="preserve">      商服(批发零售、商务金融)、公共管理与公共服务(公共设施)用地</t>
  </si>
  <si>
    <t xml:space="preserve">  威海临港区信成投资开发建设有限公司     </t>
  </si>
  <si>
    <t xml:space="preserve">湖东路东、松涧路北    </t>
  </si>
  <si>
    <t xml:space="preserve">      小于或等于0.4</t>
  </si>
  <si>
    <t xml:space="preserve">      其他商服用地</t>
  </si>
  <si>
    <t xml:space="preserve">经区成大路北、山体公园南地块五    </t>
  </si>
  <si>
    <t xml:space="preserve">      小于或等于2.86</t>
  </si>
  <si>
    <t xml:space="preserve">      批发零售用地</t>
  </si>
  <si>
    <t xml:space="preserve">  威海恒置房地产开发有限公司     </t>
  </si>
  <si>
    <t xml:space="preserve">临港区威泉路西、云南路北    </t>
  </si>
  <si>
    <t xml:space="preserve">      商服(住宿餐饮)、公共管理与公共服务(公共设施)用地</t>
  </si>
  <si>
    <t xml:space="preserve">  威海阳光新地投资发展有限公司     </t>
  </si>
  <si>
    <t xml:space="preserve">临港区威泉路西、金华南路北    </t>
  </si>
  <si>
    <t xml:space="preserve">      商服(其他商服)用地</t>
  </si>
  <si>
    <t xml:space="preserve">  威海威高置业有限公司     </t>
  </si>
  <si>
    <t xml:space="preserve">经区湖西路东、松涧路北地块二    </t>
  </si>
  <si>
    <t xml:space="preserve">      ≤15</t>
  </si>
  <si>
    <t xml:space="preserve">  威海市城市开发投资有限公司     </t>
  </si>
  <si>
    <t xml:space="preserve">临港区丰台路西、凤山路南    </t>
  </si>
  <si>
    <t xml:space="preserve">      ≤0.6</t>
  </si>
  <si>
    <t xml:space="preserve">  威海卫鼎置业有限公司     </t>
  </si>
  <si>
    <t xml:space="preserve">经区湖西路东、松涧路北地块一    </t>
  </si>
  <si>
    <t xml:space="preserve">      ≤15.2</t>
  </si>
  <si>
    <t xml:space="preserve">      ≤3</t>
  </si>
  <si>
    <t xml:space="preserve">      商服(批发零售、商务金融)、公共管理与公共服务(公共设施)</t>
  </si>
  <si>
    <t xml:space="preserve">经区滨海大道南、石家大道东    </t>
  </si>
  <si>
    <t xml:space="preserve">      ≤0.17</t>
  </si>
  <si>
    <t xml:space="preserve">  齐鲁交通威海发展有限公司     </t>
  </si>
  <si>
    <t xml:space="preserve">高区双岛湾科技城22-05号地块(一期)    </t>
  </si>
  <si>
    <t xml:space="preserve">      ≤2.74</t>
  </si>
  <si>
    <t xml:space="preserve">  威海市双岛湾开发投资有限公司     </t>
  </si>
  <si>
    <t xml:space="preserve">高区双岛湾科技城22-05号地块(二期)    </t>
  </si>
  <si>
    <t xml:space="preserve">      ≤1.9</t>
  </si>
  <si>
    <t xml:space="preserve">临港区威泉路西、金华南路南    </t>
  </si>
  <si>
    <t xml:space="preserve">      ≤0.5</t>
  </si>
  <si>
    <t xml:space="preserve">环翠区温泉镇惠友路西    </t>
  </si>
  <si>
    <t xml:space="preserve">      ≤1.2</t>
  </si>
  <si>
    <t xml:space="preserve">  威海六和园置业有限公司     </t>
  </si>
  <si>
    <t>楼面地价</t>
  </si>
  <si>
    <t>正常</t>
  </si>
  <si>
    <t>商业</t>
    <phoneticPr fontId="31" type="noConversion"/>
  </si>
  <si>
    <t>未包含在土地购买价格中</t>
  </si>
  <si>
    <t>全部缴纳</t>
  </si>
  <si>
    <t>已包含在土地取得成本中</t>
  </si>
  <si>
    <t>总价</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</si>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</sst>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
      <sz val="10"/>
      <name val="宋体"/>
      <family val="2"/>
      <scheme val="minor"/>
    </font>
    <font>
      <sz val="10"/>
      <name val="宋体"/>
      <family val="3"/>
      <charset val="134"/>
      <scheme val="minor"/>
    </font>
    <font>
      <sz val="10"/>
      <color rgb="FFFF0000"/>
      <name val="宋体"/>
      <family val="2"/>
      <scheme val="minor"/>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4" fillId="0" borderId="0" xfId="0" applyNumberFormat="1" applyFont="1" applyAlignment="1"/>
    <xf numFmtId="0" fontId="111" fillId="0" borderId="0" xfId="0" applyNumberFormat="1" applyFont="1" applyAlignment="1"/>
    <xf numFmtId="0" fontId="255" fillId="0" borderId="0" xfId="0" applyNumberFormat="1" applyFont="1" applyAlignment="1"/>
    <xf numFmtId="14" fontId="256" fillId="0" borderId="0" xfId="0" applyNumberFormat="1" applyFont="1" applyAlignment="1"/>
    <xf numFmtId="0" fontId="256" fillId="0" borderId="0" xfId="0" applyNumberFormat="1" applyFont="1" applyAlignment="1"/>
    <xf numFmtId="14" fontId="111" fillId="0" borderId="0" xfId="0" applyNumberFormat="1" applyFont="1" applyAlignment="1"/>
    <xf numFmtId="0" fontId="257" fillId="0" borderId="0" xfId="0" applyNumberFormat="1" applyFont="1" applyAlignment="1"/>
    <xf numFmtId="14" fontId="258" fillId="0" borderId="0" xfId="0" applyNumberFormat="1" applyFont="1" applyAlignment="1"/>
    <xf numFmtId="0" fontId="258" fillId="0" borderId="0" xfId="0" applyNumberFormat="1" applyFont="1" applyAlignment="1"/>
    <xf numFmtId="0" fontId="97" fillId="0" borderId="9"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18</xdr:col>
      <xdr:colOff>675657</xdr:colOff>
      <xdr:row>32</xdr:row>
      <xdr:rowOff>104153</xdr:rowOff>
    </xdr:to>
    <xdr:pic>
      <xdr:nvPicPr>
        <xdr:cNvPr id="2" name="图片 1"/>
        <xdr:cNvPicPr>
          <a:picLocks noChangeAspect="1"/>
        </xdr:cNvPicPr>
      </xdr:nvPicPr>
      <xdr:blipFill>
        <a:blip xmlns:r="http://schemas.openxmlformats.org/officeDocument/2006/relationships" r:embed="rId1"/>
        <a:stretch>
          <a:fillRect/>
        </a:stretch>
      </xdr:blipFill>
      <xdr:spPr>
        <a:xfrm>
          <a:off x="15106650" y="0"/>
          <a:ext cx="4942857" cy="4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山东省威海市远遥路-1-1号房地产抵押价值预评估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受贵公司委托，我公司对山东省威海市远遥路-1-1号房地产抵押价值进行了预评估。</v>
      </c>
    </row>
    <row r="7" spans="1:2" s="1365" customFormat="1">
      <c r="A7" s="1363" t="s">
        <v>1231</v>
      </c>
      <c r="B7" s="1364" t="str">
        <f>'预评函-1'!A7</f>
        <v>估价对象为山东省威海市远遥路-1-1号房地产，为所有。根据《国有土地使用证》[]，估价对象（分摊）出让国有建设用地使用权面积为84549平方米，建筑面积为49897.21平方米。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估价对象为山东省威海市远遥路-1-1号房地产,属开发建设的，该项目尚在开发建设中。根据《国有土地使用证》[]，估价对象（分摊）出让国有建设用地使用权面积为84549平方米，规划建筑面积为49897.21平方米。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山东省威海市远遥路-1-1号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2021年11月25日（评估专业人员实地查勘之日）</v>
      </c>
    </row>
    <row r="13" spans="1:2" s="1365" customFormat="1">
      <c r="A13" s="1363" t="s">
        <v>1194</v>
      </c>
      <c r="B13" s="1364" t="str">
        <f>'预评函-1'!A18</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52627</v>
      </c>
    </row>
    <row r="21" spans="1:2" s="1365" customFormat="1">
      <c r="A21" s="1363" t="s">
        <v>1202</v>
      </c>
      <c r="B21" s="1364">
        <f ca="1">'预评函-2'!D7</f>
        <v>10547</v>
      </c>
    </row>
    <row r="22" spans="1:2" s="1365" customFormat="1">
      <c r="A22" s="1363" t="s">
        <v>1203</v>
      </c>
      <c r="B22" s="1364" t="str">
        <f ca="1">'预评函-2'!D6</f>
        <v>伍亿贰仟陆佰贰拾柒万元整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52627</v>
      </c>
    </row>
    <row r="31" spans="1:2" s="1365" customFormat="1">
      <c r="A31" s="1363" t="s">
        <v>1241</v>
      </c>
      <c r="B31" s="1364">
        <f ca="1">'预评函-2'!D15</f>
        <v>10547</v>
      </c>
    </row>
    <row r="32" spans="1:2" s="1365" customFormat="1">
      <c r="A32" s="1363" t="s">
        <v>1208</v>
      </c>
      <c r="B32" s="1364" t="str">
        <f ca="1">'预评函-2'!D14</f>
        <v>伍亿贰仟陆佰贰拾柒万元整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山东省威海市远遥路-1-1号房地产</v>
      </c>
    </row>
    <row r="42" spans="1:2" s="1365" customFormat="1">
      <c r="A42" s="1363" t="s">
        <v>1255</v>
      </c>
      <c r="B42" s="1364" t="str">
        <f>'预评函-3'!B2</f>
        <v>建筑面积</v>
      </c>
    </row>
    <row r="43" spans="1:2" s="1365" customFormat="1">
      <c r="A43" s="1363" t="s">
        <v>1256</v>
      </c>
      <c r="B43" s="1364">
        <f>'预评函-3'!B4</f>
        <v>49897.21</v>
      </c>
    </row>
    <row r="44" spans="1:2" s="1365" customFormat="1">
      <c r="A44" s="1363" t="s">
        <v>1240</v>
      </c>
      <c r="B44" s="1364" t="str">
        <f>'预评函-3'!C2</f>
        <v>(分摊)土地面积</v>
      </c>
    </row>
    <row r="45" spans="1:2" s="1365" customFormat="1">
      <c r="A45" s="1363" t="s">
        <v>1212</v>
      </c>
      <c r="B45" s="1364">
        <f>'预评函-3'!C4</f>
        <v>84549</v>
      </c>
    </row>
    <row r="46" spans="1:2" s="1365" customFormat="1">
      <c r="A46" s="1363" t="s">
        <v>1238</v>
      </c>
      <c r="B46" s="1364" t="str">
        <f>'预评函-3'!D2</f>
        <v>出让国有建设用地使用权价值</v>
      </c>
    </row>
    <row r="47" spans="1:2" s="1365" customFormat="1">
      <c r="A47" s="1363" t="s">
        <v>1213</v>
      </c>
      <c r="B47" s="1364">
        <f ca="1">'预评函-3'!D4</f>
        <v>13736</v>
      </c>
    </row>
    <row r="48" spans="1:2" s="1365" customFormat="1">
      <c r="A48" s="1363" t="s">
        <v>1214</v>
      </c>
      <c r="B48" s="1364">
        <f ca="1">'预评函-3'!E4</f>
        <v>2753</v>
      </c>
    </row>
    <row r="49" spans="1:2" s="1365" customFormat="1">
      <c r="A49" s="1363" t="s">
        <v>1215</v>
      </c>
      <c r="B49" s="1364" t="str">
        <f ca="1">'预评函-3'!D5</f>
        <v>壹亿叁仟柒佰叁拾陆万元整</v>
      </c>
    </row>
    <row r="50" spans="1:2" s="1365" customFormat="1">
      <c r="A50" s="1363" t="s">
        <v>1239</v>
      </c>
      <c r="B50" s="1364" t="str">
        <f>'预评函-3'!F2</f>
        <v>在建建筑物价值</v>
      </c>
    </row>
    <row r="51" spans="1:2" s="1365" customFormat="1">
      <c r="A51" s="1363" t="s">
        <v>1216</v>
      </c>
      <c r="B51" s="1364">
        <f ca="1">'预评函-3'!F4</f>
        <v>38891</v>
      </c>
    </row>
    <row r="52" spans="1:2" s="1365" customFormat="1">
      <c r="A52" s="1363" t="s">
        <v>1217</v>
      </c>
      <c r="B52" s="1364">
        <f ca="1">'预评函-3'!G4</f>
        <v>7794</v>
      </c>
    </row>
    <row r="53" spans="1:2" s="1365" customFormat="1">
      <c r="A53" s="1363" t="s">
        <v>1245</v>
      </c>
      <c r="B53" s="1364" t="str">
        <f ca="1">'预评函-3'!F5</f>
        <v>叁亿捌仟捌佰玖拾壹万元整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威海市远遥路-1-1号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5"/>
      <c r="B54" s="1739" t="s">
        <v>832</v>
      </c>
      <c r="C54" s="1736" t="s">
        <v>1248</v>
      </c>
    </row>
    <row r="55" spans="1:4">
      <c r="A55" s="3115"/>
      <c r="B55" s="1739" t="s">
        <v>833</v>
      </c>
      <c r="C55" s="1736" t="s">
        <v>1249</v>
      </c>
    </row>
    <row r="56" spans="1:4">
      <c r="A56" s="3115"/>
      <c r="B56" s="1739" t="s">
        <v>834</v>
      </c>
      <c r="C56" s="1736" t="s">
        <v>1253</v>
      </c>
    </row>
    <row r="57" spans="1:4">
      <c r="A57" s="311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R43" sqref="R4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24" t="str">
        <f>IF(B10="北京市","北京市",C10)&amp;F10&amp;IF(结果表!G1="在建","出让国有建设用地使用权及在建建筑物",IF(结果表!G1="土地","出让国有建设用地使用权",))&amp;B9&amp;"预评估"</f>
        <v>山东省威海市远遥路-1-1号房地产抵押价值预评估</v>
      </c>
      <c r="C1" s="3125"/>
      <c r="D1" s="3125"/>
      <c r="E1" s="3125"/>
      <c r="F1" s="3125"/>
      <c r="G1" s="3125"/>
      <c r="H1" s="3125"/>
      <c r="I1" s="3126"/>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山东省威海市远遥路-1-1号房地产抵押价值</v>
      </c>
      <c r="T1" s="1931"/>
      <c r="U1" s="1931"/>
      <c r="V1" s="1931"/>
      <c r="W1" s="1931"/>
      <c r="X1" s="1931"/>
      <c r="Y1" s="1931"/>
      <c r="Z1" s="1931"/>
      <c r="AA1" s="1931"/>
      <c r="AB1" s="1931"/>
    </row>
    <row r="2" spans="1:28">
      <c r="A2" s="2591" t="s">
        <v>2914</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山东省威海市远遥路-1-1号房地产</v>
      </c>
      <c r="T2" s="1931"/>
      <c r="U2" s="1931"/>
      <c r="V2" s="1931"/>
      <c r="W2" s="1931"/>
      <c r="X2" s="1931"/>
      <c r="Y2" s="1931"/>
      <c r="Z2" s="1931"/>
      <c r="AA2" s="1931"/>
      <c r="AB2" s="1931"/>
    </row>
    <row r="3" spans="1:28">
      <c r="A3" s="308" t="s">
        <v>2915</v>
      </c>
      <c r="B3" s="2597">
        <v>44525</v>
      </c>
      <c r="C3" s="2598" t="s">
        <v>2916</v>
      </c>
      <c r="D3" s="2597">
        <f>B3</f>
        <v>44525</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4"/>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8"/>
      <c r="F6" s="2890"/>
      <c r="G6" s="2890"/>
      <c r="H6" s="2890"/>
      <c r="I6" s="2890"/>
      <c r="J6" s="2664"/>
      <c r="K6" s="2840" t="str">
        <f>IF(COUNTIF(B6,"*上海银行*"),"上海银行","")</f>
        <v/>
      </c>
      <c r="L6" s="2838"/>
      <c r="M6" s="2838"/>
      <c r="N6" s="2664"/>
      <c r="O6" s="2675"/>
      <c r="P6" s="2664"/>
      <c r="Q6" s="2664"/>
      <c r="R6" s="2664"/>
    </row>
    <row r="7" spans="1:28">
      <c r="A7" s="2607" t="s">
        <v>2920</v>
      </c>
      <c r="B7" s="2611"/>
      <c r="C7" s="2609"/>
      <c r="D7" s="2610"/>
      <c r="E7" s="2888"/>
      <c r="F7" s="2890"/>
      <c r="G7" s="2890"/>
      <c r="H7" s="2890"/>
      <c r="I7" s="2890"/>
      <c r="J7" s="2664"/>
      <c r="K7" s="2841"/>
      <c r="L7" s="2838"/>
      <c r="M7" s="2838"/>
      <c r="N7" s="2664"/>
      <c r="O7" s="2675"/>
      <c r="P7" s="2664"/>
      <c r="Q7" s="2664"/>
      <c r="R7" s="2664"/>
    </row>
    <row r="8" spans="1:28">
      <c r="A8" s="2612" t="s">
        <v>2921</v>
      </c>
      <c r="B8" s="2613" t="s">
        <v>3064</v>
      </c>
      <c r="C8" s="2614"/>
      <c r="D8" s="3127" t="s">
        <v>2922</v>
      </c>
      <c r="E8" s="2615" t="s">
        <v>3068</v>
      </c>
      <c r="F8" s="2616"/>
      <c r="G8" s="2889"/>
      <c r="H8" s="2889"/>
      <c r="I8" s="2889"/>
      <c r="J8" s="2664"/>
      <c r="K8" s="2839"/>
      <c r="L8" s="2838"/>
      <c r="M8" s="2838"/>
      <c r="N8" s="2664"/>
      <c r="O8" s="2675"/>
      <c r="P8" s="2664"/>
      <c r="Q8" s="2664"/>
      <c r="R8" s="2664"/>
    </row>
    <row r="9" spans="1:28" ht="13.5" thickBot="1">
      <c r="A9" s="2617" t="s">
        <v>2923</v>
      </c>
      <c r="B9" s="2618" t="s">
        <v>3068</v>
      </c>
      <c r="C9" s="2619"/>
      <c r="D9" s="3128"/>
      <c r="E9" s="2618"/>
      <c r="F9" s="2620"/>
      <c r="G9" s="2891"/>
      <c r="H9" s="2891"/>
      <c r="I9" s="2891"/>
      <c r="J9" s="2664"/>
      <c r="K9" s="2841"/>
      <c r="L9" s="2838"/>
      <c r="M9" s="2838"/>
      <c r="N9" s="2664"/>
      <c r="O9" s="2675"/>
      <c r="P9" s="2664"/>
      <c r="Q9" s="2664"/>
      <c r="R9" s="2664"/>
    </row>
    <row r="10" spans="1:28" ht="13.5" thickTop="1">
      <c r="A10" s="2621" t="s">
        <v>2924</v>
      </c>
      <c r="B10" s="2622" t="s">
        <v>3065</v>
      </c>
      <c r="C10" s="3061" t="s">
        <v>3069</v>
      </c>
      <c r="D10" s="2606"/>
      <c r="E10" s="2623" t="s">
        <v>2925</v>
      </c>
      <c r="F10" s="2892" t="s">
        <v>3070</v>
      </c>
      <c r="G10" s="2893"/>
      <c r="H10" s="2894"/>
      <c r="I10" s="2895"/>
      <c r="J10" s="2664"/>
      <c r="K10" s="2841"/>
      <c r="L10" s="2838"/>
      <c r="M10" s="2838"/>
      <c r="N10" s="2664"/>
      <c r="O10" s="2675"/>
      <c r="P10" s="2664"/>
      <c r="Q10" s="2664"/>
      <c r="R10" s="2664"/>
    </row>
    <row r="11" spans="1:28">
      <c r="A11" s="2624" t="s">
        <v>2926</v>
      </c>
      <c r="B11" s="2625" t="s">
        <v>3066</v>
      </c>
      <c r="C11" s="2626"/>
      <c r="D11" s="2627"/>
      <c r="E11" s="2594"/>
      <c r="F11" s="2594"/>
      <c r="G11" s="2594"/>
      <c r="H11" s="2594"/>
      <c r="I11" s="2594"/>
      <c r="J11" s="2664"/>
      <c r="K11" s="2841"/>
      <c r="L11" s="2838"/>
      <c r="M11" s="2838"/>
      <c r="N11" s="2664"/>
      <c r="O11" s="2675"/>
      <c r="P11" s="2664"/>
      <c r="Q11" s="2664"/>
      <c r="R11" s="2664"/>
    </row>
    <row r="12" spans="1:28">
      <c r="A12" s="2628" t="s">
        <v>2927</v>
      </c>
      <c r="B12" s="2625" t="s">
        <v>3067</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v>54625</v>
      </c>
      <c r="F13" s="965"/>
      <c r="G13" s="965"/>
      <c r="H13" s="965"/>
      <c r="I13" s="965"/>
      <c r="J13" s="2664"/>
      <c r="K13" s="2841"/>
      <c r="L13" s="2838"/>
      <c r="M13" s="2838"/>
      <c r="N13" s="2664"/>
      <c r="O13" s="2675"/>
      <c r="P13" s="2664"/>
      <c r="Q13" s="2664"/>
      <c r="R13" s="2664"/>
    </row>
    <row r="14" spans="1:28">
      <c r="A14" s="1241"/>
      <c r="B14" s="2630"/>
      <c r="C14" s="2631" t="s">
        <v>2936</v>
      </c>
      <c r="D14" s="2632"/>
      <c r="E14" s="2632">
        <v>40</v>
      </c>
      <c r="F14" s="2632"/>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f>IF(B12="出让",IF(E13="","",ROUNDDOWN(MIN((E13-$D$3)/365,E14),2)),E14)</f>
        <v>27.67</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34"/>
      <c r="C16" s="3135"/>
      <c r="D16" s="3136"/>
      <c r="E16" s="2638" t="s">
        <v>2939</v>
      </c>
      <c r="F16" s="3137"/>
      <c r="G16" s="3138"/>
      <c r="H16" s="3138"/>
      <c r="I16" s="3139"/>
      <c r="J16" s="2664"/>
      <c r="K16" s="2843"/>
      <c r="L16" s="2676"/>
      <c r="M16" s="2676"/>
      <c r="N16" s="2734"/>
      <c r="O16" s="2676"/>
      <c r="P16" s="2734"/>
      <c r="Q16" s="2664"/>
      <c r="R16" s="2664"/>
    </row>
    <row r="17" spans="1:28">
      <c r="A17" s="319" t="s">
        <v>2940</v>
      </c>
      <c r="B17" s="308" t="s">
        <v>2941</v>
      </c>
      <c r="C17" s="11">
        <f>'数据-汇总表'!E3</f>
        <v>49897.21</v>
      </c>
      <c r="D17" s="2545" t="s">
        <v>2942</v>
      </c>
      <c r="E17" s="3140" t="s">
        <v>2943</v>
      </c>
      <c r="F17" s="3141"/>
      <c r="G17" s="3141"/>
      <c r="H17" s="3141"/>
      <c r="I17" s="3142"/>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84549</v>
      </c>
      <c r="D18" s="1252" t="s">
        <v>2946</v>
      </c>
      <c r="E18" s="3143" t="s">
        <v>2947</v>
      </c>
      <c r="F18" s="3144"/>
      <c r="G18" s="3144"/>
      <c r="H18" s="3144"/>
      <c r="I18" s="3145"/>
      <c r="J18" s="2664"/>
      <c r="K18" s="2844"/>
      <c r="L18" s="2676"/>
      <c r="M18" s="2676"/>
      <c r="N18" s="2734"/>
      <c r="O18" s="2676"/>
      <c r="P18" s="2734"/>
      <c r="Q18" s="2664"/>
      <c r="R18" s="2664"/>
      <c r="S18" s="2664"/>
      <c r="T18" s="2664"/>
      <c r="U18" s="2664"/>
      <c r="V18" s="2664"/>
    </row>
    <row r="19" spans="1:28" ht="37.5" thickTop="1" thickBot="1">
      <c r="A19" s="333" t="s">
        <v>1741</v>
      </c>
      <c r="B19" s="313" t="s">
        <v>2948</v>
      </c>
      <c r="C19" s="1748"/>
      <c r="D19" s="1749" t="s">
        <v>2949</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2950</v>
      </c>
      <c r="B20" s="3130" t="s">
        <v>2951</v>
      </c>
      <c r="C20" s="3131"/>
      <c r="D20" s="3132" t="s">
        <v>2952</v>
      </c>
      <c r="E20" s="3133"/>
      <c r="F20" s="2873" t="s">
        <v>1742</v>
      </c>
      <c r="G20" s="2890"/>
      <c r="H20" s="2890"/>
      <c r="I20" s="2890"/>
      <c r="J20" s="2664"/>
      <c r="K20" s="312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2954</v>
      </c>
      <c r="C21" s="2860" t="s">
        <v>1743</v>
      </c>
      <c r="D21" s="1753" t="s">
        <v>2955</v>
      </c>
      <c r="E21" s="2861" t="s">
        <v>1743</v>
      </c>
      <c r="F21" s="2874"/>
      <c r="G21" s="2890"/>
      <c r="H21" s="2890"/>
      <c r="I21" s="2890"/>
      <c r="J21" s="2664"/>
      <c r="K21" s="312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2956</v>
      </c>
      <c r="C22" s="2860" t="s">
        <v>1744</v>
      </c>
      <c r="D22" s="2889"/>
      <c r="E22" s="2889"/>
      <c r="F22" s="2889"/>
      <c r="G22" s="2890"/>
      <c r="H22" s="2890"/>
      <c r="I22" s="2890"/>
      <c r="J22" s="2664"/>
      <c r="K22" s="312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7"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7"/>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7"/>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8"/>
      <c r="B30" s="308" t="s">
        <v>2963</v>
      </c>
      <c r="C30" s="3119"/>
      <c r="D30" s="3120"/>
      <c r="E30" s="2890"/>
      <c r="F30" s="2890"/>
      <c r="G30" s="2890"/>
      <c r="H30" s="2890"/>
      <c r="I30" s="2890"/>
      <c r="J30" s="2664"/>
      <c r="K30" s="2841"/>
      <c r="L30" s="2838"/>
      <c r="M30" s="2838"/>
      <c r="N30" s="2664"/>
      <c r="O30" s="2675"/>
      <c r="P30" s="2664"/>
      <c r="Q30" s="2664"/>
      <c r="R30" s="2664"/>
      <c r="S30" s="2664"/>
      <c r="T30" s="2664"/>
      <c r="U30" s="2664"/>
      <c r="V30" s="2664"/>
    </row>
    <row r="31" spans="1:28">
      <c r="A31" s="3121" t="s">
        <v>2964</v>
      </c>
      <c r="B31" s="2647"/>
      <c r="C31" s="2546"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22"/>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22"/>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4"/>
      <c r="C34" s="2214"/>
      <c r="D34" s="2214"/>
      <c r="E34" s="2214"/>
      <c r="F34" s="2214"/>
      <c r="G34" s="2214"/>
      <c r="H34" s="2214"/>
      <c r="I34" s="2890"/>
      <c r="J34" s="2664"/>
      <c r="K34" s="2652">
        <f>COUNTIF(B34:H34,"——")</f>
        <v>0</v>
      </c>
      <c r="L34" s="329" t="s">
        <v>2966</v>
      </c>
      <c r="M34" s="329" t="s">
        <v>2967</v>
      </c>
      <c r="N34" s="329" t="s">
        <v>2968</v>
      </c>
      <c r="O34" s="329" t="s">
        <v>2969</v>
      </c>
      <c r="P34" s="329" t="s">
        <v>2970</v>
      </c>
      <c r="Q34" s="329" t="s">
        <v>2971</v>
      </c>
      <c r="R34" s="329" t="s">
        <v>2972</v>
      </c>
      <c r="S34" s="3116" t="s">
        <v>2973</v>
      </c>
      <c r="T34" s="2653" t="str">
        <f>NUMBERSTRING(7-K34,1)&amp;"通"</f>
        <v>七通</v>
      </c>
      <c r="U34" s="2664"/>
      <c r="V34" s="2664"/>
    </row>
    <row r="35" spans="1:30" ht="25.5">
      <c r="A35" s="2654"/>
      <c r="B35" s="3123" t="s">
        <v>2974</v>
      </c>
      <c r="C35" s="3123"/>
      <c r="D35" s="3123"/>
      <c r="E35" s="3123"/>
      <c r="F35" s="673" t="str">
        <f>C10</f>
        <v>山东省威海市</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6"/>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2978</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84549</v>
      </c>
      <c r="B3" s="14">
        <f>IF(C3="否",G5-AT5,G5)</f>
        <v>49897.21</v>
      </c>
      <c r="C3" s="1765" t="s">
        <v>3071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49897.21</v>
      </c>
      <c r="H5" s="16">
        <f t="shared" ref="H5:AT5" si="0">SUM(H13:H656)</f>
        <v>49897.21</v>
      </c>
      <c r="I5" s="16">
        <f t="shared" si="0"/>
        <v>49897.21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49897.21</v>
      </c>
      <c r="BA5" s="18">
        <f t="shared" si="1"/>
        <v>49897.21</v>
      </c>
      <c r="BB5" s="18">
        <f t="shared" si="1"/>
        <v>49897.21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84549</v>
      </c>
      <c r="F6" s="16" t="s">
        <v>1</v>
      </c>
      <c r="G6" s="16" t="s">
        <v>2</v>
      </c>
      <c r="H6" s="20">
        <f>SUMIF(I$12:AB$12,"总值",I6:AB6)</f>
        <v>84549</v>
      </c>
      <c r="I6" s="16">
        <f t="shared" ref="I6:AB6" si="2">ROUND($A$3*I5/$B$3,2)</f>
        <v>84549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84549</v>
      </c>
      <c r="AZ6" s="16" t="s">
        <v>3</v>
      </c>
      <c r="BA6" s="16">
        <f>ROUND($AY$6*BA5/$AZ$5,2)</f>
        <v>84549</v>
      </c>
      <c r="BB6" s="16">
        <f>ROUND($AY$6*BB5/$AZ$5,2)</f>
        <v>84549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3072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3073</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3071</v>
      </c>
      <c r="E13" s="16">
        <f>IF($C$3="是",ROUND($A$3*G13/$B$3,2),ROUND($A$3*(G13-AT13)/$B$3,2))</f>
        <v>84549</v>
      </c>
      <c r="F13" s="32"/>
      <c r="G13" s="33">
        <f>H13+AC13+AT13</f>
        <v>49897.21</v>
      </c>
      <c r="H13" s="20">
        <f>SUMIF(I$12:AB$12,"总值",I13:AB13)</f>
        <v>49897.21</v>
      </c>
      <c r="I13" s="1811">
        <v>49897.21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84549</v>
      </c>
      <c r="AZ13" s="16">
        <f>BA13+BL13</f>
        <v>49897.21</v>
      </c>
      <c r="BA13" s="16">
        <f>SUM(BB13:BK13)</f>
        <v>49897.21</v>
      </c>
      <c r="BB13" s="16">
        <f>IF($D13="是",I13-J13,0)</f>
        <v>49897.21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4" sqref="G4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57" t="s">
        <v>1816</v>
      </c>
      <c r="B2" s="3157"/>
      <c r="C2" s="3157"/>
      <c r="D2" s="904" t="s">
        <v>1792</v>
      </c>
      <c r="E2" s="1824" t="s">
        <v>1793</v>
      </c>
      <c r="F2" s="2885"/>
      <c r="G2" s="2876"/>
      <c r="H2" s="2877"/>
      <c r="I2" s="2548" t="s">
        <v>1817</v>
      </c>
      <c r="J2" s="2885"/>
      <c r="K2" s="2885"/>
      <c r="L2" s="2885"/>
      <c r="M2" s="2885"/>
      <c r="N2" s="2887"/>
      <c r="O2" s="2885"/>
      <c r="P2" s="2885"/>
    </row>
    <row r="3" spans="1:16" ht="15.75" thickBot="1">
      <c r="A3" s="3158" t="s">
        <v>1790</v>
      </c>
      <c r="B3" s="3158"/>
      <c r="C3" s="3158"/>
      <c r="D3" s="46">
        <f>'数据-基础表'!AY6</f>
        <v>84549</v>
      </c>
      <c r="E3" s="46">
        <f>'数据-基础表'!AZ5</f>
        <v>49897.21</v>
      </c>
      <c r="F3" s="2885"/>
      <c r="G3" s="1307"/>
      <c r="H3" s="1157" t="s">
        <v>1791</v>
      </c>
      <c r="I3" s="964">
        <f>ROUND('数据-基础表'!B3/'数据-基础表'!A3,2)</f>
        <v>0.59</v>
      </c>
      <c r="J3" s="2885"/>
      <c r="K3" s="2885"/>
      <c r="L3" s="2885"/>
      <c r="M3" s="2885"/>
      <c r="N3" s="2887"/>
      <c r="O3" s="2885"/>
      <c r="P3" s="2885"/>
    </row>
    <row r="4" spans="1:16" ht="15">
      <c r="A4" s="3159"/>
      <c r="B4" s="3160"/>
      <c r="C4" s="3161"/>
      <c r="D4" s="1826" t="s">
        <v>1792</v>
      </c>
      <c r="E4" s="1827" t="s">
        <v>1793</v>
      </c>
      <c r="F4" s="2885"/>
      <c r="G4" s="2878" t="s">
        <v>1818</v>
      </c>
      <c r="H4" s="1157" t="s">
        <v>1798</v>
      </c>
      <c r="I4" s="964">
        <f>ROUND(SUMIF('数据-基础表'!I9:AS9,"地上",'数据-基础表'!I5:AS5)/'数据-基础表'!A3,2)</f>
        <v>0.59</v>
      </c>
      <c r="J4" s="2885"/>
      <c r="K4" s="2885"/>
      <c r="L4" s="2885"/>
      <c r="M4" s="2885"/>
      <c r="N4" s="2887"/>
      <c r="O4" s="2885"/>
      <c r="P4" s="2885"/>
    </row>
    <row r="5" spans="1:16">
      <c r="A5" s="47" t="s">
        <v>1794</v>
      </c>
      <c r="B5" s="3162" t="s">
        <v>1795</v>
      </c>
      <c r="C5" s="3162"/>
      <c r="D5" s="48">
        <f>ROUND($D$3*E5/$E$3,2)</f>
        <v>0</v>
      </c>
      <c r="E5" s="49">
        <f>SUMIF('数据-基础表'!$11:$11,"住宅",'数据-基础表'!$5:$5)</f>
        <v>0</v>
      </c>
      <c r="F5" s="2885"/>
      <c r="G5" s="1307"/>
      <c r="H5" s="1157" t="s">
        <v>1791</v>
      </c>
      <c r="I5" s="964">
        <f>ROUND(E31/D31,2)</f>
        <v>0.59</v>
      </c>
      <c r="J5" s="2885"/>
      <c r="K5" s="2885"/>
      <c r="L5" s="2885"/>
      <c r="M5" s="2885"/>
      <c r="N5" s="2885"/>
      <c r="O5" s="2885"/>
      <c r="P5" s="2885"/>
    </row>
    <row r="6" spans="1:16" ht="15" thickBot="1">
      <c r="A6" s="1829"/>
      <c r="B6" s="3162" t="s">
        <v>1796</v>
      </c>
      <c r="C6" s="3162"/>
      <c r="D6" s="48">
        <f>ROUND($D$3*E6/$E$3,2)</f>
        <v>84549</v>
      </c>
      <c r="E6" s="49">
        <f>E3-E5</f>
        <v>49897.21</v>
      </c>
      <c r="F6" s="2885"/>
      <c r="G6" s="2879" t="s">
        <v>1797</v>
      </c>
      <c r="H6" s="1308" t="s">
        <v>1798</v>
      </c>
      <c r="I6" s="2880">
        <f>ROUND(F31/D31,2)</f>
        <v>0.59</v>
      </c>
      <c r="J6" s="2885"/>
      <c r="K6" s="2885"/>
      <c r="L6" s="2885"/>
      <c r="M6" s="2885"/>
      <c r="N6" s="2885"/>
      <c r="O6" s="2885"/>
      <c r="P6" s="2885"/>
    </row>
    <row r="7" spans="1:16" ht="15.75" thickBot="1">
      <c r="A7" s="3154"/>
      <c r="B7" s="3155"/>
      <c r="C7" s="3156"/>
      <c r="D7" s="1826" t="s">
        <v>1792</v>
      </c>
      <c r="E7" s="1830"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84549</v>
      </c>
      <c r="E8" s="51">
        <f>SUMIF('数据-基础表'!BB10:BK10,"地上",'数据-基础表'!BB5:BK5)</f>
        <v>49897.21</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1808</v>
      </c>
      <c r="D16" s="50">
        <f>SUM(D8:D15)</f>
        <v>84549</v>
      </c>
      <c r="E16" s="53">
        <f>SUM(E8:E15)</f>
        <v>49897.21</v>
      </c>
      <c r="F16" s="2885"/>
      <c r="G16" s="2886"/>
      <c r="H16" s="1833" t="s">
        <v>1820</v>
      </c>
      <c r="I16" s="1834"/>
      <c r="J16" s="1301"/>
      <c r="K16" s="3151" t="s">
        <v>1820</v>
      </c>
      <c r="L16" s="3152"/>
      <c r="M16" s="3152"/>
      <c r="N16" s="3152"/>
      <c r="O16" s="3152"/>
      <c r="P16" s="3153"/>
    </row>
    <row r="17" spans="1:19" ht="15">
      <c r="A17" s="1835" t="s">
        <v>1821</v>
      </c>
      <c r="B17" s="1836" t="s">
        <v>1822</v>
      </c>
      <c r="C17" s="1837" t="s">
        <v>1823</v>
      </c>
      <c r="D17" s="1838" t="s">
        <v>1811</v>
      </c>
      <c r="E17" s="1839" t="s">
        <v>1812</v>
      </c>
      <c r="F17" s="1840"/>
      <c r="G17" s="1841"/>
      <c r="H17" s="1842" t="s">
        <v>1824</v>
      </c>
      <c r="I17" s="1843" t="s">
        <v>1809</v>
      </c>
      <c r="J17" s="1301"/>
      <c r="K17" s="3148" t="s">
        <v>1825</v>
      </c>
      <c r="L17" s="3149"/>
      <c r="M17" s="3150"/>
      <c r="N17" s="3148" t="s">
        <v>1826</v>
      </c>
      <c r="O17" s="3149"/>
      <c r="P17" s="3150"/>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2" t="s">
        <v>3074</v>
      </c>
      <c r="D19" s="48">
        <f>ROUND($D$3*E19/$E$3,2)</f>
        <v>84549</v>
      </c>
      <c r="E19" s="56">
        <f t="shared" ref="E19:E26" si="1">SUM(F19:G19)</f>
        <v>49897.21</v>
      </c>
      <c r="F19" s="3025">
        <f>'数据-基础表'!I5</f>
        <v>49897.21</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84549</v>
      </c>
      <c r="S19" s="1158">
        <f t="shared" si="5"/>
        <v>49897.21</v>
      </c>
    </row>
    <row r="20" spans="1:19">
      <c r="A20" s="1856"/>
      <c r="B20" s="50" t="s">
        <v>1838</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84549</v>
      </c>
      <c r="E27" s="1303">
        <f>IF(SUM(E19:E26)='数据-基础表'!BA5,SUM(E19:E26),IF(F27="地上面积有误","面积有误","地下面积有误"))</f>
        <v>49897.21</v>
      </c>
      <c r="F27" s="1302">
        <f>IF(SUM(F19:F26)=E8,SUM(F19:F26),"地上面积有误")</f>
        <v>49897.21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84549</v>
      </c>
      <c r="S27" s="1157">
        <f>IF(SUM(S19:S26)=$E$3,SUM(S19:S26),SUM(S19:S26)&amp;"误差"&amp;ROUND(SUM(S19:S26)-E3,2))</f>
        <v>49897.21</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1843</v>
      </c>
      <c r="D31" s="685">
        <f>D27+D30</f>
        <v>84549</v>
      </c>
      <c r="E31" s="685">
        <f>E27+E30</f>
        <v>49897.21</v>
      </c>
      <c r="F31" s="686">
        <f>F27+F30</f>
        <v>49897.21</v>
      </c>
      <c r="G31" s="687">
        <f>G27+G30</f>
        <v>0</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activeCell="C50" sqref="C50"/>
      <selection pane="topRight" activeCell="C50" sqref="C50"/>
      <selection pane="bottomLeft" activeCell="C50" sqref="C50"/>
      <selection pane="bottomRight" activeCell="K54" sqref="K54"/>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1846</v>
      </c>
      <c r="B2" s="1176">
        <f>项目基本情况!D3</f>
        <v>44525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3075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科技馆</v>
      </c>
      <c r="B6" s="1899" t="str">
        <f>IF(A6=0,"","经营性")</f>
        <v>经营性</v>
      </c>
      <c r="C6" s="1900" t="s">
        <v>1343</v>
      </c>
      <c r="D6" s="967">
        <f>SUMIF(项目基本情况!D$12:I$12,C6,项目基本情况!D$14:I$14)</f>
        <v>40</v>
      </c>
      <c r="E6" s="966">
        <f>IF(B6="","",SUMIF(项目基本情况!D$12:I$12,C6,项目基本情况!D$13:I$13))</f>
        <v>54625</v>
      </c>
      <c r="F6" s="68">
        <f>SUMIF(项目基本情况!D$12:I$12,C6,项目基本情况!D$15:I$15)</f>
        <v>27.67</v>
      </c>
      <c r="G6" s="69">
        <f>IF(ISERROR(ROUND(POWER(1+H6,D6-F6)*(POWER(1+H6,F6)-1)/(POWER(1+H6,D6)-1),3)),0,ROUND(POWER(1+H6,D6-F6)*(POWER(1+H6,F6)-1)/(POWER(1+H6,D6)-1),3))</f>
        <v>0.876</v>
      </c>
      <c r="H6" s="741">
        <v>5.5E-2</v>
      </c>
      <c r="I6" s="741">
        <v>0.06</v>
      </c>
      <c r="J6" s="70">
        <v>0.08</v>
      </c>
      <c r="K6" s="1161">
        <f>SUMIF('数据-汇总表'!C$19:C$33,A6,'数据-汇总表'!E$19:E$33)</f>
        <v>49897.21</v>
      </c>
      <c r="L6" s="742">
        <v>6000</v>
      </c>
      <c r="M6" s="71">
        <f t="shared" ref="M6:M14" si="0">ROUND(K6*L6/10000,0)</f>
        <v>29938</v>
      </c>
      <c r="N6" s="740">
        <v>1</v>
      </c>
      <c r="O6" s="71" t="str">
        <f>IF($N$5="成新度","——",ROUND(M6*N6,0))</f>
        <v>——</v>
      </c>
      <c r="P6" s="72" t="str">
        <f>IF($N$5="成新度","——",M6-O6)</f>
        <v>——</v>
      </c>
      <c r="Q6" s="743">
        <v>0.03</v>
      </c>
      <c r="R6" s="73">
        <f ca="1">SUMIF('数据-汇总表'!C$19:C$33,A6,'数据-汇总表'!R$19:R$27)</f>
        <v>84549</v>
      </c>
      <c r="S6" s="54">
        <f>IF('数据-汇总表'!$I$17="按面积比例",SUMIF('数据-汇总表'!C$19:C$33,A6,'数据-汇总表'!K$19:K$33),SUMIF('数据-汇总表'!C$19:C$33,A6,'数据-汇总表'!N$19:N$33))</f>
        <v>0</v>
      </c>
      <c r="T6" s="1334">
        <f>ROUND($L$14*S6/10000,0)</f>
        <v>0</v>
      </c>
      <c r="U6" s="74"/>
      <c r="V6" s="75"/>
      <c r="W6" s="75"/>
      <c r="X6" s="1171"/>
      <c r="Y6" s="76"/>
      <c r="Z6" s="77"/>
      <c r="AA6" s="70"/>
      <c r="AB6" s="70"/>
      <c r="AC6" s="1171"/>
      <c r="AD6" s="78"/>
      <c r="AE6" s="1172">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0.876</v>
      </c>
      <c r="H16" s="95">
        <f>ROUND(SUMPRODUCT(H6:H13,K6:K13)/SUMPRODUCT((H6:H13&gt;0)*(K6:K13)),3)</f>
        <v>5.5E-2</v>
      </c>
      <c r="I16" s="96"/>
      <c r="J16" s="96"/>
      <c r="K16" s="97">
        <f>SUM(K6:K15)</f>
        <v>49897.21</v>
      </c>
      <c r="L16" s="98">
        <f>ROUND(M16*10000/SUM(K6:K14),0)</f>
        <v>6000</v>
      </c>
      <c r="M16" s="98">
        <f>SUM(M6:M14)</f>
        <v>29938</v>
      </c>
      <c r="N16" s="99">
        <f>ROUND(SUMPRODUCT(M6:M14,N6:N14)/M16,3)</f>
        <v>1</v>
      </c>
      <c r="O16" s="98">
        <f>SUM(O6:O14)</f>
        <v>0</v>
      </c>
      <c r="P16" s="98">
        <f>SUM(P6:P14)</f>
        <v>0</v>
      </c>
      <c r="Q16" s="100">
        <f>ROUND(SUMPRODUCT(Q6:Q13,K6:K13)/SUMPRODUCT((Q6:Q13&gt;0)*(K6:K13)),2)</f>
        <v>0.03</v>
      </c>
      <c r="R16" s="1165">
        <f ca="1">SUM(R6:R13)</f>
        <v>84549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1895</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1896</v>
      </c>
      <c r="B19" s="108">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1897</v>
      </c>
      <c r="B20" s="109">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1898</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1899</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1900</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1901</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1902</v>
      </c>
      <c r="B26" s="1912" t="s">
        <v>1903</v>
      </c>
      <c r="C26" s="2905" t="s">
        <v>1904</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1905</v>
      </c>
      <c r="B27" s="112"/>
      <c r="C27" s="3031" t="s">
        <v>3052</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255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ROUND(B28*K16/10000,0)</f>
        <v>1272</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0.05</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1915</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1916</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1917</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3076</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1918</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1919</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1920</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1921</v>
      </c>
      <c r="B44" s="124">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1922</v>
      </c>
      <c r="B45" s="122">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1923</v>
      </c>
      <c r="B46" s="122">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1924</v>
      </c>
      <c r="B47" s="125"/>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1925</v>
      </c>
      <c r="B48" s="126">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1926</v>
      </c>
      <c r="B49" s="122">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1927</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1928</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1929</v>
      </c>
      <c r="B52" s="129">
        <f>SUMIF(A54:A63,B53,B54:B63)</f>
        <v>9</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1930</v>
      </c>
      <c r="B53" s="1924" t="s">
        <v>269</v>
      </c>
      <c r="C53" s="2887" t="s">
        <v>1931</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1932</v>
      </c>
      <c r="B54" s="80">
        <v>15</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1933</v>
      </c>
      <c r="B55" s="80">
        <v>9</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1934</v>
      </c>
      <c r="B56" s="80">
        <v>5</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1935</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1936</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1937</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1938</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1939</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1940</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1941</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3" t="s">
        <v>3031</v>
      </c>
      <c r="B1" s="3164"/>
      <c r="C1" s="3164"/>
      <c r="D1" s="3164"/>
      <c r="E1" s="3164"/>
      <c r="F1" s="3164"/>
      <c r="G1" s="3164"/>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7"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7"/>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49897.21</v>
      </c>
      <c r="C1" s="2914"/>
      <c r="D1" s="2914"/>
      <c r="E1" s="2914"/>
      <c r="F1" s="2914"/>
      <c r="G1" s="2915"/>
      <c r="H1" s="2916"/>
      <c r="I1" s="2916"/>
      <c r="J1" s="2916"/>
      <c r="K1" s="2916"/>
    </row>
    <row r="2" spans="1:11" ht="16.5">
      <c r="A2" s="2737" t="s">
        <v>1319</v>
      </c>
      <c r="B2" s="2737">
        <f>SUM(C14:C23)</f>
        <v>84549</v>
      </c>
      <c r="C2" s="2914"/>
      <c r="D2" s="2914"/>
      <c r="E2" s="2914"/>
      <c r="F2" s="2914"/>
      <c r="G2" s="2915"/>
      <c r="H2" s="2916"/>
      <c r="I2" s="2916"/>
      <c r="J2" s="2916"/>
      <c r="K2" s="2916"/>
    </row>
    <row r="3" spans="1:11" ht="16.5">
      <c r="A3" s="2737" t="s">
        <v>1328</v>
      </c>
      <c r="B3" s="2739">
        <f>项目基本情况!D3</f>
        <v>44525</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52627</v>
      </c>
      <c r="C5" s="2737">
        <f ca="1">ROUND(B5*10000/$B$1,0)</f>
        <v>10547</v>
      </c>
      <c r="D5" s="2737">
        <f ca="1">ROUND(B5*10000/$B$2,0)</f>
        <v>6224</v>
      </c>
      <c r="E5" s="2914"/>
      <c r="F5" s="2915"/>
      <c r="G5" s="2915"/>
      <c r="H5" s="2916"/>
      <c r="I5" s="2916"/>
      <c r="J5" s="2916"/>
      <c r="K5" s="2916"/>
    </row>
    <row r="6" spans="1:11" ht="16.5">
      <c r="A6" s="2737" t="s">
        <v>1322</v>
      </c>
      <c r="B6" s="2737">
        <f ca="1">SUM(G14:G23)</f>
        <v>52627</v>
      </c>
      <c r="C6" s="2737">
        <f ca="1">ROUND(B6*10000/$B$1,0)</f>
        <v>10547</v>
      </c>
      <c r="D6" s="2737">
        <f ca="1">ROUND(B6*10000/$B$2,0)</f>
        <v>6224</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49897.21</v>
      </c>
      <c r="C14" s="2743">
        <f>结果表!C118</f>
        <v>84549</v>
      </c>
      <c r="D14" s="2743">
        <f ca="1">结果表!H118</f>
        <v>52627</v>
      </c>
      <c r="E14" s="2743">
        <f ca="1">ROUND(D14*10000/B14,0)</f>
        <v>10547</v>
      </c>
      <c r="F14" s="2743">
        <f ca="1">ROUND(D14*10000/C14,0)</f>
        <v>6224</v>
      </c>
      <c r="G14" s="2743">
        <f ca="1">结果表!D122</f>
        <v>52627</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K26" sqref="K26"/>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199" t="str">
        <f>项目基本情况!S2</f>
        <v>山东省威海市远遥路-1-1号房地产</v>
      </c>
      <c r="B2" s="3200"/>
      <c r="C2" s="3200"/>
      <c r="D2" s="3200"/>
      <c r="E2" s="3200"/>
      <c r="F2" s="3200"/>
      <c r="G2" s="3200"/>
      <c r="H2" s="3200"/>
      <c r="I2" s="3201"/>
    </row>
    <row r="3" spans="1:12" ht="12.75">
      <c r="A3" s="3203" t="s">
        <v>1949</v>
      </c>
      <c r="B3" s="3204"/>
      <c r="C3" s="3204"/>
      <c r="D3" s="3204"/>
      <c r="E3" s="3204"/>
      <c r="F3" s="3204"/>
      <c r="G3" s="3204"/>
      <c r="H3" s="3204"/>
      <c r="I3" s="3204"/>
    </row>
    <row r="4" spans="1:12" ht="14.25">
      <c r="A4" s="1940" t="s">
        <v>1950</v>
      </c>
      <c r="B4" s="1941" t="s">
        <v>1951</v>
      </c>
      <c r="C4" s="1942" t="s">
        <v>3261</v>
      </c>
      <c r="D4" s="1942" t="s">
        <v>3261</v>
      </c>
      <c r="E4" s="3205" t="s">
        <v>1952</v>
      </c>
      <c r="F4" s="3206"/>
      <c r="G4" s="3206"/>
      <c r="H4" s="3206"/>
      <c r="I4" s="32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79" t="s">
        <v>1953</v>
      </c>
      <c r="B5" s="3166">
        <v>25</v>
      </c>
      <c r="C5" s="3182"/>
      <c r="D5" s="3202"/>
      <c r="E5" s="136" t="s">
        <v>1954</v>
      </c>
      <c r="F5" s="1943"/>
      <c r="G5" s="1943"/>
      <c r="H5" s="1943"/>
      <c r="I5" s="1557"/>
    </row>
    <row r="6" spans="1:12" ht="12.75">
      <c r="A6" s="3179"/>
      <c r="B6" s="3166"/>
      <c r="C6" s="3183"/>
      <c r="D6" s="3202"/>
      <c r="E6" s="136" t="s">
        <v>1955</v>
      </c>
      <c r="F6" s="1943"/>
      <c r="G6" s="1943"/>
      <c r="H6" s="1943"/>
      <c r="I6" s="1557"/>
    </row>
    <row r="7" spans="1:12" ht="12.75">
      <c r="A7" s="3179"/>
      <c r="B7" s="3166"/>
      <c r="C7" s="3184"/>
      <c r="D7" s="3202"/>
      <c r="E7" s="136" t="s">
        <v>1956</v>
      </c>
      <c r="F7" s="1943"/>
      <c r="G7" s="1943"/>
      <c r="H7" s="1943"/>
      <c r="I7" s="1557"/>
    </row>
    <row r="8" spans="1:12" ht="12.75">
      <c r="A8" s="3179" t="s">
        <v>1957</v>
      </c>
      <c r="B8" s="3166">
        <v>15</v>
      </c>
      <c r="C8" s="3182"/>
      <c r="D8" s="3202"/>
      <c r="E8" s="136" t="s">
        <v>1958</v>
      </c>
      <c r="F8" s="1943"/>
      <c r="G8" s="1943"/>
      <c r="H8" s="1943"/>
      <c r="I8" s="1557"/>
    </row>
    <row r="9" spans="1:12" ht="12.75">
      <c r="A9" s="3179"/>
      <c r="B9" s="3166"/>
      <c r="C9" s="3184"/>
      <c r="D9" s="3202"/>
      <c r="E9" s="136" t="s">
        <v>1959</v>
      </c>
      <c r="F9" s="1943"/>
      <c r="G9" s="1943"/>
      <c r="H9" s="1943"/>
      <c r="I9" s="1557"/>
    </row>
    <row r="10" spans="1:12" ht="12.75">
      <c r="A10" s="3179" t="s">
        <v>1960</v>
      </c>
      <c r="B10" s="3166">
        <v>15</v>
      </c>
      <c r="C10" s="3182"/>
      <c r="D10" s="3202"/>
      <c r="E10" s="136" t="s">
        <v>1961</v>
      </c>
      <c r="F10" s="1943"/>
      <c r="G10" s="1943"/>
      <c r="H10" s="1943"/>
      <c r="I10" s="1557"/>
    </row>
    <row r="11" spans="1:12" ht="12.75">
      <c r="A11" s="3179"/>
      <c r="B11" s="3166"/>
      <c r="C11" s="3184"/>
      <c r="D11" s="3202"/>
      <c r="E11" s="136" t="s">
        <v>1962</v>
      </c>
      <c r="F11" s="1943"/>
      <c r="G11" s="1943"/>
      <c r="H11" s="1943"/>
      <c r="I11" s="1557"/>
    </row>
    <row r="12" spans="1:12" ht="12.75">
      <c r="A12" s="3179" t="s">
        <v>1963</v>
      </c>
      <c r="B12" s="3166">
        <v>15</v>
      </c>
      <c r="C12" s="3182"/>
      <c r="D12" s="3202"/>
      <c r="E12" s="136" t="s">
        <v>1964</v>
      </c>
      <c r="F12" s="1943"/>
      <c r="G12" s="1943"/>
      <c r="H12" s="1943"/>
      <c r="I12" s="1557"/>
    </row>
    <row r="13" spans="1:12" ht="12.75">
      <c r="A13" s="3179"/>
      <c r="B13" s="3166"/>
      <c r="C13" s="3184"/>
      <c r="D13" s="3202"/>
      <c r="E13" s="136" t="s">
        <v>1965</v>
      </c>
      <c r="F13" s="1943"/>
      <c r="G13" s="1943"/>
      <c r="H13" s="1943"/>
      <c r="I13" s="1557"/>
    </row>
    <row r="14" spans="1:12" ht="12.75">
      <c r="A14" s="3179" t="s">
        <v>1966</v>
      </c>
      <c r="B14" s="3166">
        <v>30</v>
      </c>
      <c r="C14" s="3182">
        <v>5</v>
      </c>
      <c r="D14" s="3202">
        <v>5</v>
      </c>
      <c r="E14" s="136" t="s">
        <v>1967</v>
      </c>
      <c r="F14" s="1943"/>
      <c r="G14" s="1943"/>
      <c r="H14" s="1943"/>
      <c r="I14" s="1557"/>
    </row>
    <row r="15" spans="1:12" ht="12.75">
      <c r="A15" s="3179"/>
      <c r="B15" s="3166"/>
      <c r="C15" s="3183"/>
      <c r="D15" s="3202"/>
      <c r="E15" s="136" t="s">
        <v>1968</v>
      </c>
      <c r="F15" s="1943"/>
      <c r="G15" s="1943"/>
      <c r="H15" s="1943"/>
      <c r="I15" s="1557"/>
    </row>
    <row r="16" spans="1:12" ht="12.75">
      <c r="A16" s="3179"/>
      <c r="B16" s="3166"/>
      <c r="C16" s="3184"/>
      <c r="D16" s="3202"/>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189" t="s">
        <v>2872</v>
      </c>
      <c r="F18" s="3190"/>
      <c r="G18" s="3190"/>
      <c r="H18" s="3190"/>
      <c r="I18" s="3190"/>
      <c r="K18" s="308" t="s">
        <v>1974</v>
      </c>
      <c r="L18" s="308">
        <f>IF(C1="",'数据-汇总表'!E3,SUMIF(项目类型,C1,'数据-汇总表'!E17:E26)+SUMIF(项目类型,C1,'数据-汇总表'!I17:I26))</f>
        <v>49897.21</v>
      </c>
      <c r="M18" s="308">
        <f>IF(C1="",'数据-汇总表'!E3,SUMIF(项目类型,C1,'数据-汇总表'!E17:E26))</f>
        <v>49897.21</v>
      </c>
    </row>
    <row r="19" spans="1:36" ht="15">
      <c r="A19" s="1947" t="s">
        <v>1975</v>
      </c>
      <c r="B19" s="1948" t="s">
        <v>1976</v>
      </c>
      <c r="C19" s="139">
        <f ca="1">SUMIF(INDIRECT("'"&amp;C4&amp;"'"&amp;"!A:A"),结果表!B19,INDIRECT("'"&amp;C4&amp;"'"&amp;"!B:B"))</f>
        <v>52627</v>
      </c>
      <c r="D19" s="140">
        <f ca="1">SUMIF(INDIRECT("'"&amp;D4&amp;"'"&amp;"!A:A"),结果表!B19,INDIRECT("'"&amp;D4&amp;"'"&amp;"!B:B"))</f>
        <v>52627</v>
      </c>
      <c r="E19" s="1947" t="s">
        <v>1977</v>
      </c>
      <c r="F19" s="1948" t="s">
        <v>1976</v>
      </c>
      <c r="G19" s="141">
        <f ca="1">ROUND(C19*$C$18+D19*$D$18,0)</f>
        <v>52627</v>
      </c>
      <c r="H19" s="1949" t="s">
        <v>1978</v>
      </c>
      <c r="I19" s="134"/>
      <c r="K19" s="308" t="s">
        <v>1979</v>
      </c>
      <c r="L19" s="308">
        <f>IF(C1="",'数据-汇总表'!D3,SUMIF(项目类型,C1,'数据-汇总表'!D17:D26)+SUMIF(项目类型,C1,'数据-汇总表'!H17:H27))</f>
        <v>84549</v>
      </c>
      <c r="M19" s="308">
        <f>IF(C1="",'数据-汇总表'!D3,SUMIF(项目类型,C1,'数据-汇总表'!D17:D26))</f>
        <v>84549</v>
      </c>
    </row>
    <row r="20" spans="1:36" ht="15">
      <c r="A20" s="1950"/>
      <c r="B20" s="1157" t="s">
        <v>1980</v>
      </c>
      <c r="C20" s="142">
        <f ca="1">SUMIF(INDIRECT("'"&amp;C4&amp;"'"&amp;"!A:A"),结果表!B20,INDIRECT("'"&amp;C4&amp;"'"&amp;"!B:B"))</f>
        <v>10547</v>
      </c>
      <c r="D20" s="143">
        <f ca="1">SUMIF(INDIRECT("'"&amp;D4&amp;"'"&amp;"!A:A"),结果表!B20,INDIRECT("'"&amp;D4&amp;"'"&amp;"!B:B"))</f>
        <v>10547</v>
      </c>
      <c r="E20" s="1950"/>
      <c r="F20" s="1157" t="s">
        <v>1980</v>
      </c>
      <c r="G20" s="144">
        <f ca="1">ROUND(C20*$C$18+D20*$D$18,0)</f>
        <v>10547</v>
      </c>
      <c r="H20" s="917" t="s">
        <v>1981</v>
      </c>
      <c r="I20" s="134"/>
    </row>
    <row r="21" spans="1:36" ht="15" customHeight="1" thickBot="1">
      <c r="A21" s="937"/>
      <c r="B21" s="1951" t="s">
        <v>1982</v>
      </c>
      <c r="C21" s="728">
        <f ca="1">ROUND(C19*10000/L19,0)</f>
        <v>6224</v>
      </c>
      <c r="D21" s="729">
        <f ca="1">ROUND(D19*10000/L19,0)</f>
        <v>6224</v>
      </c>
      <c r="E21" s="937"/>
      <c r="F21" s="1951" t="s">
        <v>1982</v>
      </c>
      <c r="G21" s="145">
        <f ca="1">ROUND(G19*10000/L19,0)</f>
        <v>6224</v>
      </c>
      <c r="H21" s="1952" t="s">
        <v>1981</v>
      </c>
      <c r="I21" s="134"/>
    </row>
    <row r="22" spans="1:36" ht="15" thickBot="1">
      <c r="A22" s="1874" t="s">
        <v>1983</v>
      </c>
      <c r="B22" s="1953"/>
      <c r="C22" s="1954"/>
      <c r="D22" s="730">
        <f ca="1">IF(C19&lt;D19,D19/C19-1,C19/D19-1)</f>
        <v>0</v>
      </c>
      <c r="E22" s="134"/>
      <c r="F22" s="134"/>
      <c r="G22" s="134"/>
      <c r="H22" s="134"/>
      <c r="I22" s="134"/>
    </row>
    <row r="23" spans="1:36" ht="13.5" thickBot="1">
      <c r="A23" s="1933"/>
      <c r="B23" s="1933"/>
      <c r="C23" s="1933"/>
      <c r="D23" s="1933"/>
      <c r="E23" s="134"/>
      <c r="F23" s="134"/>
      <c r="G23" s="134"/>
      <c r="H23" s="134"/>
      <c r="I23" s="134"/>
    </row>
    <row r="24" spans="1:36" ht="14.25">
      <c r="A24" s="3173" t="s">
        <v>1984</v>
      </c>
      <c r="B24" s="1948" t="s">
        <v>1976</v>
      </c>
      <c r="C24" s="141">
        <f>IF(B30=0,0,D30)</f>
        <v>0</v>
      </c>
      <c r="D24" s="1955"/>
      <c r="E24" s="134"/>
      <c r="F24" s="134"/>
      <c r="G24" s="134"/>
      <c r="H24" s="134"/>
      <c r="I24" s="134"/>
    </row>
    <row r="25" spans="1:36" ht="14.25">
      <c r="A25" s="317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52627</v>
      </c>
      <c r="D32" s="1961" t="s">
        <v>3259</v>
      </c>
      <c r="E32" s="134"/>
      <c r="F32" s="134"/>
      <c r="G32" s="134"/>
      <c r="H32" s="134"/>
      <c r="I32" s="134"/>
    </row>
    <row r="33" spans="1:15" ht="15">
      <c r="A33" s="894" t="s">
        <v>1991</v>
      </c>
      <c r="B33" s="1962"/>
      <c r="C33" s="1963" t="s">
        <v>3260</v>
      </c>
      <c r="D33" s="1964" t="s">
        <v>3261</v>
      </c>
      <c r="E33" s="1965" t="s">
        <v>1992</v>
      </c>
      <c r="F33" s="1966" t="str">
        <f>IF(D32="楼面单价","取值（单价）","取值（总价）")</f>
        <v>取值（总价）</v>
      </c>
      <c r="G33" s="134"/>
      <c r="H33" s="134"/>
      <c r="I33" s="134"/>
    </row>
    <row r="34" spans="1:15" ht="15">
      <c r="A34" s="1967"/>
      <c r="B34" s="1968" t="s">
        <v>1993</v>
      </c>
      <c r="C34" s="153">
        <f ca="1">IF(C33="自定义",F34,C32-C35)</f>
        <v>13736</v>
      </c>
      <c r="D34" s="970">
        <f ca="1">IF(C33="自定义",ROUND(C34/C32,3),IF(C33="收益比率",SUMIF(INDIRECT("'"&amp;D33&amp;"'"&amp;"!b:b"),"土地收益比率",INDIRECT("'"&amp;D33&amp;"'"&amp;"!c:c")),SUMIF(INDIRECT("'"&amp;D33&amp;"'"&amp;"!b:b"),"土地成本比率",INDIRECT("'"&amp;D33&amp;"'"&amp;"!c:c"))))</f>
        <v>0.26100000000000001</v>
      </c>
      <c r="E34" s="1969" t="s">
        <v>1994</v>
      </c>
      <c r="F34" s="1498"/>
      <c r="G34" s="134"/>
      <c r="H34" s="134"/>
      <c r="I34" s="134"/>
    </row>
    <row r="35" spans="1:15" ht="15.75" thickBot="1">
      <c r="A35" s="1970"/>
      <c r="B35" s="1971" t="s">
        <v>1995</v>
      </c>
      <c r="C35" s="1332">
        <f ca="1">IF(C33="自定义",F35,ROUND(C32*D35,0))</f>
        <v>38891</v>
      </c>
      <c r="D35" s="1333">
        <f ca="1">IF(C33="自定义",ROUND(C35/C32,3),IF(C33="收益比率",SUMIF(INDIRECT("'"&amp;D33&amp;"'"&amp;"!b:b"),"建筑物收益比率",INDIRECT("'"&amp;D33&amp;"'"&amp;"!c:c")),SUMIF(INDIRECT("'"&amp;D33&amp;"'"&amp;"!b:b"),"建筑物成本比率",INDIRECT("'"&amp;D33&amp;"'"&amp;"!c:c"))))</f>
        <v>0.73899999999999999</v>
      </c>
      <c r="E35" s="1972" t="s">
        <v>1996</v>
      </c>
      <c r="F35" s="159"/>
      <c r="G35" s="134"/>
      <c r="H35" s="134"/>
      <c r="I35" s="134"/>
    </row>
    <row r="36" spans="1:15" ht="15.75" thickBot="1">
      <c r="A36" s="3193" t="s">
        <v>1997</v>
      </c>
      <c r="B36" s="1973" t="s">
        <v>1998</v>
      </c>
      <c r="C36" s="150"/>
      <c r="D36" s="1974"/>
      <c r="E36" s="1975"/>
      <c r="F36" s="1976"/>
      <c r="G36" s="134"/>
      <c r="H36" s="134"/>
      <c r="I36" s="134"/>
    </row>
    <row r="37" spans="1:15" ht="15.75" thickBot="1">
      <c r="A37" s="3194"/>
      <c r="B37" s="1860" t="s">
        <v>1999</v>
      </c>
      <c r="C37" s="152"/>
      <c r="D37" s="1301"/>
      <c r="E37" s="1301"/>
      <c r="F37" s="1976"/>
      <c r="G37" s="134"/>
      <c r="H37" s="134"/>
      <c r="I37" s="134"/>
    </row>
    <row r="38" spans="1:15" ht="15.75" thickBot="1">
      <c r="A38" s="3195"/>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170" t="s">
        <v>2011</v>
      </c>
      <c r="B45" s="3171"/>
      <c r="C45" s="3172"/>
      <c r="D45" s="160">
        <f ca="1">ROUND(H101*F45,0)</f>
        <v>52627</v>
      </c>
      <c r="E45" s="161" t="s">
        <v>2012</v>
      </c>
      <c r="F45" s="162">
        <v>1</v>
      </c>
      <c r="G45" s="163" t="s">
        <v>2013</v>
      </c>
      <c r="H45" s="134"/>
      <c r="I45" s="134"/>
      <c r="J45" s="3251" t="s">
        <v>2014</v>
      </c>
      <c r="K45" s="3251"/>
      <c r="L45" s="3251"/>
      <c r="M45" s="3251"/>
      <c r="N45" s="3251"/>
      <c r="O45" s="3251"/>
    </row>
    <row r="46" spans="1:15" ht="14.25" customHeight="1">
      <c r="A46" s="3167" t="s">
        <v>2015</v>
      </c>
      <c r="B46" s="3168"/>
      <c r="C46" s="3168"/>
      <c r="D46" s="3168"/>
      <c r="E46" s="3168"/>
      <c r="F46" s="3168"/>
      <c r="G46" s="3169"/>
      <c r="H46" s="1992"/>
      <c r="I46" s="164"/>
      <c r="J46" s="2748">
        <v>1</v>
      </c>
      <c r="K46" s="3232" t="s">
        <v>2016</v>
      </c>
      <c r="L46" s="3232"/>
      <c r="M46" s="3252"/>
      <c r="N46" s="3252"/>
      <c r="O46" s="3252"/>
    </row>
    <row r="47" spans="1:15" ht="12" customHeight="1">
      <c r="A47" s="165" t="s">
        <v>2017</v>
      </c>
      <c r="B47" s="166"/>
      <c r="C47" s="167"/>
      <c r="D47" s="1247" t="s">
        <v>2018</v>
      </c>
      <c r="E47" s="308" t="s">
        <v>2019</v>
      </c>
      <c r="F47" s="168" t="s">
        <v>2020</v>
      </c>
      <c r="G47" s="2771" t="s">
        <v>2021</v>
      </c>
      <c r="H47" s="2772"/>
      <c r="I47" s="164"/>
      <c r="J47" s="2748">
        <v>2</v>
      </c>
      <c r="K47" s="3232" t="s">
        <v>2022</v>
      </c>
      <c r="L47" s="3232"/>
      <c r="M47" s="3253">
        <f>'数据-取费表'!B2</f>
        <v>44525</v>
      </c>
      <c r="N47" s="3253"/>
      <c r="O47" s="3253"/>
    </row>
    <row r="48" spans="1:15" ht="25.5">
      <c r="A48" s="3198" t="s">
        <v>2023</v>
      </c>
      <c r="B48" s="3181"/>
      <c r="C48" s="3181"/>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2024</v>
      </c>
      <c r="H48" s="2775"/>
      <c r="I48" s="1992"/>
      <c r="J48" s="2748">
        <v>3</v>
      </c>
      <c r="K48" s="3232" t="s">
        <v>2025</v>
      </c>
      <c r="L48" s="3232"/>
      <c r="M48" s="3254">
        <f ca="1">H101</f>
        <v>52627</v>
      </c>
      <c r="N48" s="3254"/>
      <c r="O48" s="3254"/>
    </row>
    <row r="49" spans="1:35" ht="25.5" customHeight="1">
      <c r="A49" s="2556" t="s">
        <v>2026</v>
      </c>
      <c r="B49" s="3165" t="s">
        <v>2027</v>
      </c>
      <c r="C49" s="3165"/>
      <c r="D49" s="1775">
        <v>0</v>
      </c>
      <c r="E49" s="330" t="s">
        <v>2028</v>
      </c>
      <c r="F49" s="2649" t="s">
        <v>34</v>
      </c>
      <c r="G49" s="3238"/>
      <c r="H49" s="2528" t="s">
        <v>2875</v>
      </c>
      <c r="I49" s="2529"/>
      <c r="J49" s="2748">
        <v>4</v>
      </c>
      <c r="K49" s="3232" t="str">
        <f>IF(项目基本情况!E8="房地产抵押价值","房地产抵押价值","抵押担保权已注销时的房地产抵押价值")</f>
        <v>房地产抵押价值</v>
      </c>
      <c r="L49" s="3232"/>
      <c r="M49" s="3254">
        <f ca="1">IF(项目基本情况!E8="房地产抵押价值",H107,H109)</f>
        <v>52627</v>
      </c>
      <c r="N49" s="3254"/>
      <c r="O49" s="3254"/>
    </row>
    <row r="50" spans="1:35" ht="25.5" customHeight="1">
      <c r="A50" s="2776"/>
      <c r="B50" s="3165" t="s">
        <v>2029</v>
      </c>
      <c r="C50" s="3165"/>
      <c r="D50" s="2777"/>
      <c r="E50" s="338"/>
      <c r="F50" s="2649"/>
      <c r="G50" s="3239"/>
      <c r="H50" s="2530" t="s">
        <v>2876</v>
      </c>
      <c r="I50" s="2529"/>
      <c r="J50" s="3251" t="s">
        <v>2030</v>
      </c>
      <c r="K50" s="3251"/>
      <c r="L50" s="3251"/>
      <c r="M50" s="3251"/>
      <c r="N50" s="3251"/>
      <c r="O50" s="3251"/>
    </row>
    <row r="51" spans="1:35" ht="20.45" customHeight="1">
      <c r="A51" s="2778"/>
      <c r="B51" s="3165" t="s">
        <v>2031</v>
      </c>
      <c r="C51" s="3165"/>
      <c r="D51" s="1247"/>
      <c r="E51" s="333"/>
      <c r="F51" s="2649"/>
      <c r="G51" s="3240"/>
      <c r="H51" s="2530" t="s">
        <v>2877</v>
      </c>
      <c r="I51" s="2529"/>
      <c r="J51" s="2749" t="s">
        <v>2032</v>
      </c>
      <c r="K51" s="3232" t="s">
        <v>2033</v>
      </c>
      <c r="L51" s="3232"/>
      <c r="M51" s="2749" t="s">
        <v>2034</v>
      </c>
      <c r="N51" s="2749" t="s">
        <v>2035</v>
      </c>
      <c r="O51" s="2749" t="s">
        <v>2036</v>
      </c>
    </row>
    <row r="52" spans="1:35" ht="24" customHeight="1">
      <c r="A52" s="2558" t="s">
        <v>2037</v>
      </c>
      <c r="B52" s="3165" t="s">
        <v>2038</v>
      </c>
      <c r="C52" s="3165"/>
      <c r="D52" s="1247">
        <f ca="1">ROUND(D45*'数据-取费表'!B41/(1+'数据-取费表'!C42),0)</f>
        <v>2807</v>
      </c>
      <c r="E52" s="2557" t="s">
        <v>2039</v>
      </c>
      <c r="F52" s="2779">
        <f>'数据-取费表'!B41</f>
        <v>5.6000000000000001E-2</v>
      </c>
      <c r="G52" s="2780"/>
      <c r="H52" s="2769"/>
      <c r="I52" s="1993"/>
      <c r="J52" s="2748">
        <v>1</v>
      </c>
      <c r="K52" s="3233" t="s">
        <v>2040</v>
      </c>
      <c r="L52" s="3233"/>
      <c r="M52" s="2750" t="b">
        <f>D48</f>
        <v>0</v>
      </c>
      <c r="N52" s="2748" t="str">
        <f>E48</f>
        <v>销售额×税（费）率</v>
      </c>
      <c r="O52" s="2751">
        <f>F48</f>
        <v>5.6000000000000001E-2</v>
      </c>
    </row>
    <row r="53" spans="1:35" ht="12" customHeight="1">
      <c r="A53" s="2558" t="s">
        <v>2041</v>
      </c>
      <c r="B53" s="3191" t="s">
        <v>3036</v>
      </c>
      <c r="C53" s="3192"/>
      <c r="D53" s="1247">
        <f ca="1">ROUND(D45*'数据-取费表'!B41/(1+'数据-取费表'!C42),0)</f>
        <v>2807</v>
      </c>
      <c r="E53" s="2557" t="s">
        <v>2039</v>
      </c>
      <c r="F53" s="2779">
        <f>'数据-取费表'!B41</f>
        <v>5.6000000000000001E-2</v>
      </c>
      <c r="G53" s="2780"/>
      <c r="H53" s="2769"/>
      <c r="I53" s="1993"/>
      <c r="J53" s="2748">
        <v>2</v>
      </c>
      <c r="K53" s="3233" t="s">
        <v>2042</v>
      </c>
      <c r="L53" s="3233"/>
      <c r="M53" s="2750">
        <f t="shared" ref="M53:O54" ca="1" si="0">D55</f>
        <v>26</v>
      </c>
      <c r="N53" s="2748" t="str">
        <f t="shared" si="0"/>
        <v>销售额×税（费）率</v>
      </c>
      <c r="O53" s="2751" t="str">
        <f t="shared" si="0"/>
        <v>免征</v>
      </c>
    </row>
    <row r="54" spans="1:35" ht="12" customHeight="1">
      <c r="A54" s="2558" t="s">
        <v>2043</v>
      </c>
      <c r="B54" s="3191" t="s">
        <v>3037</v>
      </c>
      <c r="C54" s="3192"/>
      <c r="D54" s="1247">
        <f ca="1">C68</f>
        <v>2807</v>
      </c>
      <c r="E54" s="333" t="s">
        <v>2044</v>
      </c>
      <c r="F54" s="2779">
        <f>'数据-取费表'!B41</f>
        <v>5.6000000000000001E-2</v>
      </c>
      <c r="G54" s="2780"/>
      <c r="H54" s="2781"/>
      <c r="I54" s="1993"/>
      <c r="J54" s="2748">
        <v>3</v>
      </c>
      <c r="K54" s="3233" t="s">
        <v>2045</v>
      </c>
      <c r="L54" s="3233"/>
      <c r="M54" s="2750">
        <f t="shared" ca="1" si="0"/>
        <v>29787</v>
      </c>
      <c r="N54" s="2748" t="str">
        <f t="shared" si="0"/>
        <v>增值额×税（费）率</v>
      </c>
      <c r="O54" s="2752" t="str">
        <f t="shared" si="0"/>
        <v>免征</v>
      </c>
    </row>
    <row r="55" spans="1:35" ht="24" customHeight="1">
      <c r="A55" s="3180" t="s">
        <v>2046</v>
      </c>
      <c r="B55" s="3181"/>
      <c r="C55" s="3181"/>
      <c r="D55" s="2547">
        <f ca="1">IF(H55="个人住宅",0,ROUND(D45*I55,0))</f>
        <v>26</v>
      </c>
      <c r="E55" s="2557" t="s">
        <v>2047</v>
      </c>
      <c r="F55" s="2779" t="str">
        <f>IF(H55="正常",I55,"免征")</f>
        <v>免征</v>
      </c>
      <c r="G55" s="2780"/>
      <c r="H55" s="2775"/>
      <c r="I55" s="170">
        <f>'数据-取费表'!B49</f>
        <v>5.0000000000000001E-4</v>
      </c>
      <c r="J55" s="2748">
        <f>IF(H59="非个人房产","",4)</f>
        <v>4</v>
      </c>
      <c r="K55" s="3233" t="str">
        <f>IF(H59="非个人房产","——","个人所得税")</f>
        <v>个人所得税</v>
      </c>
      <c r="L55" s="3233"/>
      <c r="M55" s="2753">
        <f ca="1">D59</f>
        <v>501</v>
      </c>
      <c r="N55" s="2228" t="str">
        <f>E59</f>
        <v>差额计税</v>
      </c>
      <c r="O55" s="2754">
        <f>F59</f>
        <v>0.01</v>
      </c>
    </row>
    <row r="56" spans="1:35" ht="24.75">
      <c r="A56" s="3180" t="s">
        <v>2048</v>
      </c>
      <c r="B56" s="3181"/>
      <c r="C56" s="3181"/>
      <c r="D56" s="2547">
        <f ca="1">IF(H56="个人住宅",D57,D58)</f>
        <v>29787</v>
      </c>
      <c r="E56" s="2557" t="s">
        <v>2049</v>
      </c>
      <c r="F56" s="2779" t="str">
        <f>IF(H56="正常",F58,"免征")</f>
        <v>免征</v>
      </c>
      <c r="G56" s="2782" t="s">
        <v>2050</v>
      </c>
      <c r="H56" s="2783"/>
      <c r="I56" s="1994"/>
      <c r="J56" s="2748" t="str">
        <f>IF(项目基本情况!K6="上海银行",IF(J55="",4,J55+1),"")</f>
        <v/>
      </c>
      <c r="K56" s="3256" t="str">
        <f>IF(项目基本情况!K6="上海银行","其他处置费用","")</f>
        <v/>
      </c>
      <c r="L56" s="3257"/>
      <c r="M56" s="2750" t="str">
        <f>IF(项目基本情况!K6="上海银行",M69,"")</f>
        <v/>
      </c>
      <c r="N56" s="3256" t="str">
        <f>IF(项目基本情况!K6="上海银行","包含处置中涉及的律师、诉讼、拍卖、评估等费用","")</f>
        <v/>
      </c>
      <c r="O56" s="3259"/>
    </row>
    <row r="57" spans="1:35" ht="12.75">
      <c r="A57" s="2558" t="s">
        <v>2026</v>
      </c>
      <c r="B57" s="3191" t="s">
        <v>2051</v>
      </c>
      <c r="C57" s="3192"/>
      <c r="D57" s="1775">
        <v>0</v>
      </c>
      <c r="E57" s="330" t="s">
        <v>2028</v>
      </c>
      <c r="F57" s="308"/>
      <c r="G57" s="2780"/>
      <c r="H57" s="2784"/>
      <c r="I57" s="1994"/>
      <c r="J57" s="3233">
        <f>IF(AND(J55="",J56=""),4,IF(项目基本情况!K6="上海银行",结果表!J56+1,结果表!J55+1))</f>
        <v>5</v>
      </c>
      <c r="K57" s="3233" t="s">
        <v>2052</v>
      </c>
      <c r="L57" s="2755" t="s">
        <v>2053</v>
      </c>
      <c r="M57" s="2756"/>
      <c r="N57" s="2757">
        <f ca="1">SUMIF(M52:M56,"&lt;9e307")</f>
        <v>30314</v>
      </c>
      <c r="O57" s="2758"/>
      <c r="P57" s="2918">
        <f ca="1">N57/M49</f>
        <v>0.57601611340186598</v>
      </c>
    </row>
    <row r="58" spans="1:35" ht="24.75">
      <c r="A58" s="2558" t="s">
        <v>2037</v>
      </c>
      <c r="B58" s="3191" t="s">
        <v>2054</v>
      </c>
      <c r="C58" s="3165"/>
      <c r="D58" s="2547">
        <f ca="1">IF(H58="转让取得",C81,C97)</f>
        <v>29787</v>
      </c>
      <c r="E58" s="2557" t="s">
        <v>2049</v>
      </c>
      <c r="F58" s="308" t="s">
        <v>34</v>
      </c>
      <c r="G58" s="2780"/>
      <c r="H58" s="2783"/>
      <c r="I58" s="1994"/>
      <c r="J58" s="3233"/>
      <c r="K58" s="3233"/>
      <c r="L58" s="2755" t="s">
        <v>2055</v>
      </c>
      <c r="M58" s="2759"/>
      <c r="N58" s="2760" t="str">
        <f ca="1">NUMBERSTRING(INT(N57*10000),2)&amp;"元整"</f>
        <v>叁亿零叁佰壹拾肆万元整</v>
      </c>
      <c r="O58" s="2761"/>
    </row>
    <row r="59" spans="1:35" ht="24.75" thickBot="1">
      <c r="A59" s="3236" t="s">
        <v>2056</v>
      </c>
      <c r="B59" s="3237"/>
      <c r="C59" s="3237"/>
      <c r="D59" s="2785">
        <f ca="1">IF(H59="非个人房产","——",IF(H59="个人住宅（满五唯一有凭证）",0,IF(H59="个人其他（无凭证）",ROUND(D45*F59,0),ROUND(C67*F59,0))))</f>
        <v>501</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2050</v>
      </c>
      <c r="H59" s="2532"/>
      <c r="I59" s="2531" t="s">
        <v>2878</v>
      </c>
      <c r="J59" s="3234">
        <f>J57+1</f>
        <v>6</v>
      </c>
      <c r="K59" s="3233" t="s">
        <v>2057</v>
      </c>
      <c r="L59" s="2748" t="s">
        <v>2053</v>
      </c>
      <c r="M59" s="2762"/>
      <c r="N59" s="2763">
        <f ca="1">M49-N57</f>
        <v>22313</v>
      </c>
      <c r="O59" s="2764"/>
    </row>
    <row r="60" spans="1:35" ht="12" customHeight="1">
      <c r="A60" s="1995"/>
      <c r="B60" s="1933"/>
      <c r="C60" s="1933"/>
      <c r="D60" s="1933"/>
      <c r="E60" s="1763"/>
      <c r="F60" s="1994"/>
      <c r="G60" s="1994"/>
      <c r="H60" s="1996"/>
      <c r="I60" s="134"/>
      <c r="J60" s="3235"/>
      <c r="K60" s="3233"/>
      <c r="L60" s="2755" t="s">
        <v>2055</v>
      </c>
      <c r="M60" s="2759"/>
      <c r="N60" s="2760" t="str">
        <f ca="1">NUMBERSTRING(INT(N59*10000),2)&amp;"元整"</f>
        <v>贰亿贰仟叁佰壹拾叁万元整</v>
      </c>
      <c r="O60" s="2761"/>
    </row>
    <row r="61" spans="1:35" ht="13.5" thickBot="1">
      <c r="A61" s="3178" t="s">
        <v>2058</v>
      </c>
      <c r="B61" s="3178"/>
      <c r="C61" s="3178"/>
      <c r="D61" s="3178"/>
      <c r="E61" s="3178"/>
      <c r="F61" s="1994"/>
      <c r="G61" s="1994"/>
      <c r="H61" s="1996"/>
      <c r="I61" s="134"/>
      <c r="J61" s="2748">
        <f>J59+1</f>
        <v>7</v>
      </c>
      <c r="K61" s="3233" t="s">
        <v>2059</v>
      </c>
      <c r="L61" s="3233"/>
      <c r="M61" s="2765"/>
      <c r="N61" s="2766">
        <f ca="1">ROUND(N59*10000/'数据-汇总表'!E3,0)</f>
        <v>4472</v>
      </c>
      <c r="O61" s="2767"/>
    </row>
    <row r="62" spans="1:35" ht="12.75">
      <c r="A62" s="3196" t="s">
        <v>2060</v>
      </c>
      <c r="B62" s="3197"/>
      <c r="C62" s="2209"/>
      <c r="D62" s="2209" t="s">
        <v>2061</v>
      </c>
      <c r="E62" s="171" t="s">
        <v>2062</v>
      </c>
      <c r="F62" s="1994"/>
      <c r="G62" s="1994"/>
      <c r="H62" s="1996"/>
      <c r="I62" s="134"/>
    </row>
    <row r="63" spans="1:35" ht="12.75">
      <c r="A63" s="178" t="s">
        <v>775</v>
      </c>
      <c r="B63" s="172" t="s">
        <v>2063</v>
      </c>
      <c r="C63" s="2789">
        <f ca="1">ROUND((C64+C65)/(1+'数据-取费表'!C42),0)</f>
        <v>50121</v>
      </c>
      <c r="D63" s="172"/>
      <c r="E63" s="173"/>
      <c r="F63" s="1994"/>
      <c r="G63" s="1994"/>
      <c r="H63" s="1996"/>
      <c r="I63" s="134"/>
      <c r="J63" s="3258" t="s">
        <v>2064</v>
      </c>
      <c r="K63" s="1501" t="s">
        <v>2065</v>
      </c>
      <c r="L63" s="1501">
        <f ca="1">IF(M49&gt;10000,M49*0.5%,IF(AND(M49&gt;1000,M49&lt;=10000),M49*1%,IF(AND(M49&gt;100,M49&lt;=1000),M49*3%,IF(AND(M49&gt;10,M49&lt;=100),M49*5%,M49*8%))))</f>
        <v>263.13499999999999</v>
      </c>
      <c r="M63" s="308">
        <f ca="1">ROUND(L63,1)</f>
        <v>263.10000000000002</v>
      </c>
      <c r="N63" s="2768"/>
      <c r="Z63" s="1938"/>
      <c r="AI63" s="1939"/>
    </row>
    <row r="64" spans="1:35" ht="14.25" customHeight="1">
      <c r="A64" s="174" t="s">
        <v>770</v>
      </c>
      <c r="B64" s="175" t="s">
        <v>2066</v>
      </c>
      <c r="C64" s="2790">
        <f ca="1">D45</f>
        <v>52627</v>
      </c>
      <c r="D64" s="175" t="s">
        <v>32</v>
      </c>
      <c r="E64" s="177"/>
      <c r="F64" s="1994"/>
      <c r="G64" s="1994"/>
      <c r="H64" s="1996"/>
      <c r="I64" s="134"/>
      <c r="J64" s="3258"/>
      <c r="K64" s="1501" t="s">
        <v>2067</v>
      </c>
      <c r="L64" s="1501">
        <f ca="1">IF(M49&gt;2000,M49*0.5%,IF(AND(M49&gt;1000,M49&lt;=2000),M49*0.6%,IF(AND(M49&gt;500,M49&lt;=1000),M49*0.7%,IF(AND(M49&gt;200,M49&lt;=500),M49*0.8%,IF(AND(M49&gt;100,M49&lt;=200),M49*0.9%,IF(AND(M49&gt;50,M49&lt;=100),M49*1%,IF(AND(M49&gt;20,M49&lt;=50),M49*1.5%,IF(AND(M49&gt;10,M49&lt;=20),M49*2%,IF(AND(M49&gt;1,M49&lt;=10),M49*2.5%)))))))))</f>
        <v>263.13499999999999</v>
      </c>
      <c r="M64" s="308">
        <f t="shared" ref="M64:M65" ca="1" si="1">ROUND(L64,1)</f>
        <v>263.10000000000002</v>
      </c>
      <c r="N64" s="2769" t="s">
        <v>2068</v>
      </c>
      <c r="Z64" s="1938"/>
      <c r="AI64" s="1939"/>
    </row>
    <row r="65" spans="1:35" ht="14.25" customHeight="1">
      <c r="A65" s="174" t="s">
        <v>771</v>
      </c>
      <c r="B65" s="175" t="s">
        <v>2069</v>
      </c>
      <c r="C65" s="2791"/>
      <c r="D65" s="175"/>
      <c r="E65" s="177"/>
      <c r="F65" s="1994"/>
      <c r="G65" s="1994"/>
      <c r="H65" s="1996"/>
      <c r="I65" s="134"/>
      <c r="J65" s="3258"/>
      <c r="K65" s="1501" t="s">
        <v>2070</v>
      </c>
      <c r="L65" s="1501">
        <f ca="1">IF(M49&gt;1000,M49*0.1%,IF(AND(M49&gt;500,M49&lt;=1000),M49*0.5%,IF(AND(M49&gt;50,M49&lt;=500),M49*1%,IF(AND(M49&gt;1,M49&lt;=50),M49*1.5%))))</f>
        <v>52.627000000000002</v>
      </c>
      <c r="M65" s="308">
        <f t="shared" ca="1" si="1"/>
        <v>52.6</v>
      </c>
      <c r="N65" s="2769" t="s">
        <v>2068</v>
      </c>
      <c r="Z65" s="1938"/>
      <c r="AI65" s="1939"/>
    </row>
    <row r="66" spans="1:35" ht="14.25" customHeight="1">
      <c r="A66" s="178" t="s">
        <v>772</v>
      </c>
      <c r="B66" s="179" t="s">
        <v>2071</v>
      </c>
      <c r="C66" s="2792"/>
      <c r="D66" s="179" t="s">
        <v>32</v>
      </c>
      <c r="E66" s="1509" t="s">
        <v>1337</v>
      </c>
      <c r="F66" s="1994"/>
      <c r="G66" s="1994"/>
      <c r="H66" s="1996"/>
      <c r="I66" s="134"/>
      <c r="J66" s="3258"/>
      <c r="K66" s="1501" t="s">
        <v>2072</v>
      </c>
      <c r="L66" s="1501">
        <f ca="1">M49*0.5%</f>
        <v>263.13499999999999</v>
      </c>
      <c r="M66" s="308">
        <f ca="1">IF(L66&gt;0.5,0.5,ROUND(L66,0))</f>
        <v>0.5</v>
      </c>
      <c r="N66" s="2769" t="s">
        <v>2073</v>
      </c>
      <c r="Z66" s="1938"/>
      <c r="AI66" s="1939"/>
    </row>
    <row r="67" spans="1:35" ht="14.25" customHeight="1">
      <c r="A67" s="178" t="s">
        <v>773</v>
      </c>
      <c r="B67" s="179" t="s">
        <v>2074</v>
      </c>
      <c r="C67" s="2793">
        <f ca="1">C63-C66</f>
        <v>50121</v>
      </c>
      <c r="D67" s="175" t="s">
        <v>32</v>
      </c>
      <c r="E67" s="177"/>
      <c r="F67" s="1994"/>
      <c r="G67" s="1994"/>
      <c r="H67" s="1996"/>
      <c r="I67" s="134"/>
      <c r="J67" s="3258"/>
      <c r="K67" s="1501" t="s">
        <v>2075</v>
      </c>
      <c r="L67" s="1501">
        <f ca="1">IF(M49&gt;=10000,(8.25+(M49-10000)*0.01%),IF(AND(M49&gt;=8000,M49&lt;10000),(7.85+(M49-8000)*0.02%),IF(AND(M49&gt;=5000,M49&lt;8000),(6.65+(M49-5000)*0.04%),IF(AND(M49&gt;=2000,M49&lt;5000),(4.25+(PM49-2000)*0.08%),IF(AND(M49&gt;=1000,M49&lt;2000),(2.75+(M49-1000)*0.15%),IF(AND(M49&gt;=100,M49&lt;1000),(0.5+(M49-100)*0.25%),IF(AND(M49&gt;0,M49&lt;100),M49*0.5%)))))))</f>
        <v>12.512700000000001</v>
      </c>
      <c r="M67" s="308">
        <f ca="1">ROUND(L67*0.9,1)</f>
        <v>11.3</v>
      </c>
      <c r="N67" s="2768"/>
      <c r="Z67" s="1938"/>
      <c r="AI67" s="1939"/>
    </row>
    <row r="68" spans="1:35" ht="14.25" customHeight="1" thickBot="1">
      <c r="A68" s="181" t="s">
        <v>774</v>
      </c>
      <c r="B68" s="182" t="s">
        <v>2076</v>
      </c>
      <c r="C68" s="2794">
        <f ca="1">IF(C67&lt;=0,0,ROUND(C67*D68,0))</f>
        <v>2807</v>
      </c>
      <c r="D68" s="2795">
        <f>'数据-取费表'!B41</f>
        <v>5.6000000000000001E-2</v>
      </c>
      <c r="E68" s="184"/>
      <c r="F68" s="1994"/>
      <c r="G68" s="1994"/>
      <c r="H68" s="1996"/>
      <c r="I68" s="134"/>
      <c r="J68" s="3258"/>
      <c r="K68" s="1501" t="s">
        <v>2077</v>
      </c>
      <c r="L68" s="1501">
        <f ca="1">IF(M49&gt;10000,M49*0.5%,IF(AND(M49&gt;5000,M49&lt;=10000),M49*1%,IF(AND(M49&gt;1000,M49&lt;=5000),M49*2%,IF(AND(M49&gt;200,M49&lt;=1000),M49*3%,M49*5%))))</f>
        <v>263.13499999999999</v>
      </c>
      <c r="M68" s="308">
        <f ca="1">ROUND(L68,1)</f>
        <v>263.10000000000002</v>
      </c>
      <c r="N68" s="2768"/>
      <c r="Z68" s="1938"/>
      <c r="AI68" s="1939"/>
    </row>
    <row r="69" spans="1:35" s="1958" customFormat="1" ht="16.5" customHeight="1">
      <c r="A69" s="1997"/>
      <c r="B69" s="1998"/>
      <c r="C69" s="1999"/>
      <c r="D69" s="2000"/>
      <c r="E69" s="2001"/>
      <c r="F69" s="1763"/>
      <c r="G69" s="1763"/>
      <c r="H69" s="1762"/>
      <c r="I69" s="1933"/>
      <c r="J69" s="3258"/>
      <c r="K69" s="1501" t="s">
        <v>2078</v>
      </c>
      <c r="L69" s="1501"/>
      <c r="M69" s="308">
        <f ca="1">ROUND(SUM(M63:M68),0)</f>
        <v>854</v>
      </c>
      <c r="N69" s="2770">
        <f ca="1">M69/M49</f>
        <v>1.6227411784825278E-2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7" t="s">
        <v>2079</v>
      </c>
      <c r="B70" s="3218"/>
      <c r="C70" s="3218"/>
      <c r="D70" s="3218"/>
      <c r="E70" s="3218"/>
      <c r="F70" s="3218"/>
      <c r="G70" s="3218"/>
      <c r="H70" s="3218"/>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6" t="s">
        <v>2060</v>
      </c>
      <c r="B71" s="3197"/>
      <c r="C71" s="2209"/>
      <c r="D71" s="2209" t="s">
        <v>2061</v>
      </c>
      <c r="E71" s="185" t="s">
        <v>2062</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3">
        <f ca="1">ROUND(D45/(1+'数据-取费表'!C42),0)</f>
        <v>50121</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3">
        <f ca="1">C74+C78</f>
        <v>301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191" t="s">
        <v>2087</v>
      </c>
      <c r="F76" s="3165"/>
      <c r="G76" s="3165"/>
      <c r="H76" s="321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301</v>
      </c>
      <c r="D78" s="2802">
        <f>'数据-取费表'!B43</f>
        <v>6.000000000000001E-3</v>
      </c>
      <c r="E78" s="3175" t="s">
        <v>2091</v>
      </c>
      <c r="F78" s="3176"/>
      <c r="G78" s="3176"/>
      <c r="H78" s="318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3">
        <f ca="1">C72-C73</f>
        <v>49820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3">
        <f ca="1">IF(C79&lt;=0,0,C79/C73)</f>
        <v>165.51495016611295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4">
        <f ca="1">ROUND(IF(C79&lt;=0,0,IF(C80&gt;=200%,C79*60%-C73*35%,IF(C80&gt;=100%,C79*50%-C73*15%,IF(C80&gt;=50%,C79*40%-C73*5%,IF(C80&lt;50%,C79*30%,0))))),0)</f>
        <v>29787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7" t="s">
        <v>2095</v>
      </c>
      <c r="B83" s="3218"/>
      <c r="C83" s="3218"/>
      <c r="D83" s="3218"/>
      <c r="E83" s="3218"/>
      <c r="F83" s="3218"/>
      <c r="G83" s="3218"/>
      <c r="H83" s="321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6" t="s">
        <v>2060</v>
      </c>
      <c r="B84" s="3197"/>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3">
        <f ca="1">ROUND(D45/(1+'数据-取费表'!C42),0)</f>
        <v>50121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3">
        <f ca="1">IF(H88="仅含出让金",C87+C90+C91+C92+C93+C94,C87+C91+C92+C93+C94)</f>
        <v>301</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7"/>
      <c r="D88" s="2802"/>
      <c r="E88" s="199" t="s">
        <v>2098</v>
      </c>
      <c r="F88" s="2550"/>
      <c r="G88" s="200" t="s">
        <v>2099</v>
      </c>
      <c r="H88" s="2010"/>
      <c r="I88" s="2007"/>
      <c r="J88" s="2746"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1">
        <f>ROUND(C88*D89,0)</f>
        <v>0</v>
      </c>
      <c r="D89" s="2802">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7"/>
      <c r="D90" s="2802"/>
      <c r="E90" s="199" t="str">
        <f>IF(H88="-","土地取得成本中已包含该笔费用"," ")</f>
        <v xml:space="preserve"> </v>
      </c>
      <c r="F90" s="2550"/>
      <c r="G90" s="3260" t="s">
        <v>2870</v>
      </c>
      <c r="H90" s="3261"/>
      <c r="I90" s="2007"/>
      <c r="J90" s="2746"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0</v>
      </c>
      <c r="D91" s="2802"/>
      <c r="E91" s="3175" t="s">
        <v>2104</v>
      </c>
      <c r="F91" s="3176"/>
      <c r="G91" s="317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0</v>
      </c>
      <c r="D92" s="2808"/>
      <c r="E92" s="3175" t="s">
        <v>2107</v>
      </c>
      <c r="F92" s="3176"/>
      <c r="G92" s="3176"/>
      <c r="H92" s="3185"/>
      <c r="I92" s="2007"/>
      <c r="J92" s="2747"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301</v>
      </c>
      <c r="D93" s="2802">
        <f>'数据-取费表'!B43</f>
        <v>6.000000000000001E-3</v>
      </c>
      <c r="E93" s="3175" t="s">
        <v>2091</v>
      </c>
      <c r="F93" s="3176"/>
      <c r="G93" s="3176"/>
      <c r="H93" s="318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0</v>
      </c>
      <c r="D94" s="2802">
        <v>0.2</v>
      </c>
      <c r="E94" s="3186" t="s">
        <v>2111</v>
      </c>
      <c r="F94" s="3187"/>
      <c r="G94" s="3187"/>
      <c r="H94" s="318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3">
        <f ca="1">ROUND(C85-C86,0)</f>
        <v>49820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3">
        <f ca="1">IF(C95&lt;=0,0,C95/C86)</f>
        <v>165.51495016611295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4">
        <f ca="1">ROUND(IF(C95&lt;=0,0,IF(C96&gt;=200%,C95*60%-C86*35%,IF(C96&gt;=100%,C95*50%-C86*15%,IF(C96&gt;=50%,C95*40%-C86*5%,IF(C96&lt;50%,C95*30%,0))))),0)</f>
        <v>29787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9" t="s">
        <v>2113</v>
      </c>
      <c r="B100" s="3160"/>
      <c r="C100" s="3160"/>
      <c r="D100" s="3177"/>
      <c r="E100" s="3160" t="s">
        <v>2114</v>
      </c>
      <c r="F100" s="3160"/>
      <c r="G100" s="3160"/>
      <c r="H100" s="3177"/>
      <c r="I100" s="134"/>
    </row>
    <row r="101" spans="1:35" ht="18.75" customHeight="1">
      <c r="A101" s="3241" t="s">
        <v>2115</v>
      </c>
      <c r="B101" s="3242"/>
      <c r="C101" s="2810" t="str">
        <f>C4</f>
        <v>成本法</v>
      </c>
      <c r="D101" s="2811" t="str">
        <f>D4</f>
        <v>成本法</v>
      </c>
      <c r="E101" s="3255" t="s">
        <v>2116</v>
      </c>
      <c r="F101" s="3209"/>
      <c r="G101" s="2013" t="s">
        <v>2117</v>
      </c>
      <c r="H101" s="2820">
        <f ca="1">H118</f>
        <v>52627</v>
      </c>
      <c r="I101" s="134"/>
    </row>
    <row r="102" spans="1:35" ht="18.75" customHeight="1">
      <c r="A102" s="3211" t="s">
        <v>2118</v>
      </c>
      <c r="B102" s="2809" t="s">
        <v>2117</v>
      </c>
      <c r="C102" s="2810">
        <f ca="1">C19</f>
        <v>52627</v>
      </c>
      <c r="D102" s="2811">
        <f ca="1">D19</f>
        <v>52627</v>
      </c>
      <c r="E102" s="3255"/>
      <c r="F102" s="3209"/>
      <c r="G102" s="2013" t="s">
        <v>2119</v>
      </c>
      <c r="H102" s="2780">
        <f ca="1">I118</f>
        <v>10547</v>
      </c>
      <c r="I102" s="134"/>
    </row>
    <row r="103" spans="1:35" ht="42.75" customHeight="1">
      <c r="A103" s="3211"/>
      <c r="B103" s="2809" t="s">
        <v>2119</v>
      </c>
      <c r="C103" s="2812">
        <f ca="1">C20</f>
        <v>10547</v>
      </c>
      <c r="D103" s="2813">
        <f ca="1">D20</f>
        <v>10547</v>
      </c>
      <c r="E103" s="3249" t="s">
        <v>2120</v>
      </c>
      <c r="F103" s="3250"/>
      <c r="G103" s="2014" t="s">
        <v>2121</v>
      </c>
      <c r="H103" s="2820">
        <f>IF(D36="正常操作",H104+H105+H106,H105+H106)</f>
        <v>0</v>
      </c>
      <c r="I103" s="134"/>
    </row>
    <row r="104" spans="1:35" ht="18.75" customHeight="1">
      <c r="A104" s="3211" t="s">
        <v>2122</v>
      </c>
      <c r="B104" s="2814" t="s">
        <v>2117</v>
      </c>
      <c r="C104" s="2815">
        <f ca="1">H118</f>
        <v>52627</v>
      </c>
      <c r="D104" s="2816"/>
      <c r="E104" s="1860" t="s">
        <v>2123</v>
      </c>
      <c r="F104" s="1851"/>
      <c r="G104" s="2014" t="s">
        <v>2121</v>
      </c>
      <c r="H104" s="2821">
        <f>IF(D36="同一抵押权人同一抵押物续贷",C36&amp;"（续贷，未扣减，详见特别提示）",C36)</f>
        <v>0</v>
      </c>
      <c r="I104" s="134"/>
    </row>
    <row r="105" spans="1:35" ht="18.75" customHeight="1" thickBot="1">
      <c r="A105" s="3212"/>
      <c r="B105" s="2817" t="s">
        <v>2119</v>
      </c>
      <c r="C105" s="2818">
        <f ca="1">I118</f>
        <v>10547</v>
      </c>
      <c r="D105" s="2819"/>
      <c r="E105" s="1860" t="s">
        <v>2124</v>
      </c>
      <c r="F105" s="1851"/>
      <c r="G105" s="2014" t="s">
        <v>2121</v>
      </c>
      <c r="H105" s="2822">
        <f>C37</f>
        <v>0</v>
      </c>
      <c r="I105" s="134"/>
    </row>
    <row r="106" spans="1:35" ht="18.75" customHeight="1">
      <c r="A106" s="1933" t="s">
        <v>2125</v>
      </c>
      <c r="B106" s="1933"/>
      <c r="C106" s="1933"/>
      <c r="D106" s="1933"/>
      <c r="E106" s="2015" t="s">
        <v>2126</v>
      </c>
      <c r="F106" s="1851"/>
      <c r="G106" s="2014" t="s">
        <v>2121</v>
      </c>
      <c r="H106" s="2822">
        <f>C38</f>
        <v>0</v>
      </c>
      <c r="I106" s="134"/>
    </row>
    <row r="107" spans="1:35" ht="18.75" customHeight="1">
      <c r="A107" s="134"/>
      <c r="B107" s="134"/>
      <c r="C107" s="134"/>
      <c r="D107" s="134"/>
      <c r="E107" s="3208" t="str">
        <f>IF(项目基本情况!E8="已注销","——","3.房地产抵押价值")</f>
        <v>3.房地产抵押价值</v>
      </c>
      <c r="F107" s="3209"/>
      <c r="G107" s="2013" t="s">
        <v>2117</v>
      </c>
      <c r="H107" s="2820">
        <f ca="1">IF(E107="——","——",H101-H103)</f>
        <v>52627</v>
      </c>
      <c r="I107" s="134"/>
    </row>
    <row r="108" spans="1:35" ht="18.75" customHeight="1">
      <c r="A108" s="134"/>
      <c r="B108" s="134"/>
      <c r="C108" s="134"/>
      <c r="D108" s="134"/>
      <c r="E108" s="3208"/>
      <c r="F108" s="3209"/>
      <c r="G108" s="2013" t="s">
        <v>2119</v>
      </c>
      <c r="H108" s="2780">
        <f ca="1">ROUND(H107*10000/'数据-汇总表'!E3,0)</f>
        <v>10547</v>
      </c>
      <c r="I108" s="134"/>
    </row>
    <row r="109" spans="1:35" ht="18.75" customHeight="1">
      <c r="A109" s="134"/>
      <c r="B109" s="134"/>
      <c r="C109" s="134"/>
      <c r="D109" s="134"/>
      <c r="E109" s="3208" t="str">
        <f>IF(项目基本情况!E8="已注销及未注销","4.抵押担保权已注销时的房地产抵押价值",IF(项目基本情况!E8="已注销","3.抵押担保权已注销时的房地产抵押价值","——"))</f>
        <v>——</v>
      </c>
      <c r="F109" s="3209"/>
      <c r="G109" s="2013" t="s">
        <v>2117</v>
      </c>
      <c r="H109" s="2823" t="str">
        <f>IF(E109="——","——",H101-H105-H106)</f>
        <v>——</v>
      </c>
      <c r="I109" s="134"/>
    </row>
    <row r="110" spans="1:35" ht="18.75" customHeight="1">
      <c r="A110" s="134"/>
      <c r="B110" s="134"/>
      <c r="C110" s="134"/>
      <c r="D110" s="134"/>
      <c r="E110" s="3208"/>
      <c r="F110" s="3209"/>
      <c r="G110" s="2013" t="s">
        <v>2119</v>
      </c>
      <c r="H110" s="2780" t="str">
        <f>IF(H109="——","——",ROUND(H109*10000/'数据-汇总表'!E3,0))</f>
        <v>——</v>
      </c>
      <c r="I110" s="134"/>
    </row>
    <row r="111" spans="1:35" ht="18.75" customHeight="1">
      <c r="A111" s="134"/>
      <c r="B111" s="134"/>
      <c r="C111" s="134"/>
      <c r="D111" s="134"/>
      <c r="E111" s="3243" t="str">
        <f>IF(项目基本情况!E9="抵押净值",IF(OR(项目基本情况!E8="已注销",项目基本情况!E8="房地产抵押价值"),"4.抵押净值","5.抵押净值"),"——")</f>
        <v>——</v>
      </c>
      <c r="F111" s="3210"/>
      <c r="G111" s="2013" t="s">
        <v>2117</v>
      </c>
      <c r="H111" s="2820" t="str">
        <f>IF(E111="——","——",N59)</f>
        <v>——</v>
      </c>
      <c r="I111" s="134"/>
    </row>
    <row r="112" spans="1:35" ht="18.75" customHeight="1" thickBot="1">
      <c r="A112" s="134"/>
      <c r="B112" s="134"/>
      <c r="C112" s="134"/>
      <c r="D112" s="134"/>
      <c r="E112" s="3244"/>
      <c r="F112" s="3245"/>
      <c r="G112" s="2016" t="s">
        <v>2119</v>
      </c>
      <c r="H112" s="2824" t="str">
        <f>IF(E111="——","——",N61)</f>
        <v>——</v>
      </c>
      <c r="I112" s="134"/>
    </row>
    <row r="113" spans="1:27" ht="18.75" customHeight="1">
      <c r="A113" s="134"/>
      <c r="B113" s="134"/>
      <c r="C113" s="134"/>
      <c r="D113" s="134"/>
      <c r="E113" s="3213" t="s">
        <v>2125</v>
      </c>
      <c r="F113" s="3213"/>
      <c r="G113" s="3213"/>
      <c r="H113" s="3213"/>
      <c r="I113" s="134"/>
    </row>
    <row r="114" spans="1:27" ht="3.75" customHeight="1">
      <c r="A114" s="1933"/>
      <c r="B114" s="1933"/>
      <c r="C114" s="1933"/>
      <c r="D114" s="1933"/>
      <c r="E114" s="1995"/>
      <c r="F114" s="1995"/>
      <c r="G114" s="1995"/>
      <c r="H114" s="1995"/>
      <c r="I114" s="1933"/>
    </row>
    <row r="115" spans="1:27" ht="18.75" customHeight="1">
      <c r="A115" s="3226" t="s">
        <v>2127</v>
      </c>
      <c r="B115" s="3227"/>
      <c r="C115" s="3227"/>
      <c r="D115" s="3227"/>
      <c r="E115" s="3227"/>
      <c r="F115" s="3227"/>
      <c r="G115" s="3227"/>
      <c r="H115" s="3227"/>
      <c r="I115" s="3228"/>
    </row>
    <row r="116" spans="1:27" ht="27" customHeight="1">
      <c r="A116" s="3179" t="s">
        <v>2128</v>
      </c>
      <c r="B116" s="3214" t="s">
        <v>2129</v>
      </c>
      <c r="C116" s="3214" t="s">
        <v>2130</v>
      </c>
      <c r="D116" s="3230" t="s">
        <v>2131</v>
      </c>
      <c r="E116" s="3231"/>
      <c r="F116" s="3222" t="s">
        <v>2132</v>
      </c>
      <c r="G116" s="3222"/>
      <c r="H116" s="3179" t="s">
        <v>2133</v>
      </c>
      <c r="I116" s="3179"/>
    </row>
    <row r="117" spans="1:27" ht="18.75" customHeight="1">
      <c r="A117" s="3179"/>
      <c r="B117" s="3215"/>
      <c r="C117" s="3215"/>
      <c r="D117" s="2552" t="s">
        <v>2134</v>
      </c>
      <c r="E117" s="2552" t="s">
        <v>2135</v>
      </c>
      <c r="F117" s="2552" t="s">
        <v>2134</v>
      </c>
      <c r="G117" s="2552" t="s">
        <v>2136</v>
      </c>
      <c r="H117" s="2552" t="s">
        <v>2134</v>
      </c>
      <c r="I117" s="2552" t="s">
        <v>2136</v>
      </c>
    </row>
    <row r="118" spans="1:27" ht="24.75" customHeight="1">
      <c r="A118" s="2825" t="str">
        <f>项目基本情况!S2</f>
        <v>山东省威海市远遥路-1-1号房地产</v>
      </c>
      <c r="B118" s="2552">
        <f>M18</f>
        <v>49897.21</v>
      </c>
      <c r="C118" s="2552">
        <f>M19</f>
        <v>84549</v>
      </c>
      <c r="D118" s="2552">
        <f ca="1">ROUND(IF(D32="总价",C34,E118*B118/10000),0)</f>
        <v>13736</v>
      </c>
      <c r="E118" s="2552">
        <f ca="1">ROUND(IF(C33="自定义",IF(D32="楼面单价",C34,D118*10000/B118),I118-G118),0)</f>
        <v>2753</v>
      </c>
      <c r="F118" s="2552">
        <f ca="1">ROUND(IF(D32="总价",C35,G118*B118/10000),0)</f>
        <v>38891</v>
      </c>
      <c r="G118" s="2552">
        <f ca="1">ROUND(IF(D32="楼面单价",C35,F118*10000/B118),0)</f>
        <v>7794</v>
      </c>
      <c r="H118" s="2552">
        <f ca="1">ROUND(IF(D32="总价",C32,I118*B118/10000),0)</f>
        <v>52627</v>
      </c>
      <c r="I118" s="2552">
        <f ca="1">ROUND(IF(D32="楼面单价",C32,H118*10000/B118),0)</f>
        <v>10547</v>
      </c>
    </row>
    <row r="119" spans="1:27" ht="18.75" customHeight="1">
      <c r="A119" s="3179" t="s">
        <v>2137</v>
      </c>
      <c r="B119" s="3179"/>
      <c r="C119" s="3179"/>
      <c r="D119" s="3219" t="str">
        <f ca="1">NUMBERSTRING(INT(D118*10000),2)&amp;"元整"</f>
        <v>壹亿叁仟柒佰叁拾陆万元整</v>
      </c>
      <c r="E119" s="3221"/>
      <c r="F119" s="3219" t="str">
        <f ca="1">NUMBERSTRING(INT(F118*10000),2)&amp;"元整"</f>
        <v>叁亿捌仟捌佰玖拾壹万元整</v>
      </c>
      <c r="G119" s="3221"/>
      <c r="H119" s="3219" t="str">
        <f ca="1">NUMBERSTRING(INT(H118*10000),2)&amp;"元整"</f>
        <v>伍亿贰仟陆佰贰拾柒万元整</v>
      </c>
      <c r="I119" s="3221"/>
    </row>
    <row r="120" spans="1:27" ht="18.75" customHeight="1">
      <c r="A120" s="3246" t="str">
        <f>IF(项目基本情况!B9="房地产市场价值","",MID(E103,3,LEN(E103)-2))</f>
        <v>估价师知悉的法定优先受偿款</v>
      </c>
      <c r="B120" s="3247"/>
      <c r="C120" s="3248"/>
      <c r="D120" s="3246">
        <f>H103</f>
        <v>0</v>
      </c>
      <c r="E120" s="3247"/>
      <c r="F120" s="3247"/>
      <c r="G120" s="3247"/>
      <c r="H120" s="3247"/>
      <c r="I120" s="324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3" t="s">
        <v>2137</v>
      </c>
      <c r="B121" s="3224"/>
      <c r="C121" s="3225"/>
      <c r="D121" s="3219" t="str">
        <f>IF(D120=0,"零元整",NUMBERSTRING(INT(D120*10000),2)&amp;"元整")</f>
        <v>零元整</v>
      </c>
      <c r="E121" s="3220"/>
      <c r="F121" s="3220"/>
      <c r="G121" s="3220"/>
      <c r="H121" s="3220"/>
      <c r="I121" s="3221"/>
      <c r="AA121" s="734"/>
    </row>
    <row r="122" spans="1:27" ht="18.75" customHeight="1">
      <c r="A122" s="3210" t="str">
        <f>IF(项目基本情况!B9="房地产市场价值","",MID(E107,3,LEN(E107)-2))</f>
        <v>房地产抵押价值</v>
      </c>
      <c r="B122" s="3210"/>
      <c r="C122" s="3210"/>
      <c r="D122" s="3246">
        <f ca="1">H107</f>
        <v>52627</v>
      </c>
      <c r="E122" s="3247"/>
      <c r="F122" s="3247"/>
      <c r="G122" s="3247"/>
      <c r="H122" s="3247"/>
      <c r="I122" s="3248"/>
      <c r="AA122" s="734"/>
    </row>
    <row r="123" spans="1:27" ht="18.75" customHeight="1">
      <c r="A123" s="3179" t="s">
        <v>2137</v>
      </c>
      <c r="B123" s="3179"/>
      <c r="C123" s="3179"/>
      <c r="D123" s="3219" t="str">
        <f ca="1">NUMBERSTRING(INT(D122*10000),2)&amp;"元整"</f>
        <v>伍亿贰仟陆佰贰拾柒万元整</v>
      </c>
      <c r="E123" s="3220"/>
      <c r="F123" s="3220"/>
      <c r="G123" s="3220"/>
      <c r="H123" s="3220"/>
      <c r="I123" s="3221"/>
      <c r="AA123" s="734"/>
    </row>
    <row r="124" spans="1:27" ht="18.75" customHeight="1">
      <c r="A124" s="3210" t="str">
        <f>IF(项目基本情况!B9="房地产市场价值","",MID(E109,3,LEN(E109)-2))</f>
        <v/>
      </c>
      <c r="B124" s="3210"/>
      <c r="C124" s="3210"/>
      <c r="D124" s="3246" t="str">
        <f>H109</f>
        <v>——</v>
      </c>
      <c r="E124" s="3247"/>
      <c r="F124" s="3247"/>
      <c r="G124" s="3247"/>
      <c r="H124" s="3247"/>
      <c r="I124" s="3248"/>
      <c r="AA124" s="734"/>
    </row>
    <row r="125" spans="1:27" ht="18.75" customHeight="1">
      <c r="A125" s="3179" t="s">
        <v>2137</v>
      </c>
      <c r="B125" s="3179"/>
      <c r="C125" s="3179"/>
      <c r="D125" s="3219" t="e">
        <f>NUMBERSTRING(INT(D124*10000),2)&amp;"元整"</f>
        <v>#VALUE!</v>
      </c>
      <c r="E125" s="3220"/>
      <c r="F125" s="3220"/>
      <c r="G125" s="3220"/>
      <c r="H125" s="3220"/>
      <c r="I125" s="3221"/>
      <c r="AA125" s="734"/>
    </row>
    <row r="126" spans="1:27" ht="18.75" customHeight="1">
      <c r="A126" s="3210" t="str">
        <f>IF(项目基本情况!B9="房地产市场价值","",MID(E111,3,LEN(E111)-2))</f>
        <v/>
      </c>
      <c r="B126" s="3210"/>
      <c r="C126" s="3210"/>
      <c r="D126" s="3246" t="str">
        <f>H111</f>
        <v>——</v>
      </c>
      <c r="E126" s="3247"/>
      <c r="F126" s="3247"/>
      <c r="G126" s="3247"/>
      <c r="H126" s="3247"/>
      <c r="I126" s="3248"/>
      <c r="AA126" s="734"/>
    </row>
    <row r="127" spans="1:27" ht="18.75" customHeight="1">
      <c r="A127" s="3179" t="s">
        <v>2137</v>
      </c>
      <c r="B127" s="3179"/>
      <c r="C127" s="3179"/>
      <c r="D127" s="3219" t="e">
        <f>NUMBERSTRING(INT(D126*10000),2)&amp;"元整"</f>
        <v>#VALUE!</v>
      </c>
      <c r="E127" s="3220"/>
      <c r="F127" s="3220"/>
      <c r="G127" s="3220"/>
      <c r="H127" s="3220"/>
      <c r="I127" s="3221"/>
      <c r="AA127" s="734"/>
    </row>
    <row r="128" spans="1:27" ht="21.75" customHeight="1">
      <c r="A128" s="3229" t="s">
        <v>2138</v>
      </c>
      <c r="B128" s="3229"/>
      <c r="C128" s="3229"/>
      <c r="D128" s="3229"/>
      <c r="E128" s="3229"/>
      <c r="F128" s="3229"/>
      <c r="G128" s="3229"/>
      <c r="H128" s="3229"/>
      <c r="I128" s="3229"/>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130" zoomScaleNormal="70" zoomScaleSheetLayoutView="130" workbookViewId="0">
      <selection activeCell="D55" sqref="D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52627</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10547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11124</v>
      </c>
      <c r="D5" s="217" t="s">
        <v>2154</v>
      </c>
      <c r="E5" s="218" t="s">
        <v>2155</v>
      </c>
      <c r="F5" s="218" t="s">
        <v>2156</v>
      </c>
      <c r="G5" s="219"/>
    </row>
    <row r="6" spans="1:9" s="220" customFormat="1" ht="13.5" customHeight="1">
      <c r="A6" s="886" t="s">
        <v>2157</v>
      </c>
      <c r="B6" s="221" t="s">
        <v>2158</v>
      </c>
      <c r="C6" s="222">
        <f>'土地比较法-住宅、综合'!B2</f>
        <v>9560</v>
      </c>
      <c r="D6" s="223"/>
      <c r="E6" s="224"/>
      <c r="F6" s="224"/>
      <c r="G6" s="225"/>
    </row>
    <row r="7" spans="1:9" s="220" customFormat="1" ht="13.5" customHeight="1">
      <c r="A7" s="886" t="s">
        <v>2159</v>
      </c>
      <c r="B7" s="221" t="s">
        <v>2160</v>
      </c>
      <c r="C7" s="226">
        <f>ROUND(C6*F7,0)</f>
        <v>292</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1272</v>
      </c>
      <c r="D8" s="228"/>
      <c r="E8" s="226"/>
      <c r="F8" s="227"/>
      <c r="G8" s="2042" t="s">
        <v>3256</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3" t="s">
        <v>3257</v>
      </c>
      <c r="H9" s="1299"/>
      <c r="I9" s="2044" t="s">
        <v>2164</v>
      </c>
    </row>
    <row r="10" spans="1:9" s="220" customFormat="1" ht="13.5" customHeight="1">
      <c r="A10" s="887" t="s">
        <v>801</v>
      </c>
      <c r="B10" s="230" t="s">
        <v>2165</v>
      </c>
      <c r="C10" s="231">
        <f ca="1">ROUND(D10*E10/10000,0)</f>
        <v>1272</v>
      </c>
      <c r="D10" s="954">
        <f ca="1">IF(B1="",'数据-汇总表'!E6,IF(INDIRECT("'数据-取费表'!c"&amp;$G$1)="住宅",INDIRECT("'数据-取费表'!s"&amp;$G$1),INDIRECT("'数据-取费表'!k"&amp;$G$1)+INDIRECT("'数据-取费表'!s"&amp;$G$1)))</f>
        <v>49897.21</v>
      </c>
      <c r="E10" s="231">
        <f>'数据-取费表'!B28</f>
        <v>255</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49897.21</v>
      </c>
      <c r="E19" s="217">
        <f>'数据-取费表'!B31</f>
        <v>200</v>
      </c>
      <c r="F19" s="237"/>
      <c r="G19" s="2042" t="s">
        <v>3258</v>
      </c>
    </row>
    <row r="20" spans="1:7" s="220" customFormat="1" ht="13.5" customHeight="1">
      <c r="A20" s="261" t="s">
        <v>2178</v>
      </c>
      <c r="B20" s="216" t="s">
        <v>2179</v>
      </c>
      <c r="C20" s="238">
        <f>ROUND((C5+C19)*F20,0)</f>
        <v>222</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999</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989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10</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340</v>
      </c>
      <c r="D27" s="241">
        <f ca="1">C29</f>
        <v>5.9999999999999995E-4</v>
      </c>
      <c r="E27" s="242" t="s">
        <v>2199</v>
      </c>
      <c r="F27" s="252">
        <f ca="1">IF(B1="",'数据-取费表'!Q16,INDIRECT("'数据-取费表'!q"&amp;$G$1))</f>
        <v>0.03</v>
      </c>
      <c r="G27" s="253" t="s">
        <v>2200</v>
      </c>
    </row>
    <row r="28" spans="1:7" s="220" customFormat="1" ht="13.5" customHeight="1">
      <c r="A28" s="888" t="s">
        <v>791</v>
      </c>
      <c r="B28" s="254" t="s">
        <v>2201</v>
      </c>
      <c r="C28" s="255">
        <f ca="1">ROUND((C5+C19+C20)*F27*'数据-取费表'!B21/'数据-取费表'!B20,0)</f>
        <v>340</v>
      </c>
      <c r="D28" s="241"/>
      <c r="E28" s="242"/>
      <c r="F28" s="252"/>
      <c r="G28" s="253"/>
    </row>
    <row r="29" spans="1:7" s="220" customFormat="1" ht="13.5" customHeight="1">
      <c r="A29" s="888" t="s">
        <v>792</v>
      </c>
      <c r="B29" s="254" t="s">
        <v>2202</v>
      </c>
      <c r="C29" s="244">
        <f ca="1">ROUND(C21*F27*'数据-取费表'!B21/'数据-取费表'!B20,4)</f>
        <v>5.9999999999999995E-4</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13711</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32882</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29938</v>
      </c>
      <c r="D34" s="223"/>
      <c r="E34" s="226"/>
      <c r="F34" s="263">
        <f ca="1">IF('数据-取费表'!B24=0,1,IF(B1="",'数据-取费表'!N16,INDIRECT("'数据-取费表'!n"&amp;$G$1)))</f>
        <v>1</v>
      </c>
      <c r="G34" s="225" t="s">
        <v>2211</v>
      </c>
    </row>
    <row r="35" spans="1:7" ht="13.5" customHeight="1">
      <c r="A35" s="888" t="s">
        <v>796</v>
      </c>
      <c r="B35" s="221" t="s">
        <v>2212</v>
      </c>
      <c r="C35" s="226">
        <f ca="1">ROUND(C34*F35,0)</f>
        <v>1497</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998</v>
      </c>
      <c r="D37" s="223">
        <f ca="1">D19</f>
        <v>49897.21</v>
      </c>
      <c r="E37" s="255">
        <f>'数据-取费表'!B35</f>
        <v>200</v>
      </c>
      <c r="F37" s="265"/>
      <c r="G37" s="267" t="s">
        <v>2217</v>
      </c>
    </row>
    <row r="38" spans="1:7" ht="13.5" customHeight="1">
      <c r="A38" s="888" t="s">
        <v>799</v>
      </c>
      <c r="B38" s="221" t="s">
        <v>2218</v>
      </c>
      <c r="C38" s="226">
        <f ca="1">ROUND(C34*F38,0)</f>
        <v>449</v>
      </c>
      <c r="D38" s="226"/>
      <c r="E38" s="226"/>
      <c r="F38" s="265">
        <f>'数据-取费表'!B36</f>
        <v>1.4999999999999999E-2</v>
      </c>
      <c r="G38" s="225" t="s">
        <v>2213</v>
      </c>
    </row>
    <row r="39" spans="1:7" s="220" customFormat="1" ht="13.5" customHeight="1">
      <c r="A39" s="261" t="s">
        <v>2219</v>
      </c>
      <c r="B39" s="216" t="s">
        <v>2220</v>
      </c>
      <c r="C39" s="238">
        <f ca="1">ROUND(C33*F20,0)</f>
        <v>658</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1459</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1430</v>
      </c>
      <c r="D42" s="244"/>
      <c r="E42" s="244"/>
      <c r="F42" s="245"/>
      <c r="G42" s="3262" t="s">
        <v>2229</v>
      </c>
    </row>
    <row r="43" spans="1:7" ht="13.5" customHeight="1">
      <c r="A43" s="888" t="s">
        <v>792</v>
      </c>
      <c r="B43" s="221" t="s">
        <v>2230</v>
      </c>
      <c r="C43" s="244">
        <f ca="1">ROUND(IF('数据-取费表'!B22&lt;=1,C39*F22*'数据-取费表'!B21/2,C39*(POWER((1+F22),'数据-取费表'!B21/2)-1)),0)</f>
        <v>29</v>
      </c>
      <c r="D43" s="244"/>
      <c r="E43" s="244"/>
      <c r="F43" s="245"/>
      <c r="G43" s="3263"/>
    </row>
    <row r="44" spans="1:7" ht="13.5" customHeight="1">
      <c r="A44" s="888" t="s">
        <v>793</v>
      </c>
      <c r="B44" s="221" t="s">
        <v>2231</v>
      </c>
      <c r="C44" s="244">
        <f ca="1">ROUND(IF('数据-取费表'!B22&lt;=1,C40*F22*'数据-取费表'!B21/2,C40*(POWER((1+F22),'数据-取费表'!B21/2)-1)),4)</f>
        <v>8.9999999999999998E-4</v>
      </c>
      <c r="D44" s="244"/>
      <c r="E44" s="244"/>
      <c r="F44" s="245"/>
      <c r="G44" s="3264"/>
    </row>
    <row r="45" spans="1:7" s="220" customFormat="1" ht="13.5" customHeight="1">
      <c r="A45" s="261" t="s">
        <v>2232</v>
      </c>
      <c r="B45" s="250" t="s">
        <v>2198</v>
      </c>
      <c r="C45" s="251">
        <f ca="1">C46</f>
        <v>1006</v>
      </c>
      <c r="D45" s="241">
        <f ca="1">C47</f>
        <v>5.9999999999999995E-4</v>
      </c>
      <c r="E45" s="242" t="s">
        <v>2224</v>
      </c>
      <c r="F45" s="2537">
        <f ca="1">F27</f>
        <v>0.03</v>
      </c>
      <c r="G45" s="253" t="s">
        <v>2233</v>
      </c>
    </row>
    <row r="46" spans="1:7" s="220" customFormat="1" ht="13.5" customHeight="1">
      <c r="A46" s="888" t="s">
        <v>791</v>
      </c>
      <c r="B46" s="254" t="s">
        <v>2234</v>
      </c>
      <c r="C46" s="255">
        <f ca="1">ROUND((C33+C39)*F27,0)</f>
        <v>1006</v>
      </c>
      <c r="D46" s="269"/>
      <c r="E46" s="242"/>
      <c r="F46" s="252"/>
      <c r="G46" s="253"/>
    </row>
    <row r="47" spans="1:7" s="220" customFormat="1" ht="13.5" customHeight="1">
      <c r="A47" s="888" t="s">
        <v>792</v>
      </c>
      <c r="B47" s="254" t="s">
        <v>2235</v>
      </c>
      <c r="C47" s="244">
        <f ca="1">ROUND(C40*F27,4)</f>
        <v>5.9999999999999995E-4</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38916</v>
      </c>
      <c r="D49" s="238"/>
      <c r="E49" s="238"/>
      <c r="F49" s="270"/>
      <c r="G49" s="240" t="s">
        <v>2239</v>
      </c>
    </row>
    <row r="50" spans="1:7" s="264" customFormat="1" ht="24">
      <c r="A50" s="261" t="s">
        <v>2240</v>
      </c>
      <c r="B50" s="216" t="s">
        <v>2241</v>
      </c>
      <c r="C50" s="238"/>
      <c r="D50" s="238"/>
      <c r="E50" s="238"/>
      <c r="F50" s="270">
        <f>IF('数据-取费表'!B24=0,'数据-取费表'!N16,1)</f>
        <v>1</v>
      </c>
      <c r="G50" s="253" t="s">
        <v>2242</v>
      </c>
    </row>
    <row r="51" spans="1:7" ht="16.5" customHeight="1">
      <c r="A51" s="261" t="s">
        <v>2243</v>
      </c>
      <c r="B51" s="216" t="s">
        <v>2244</v>
      </c>
      <c r="C51" s="238">
        <f ca="1">ROUND(C49*F50,0)</f>
        <v>38916</v>
      </c>
      <c r="D51" s="238"/>
      <c r="E51" s="238"/>
      <c r="F51" s="270"/>
      <c r="G51" s="240" t="s">
        <v>2245</v>
      </c>
    </row>
    <row r="52" spans="1:7" s="214" customFormat="1" ht="16.5" thickBot="1">
      <c r="A52" s="271" t="s">
        <v>2246</v>
      </c>
      <c r="B52" s="272"/>
      <c r="C52" s="273">
        <f ca="1">C31+C51</f>
        <v>52627</v>
      </c>
      <c r="D52" s="272"/>
      <c r="E52" s="272"/>
      <c r="F52" s="272"/>
      <c r="G52" s="274"/>
    </row>
    <row r="55" spans="1:7" ht="15">
      <c r="B55" s="276" t="s">
        <v>2247</v>
      </c>
      <c r="C55" s="277"/>
    </row>
    <row r="56" spans="1:7">
      <c r="B56" s="279" t="s">
        <v>1478</v>
      </c>
      <c r="C56" s="281">
        <f ca="1">1-C57</f>
        <v>0.26100000000000001</v>
      </c>
    </row>
    <row r="57" spans="1:7">
      <c r="B57" s="279" t="s">
        <v>1479</v>
      </c>
      <c r="C57" s="280">
        <f ca="1">ROUND(C51/C52,3)</f>
        <v>0.73899999999999999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3" t="str">
        <f>项目基本情况!B1</f>
        <v>山东省威海市远遥路-1-1号房地产抵押价值预评估</v>
      </c>
      <c r="C37" s="3073"/>
      <c r="D37" s="3073"/>
      <c r="E37" s="3073"/>
      <c r="F37" s="3073"/>
      <c r="G37" s="3073"/>
      <c r="H37" s="3073"/>
      <c r="I37" s="307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41714</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8360</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12723789</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12723789</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12723789</v>
      </c>
      <c r="D10" s="954">
        <f ca="1">IF(B1="",'数据-汇总表'!E6,IF(INDIRECT("'数据-取费表'!c"&amp;$G$1)="住宅",INDIRECT("'数据-取费表'!s"&amp;$G$1),INDIRECT("'数据-取费表'!k"&amp;$G$1)+INDIRECT("'数据-取费表'!s"&amp;$G$1)))</f>
        <v>49897.21</v>
      </c>
      <c r="E10" s="231">
        <f>'数据-取费表'!B28</f>
        <v>255</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9979442</v>
      </c>
      <c r="D19" s="958">
        <f ca="1">D9+D10</f>
        <v>49897.21</v>
      </c>
      <c r="E19" s="217">
        <f>'数据-取费表'!B31</f>
        <v>200</v>
      </c>
      <c r="F19" s="237"/>
      <c r="G19" s="2042"/>
    </row>
    <row r="20" spans="1:7" s="220" customFormat="1" ht="13.5" customHeight="1">
      <c r="A20" s="261" t="s">
        <v>2259</v>
      </c>
      <c r="B20" s="216" t="s">
        <v>2260</v>
      </c>
      <c r="C20" s="238">
        <f ca="1">ROUND((C5+C19)*F20,0)</f>
        <v>454065</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2037893</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1131046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887095</v>
      </c>
      <c r="D24" s="244"/>
      <c r="E24" s="244"/>
      <c r="F24" s="245"/>
      <c r="G24" s="246" t="s">
        <v>2271</v>
      </c>
    </row>
    <row r="25" spans="1:7" s="220" customFormat="1" ht="24">
      <c r="A25" s="888" t="s">
        <v>2161</v>
      </c>
      <c r="B25" s="221" t="s">
        <v>2272</v>
      </c>
      <c r="C25" s="1290">
        <f ca="1">ROUND(IF('数据-取费表'!B22&lt;=1,C20*F22*'数据-取费表'!B22/2,C20*(POWER((1+F22),'数据-取费表'!B22/2)-1)),0)</f>
        <v>19752</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694719</v>
      </c>
      <c r="D27" s="241">
        <f ca="1">C29</f>
        <v>5.9999999999999995E-4</v>
      </c>
      <c r="E27" s="242" t="s">
        <v>2199</v>
      </c>
      <c r="F27" s="252">
        <f ca="1">IF(B1="",'数据-取费表'!Q16,INDIRECT("'数据-取费表'!q"&amp;$G$1))</f>
        <v>0.03</v>
      </c>
      <c r="G27" s="253" t="s">
        <v>2200</v>
      </c>
    </row>
    <row r="28" spans="1:7" s="220" customFormat="1" ht="13.5" customHeight="1">
      <c r="A28" s="888" t="s">
        <v>791</v>
      </c>
      <c r="B28" s="254" t="s">
        <v>2201</v>
      </c>
      <c r="C28" s="255">
        <f ca="1">ROUND((C5+C19+C20)*F27,0)</f>
        <v>694719</v>
      </c>
      <c r="D28" s="241"/>
      <c r="E28" s="242"/>
      <c r="F28" s="252"/>
      <c r="G28" s="253"/>
    </row>
    <row r="29" spans="1:7" s="220" customFormat="1" ht="13.5" customHeight="1">
      <c r="A29" s="888" t="s">
        <v>792</v>
      </c>
      <c r="B29" s="254" t="s">
        <v>2202</v>
      </c>
      <c r="C29" s="244">
        <f ca="1">ROUND(C21*F27,4)</f>
        <v>5.9999999999999995E-4</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27983039</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328822614</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299383260</v>
      </c>
      <c r="D34" s="223"/>
      <c r="E34" s="226"/>
      <c r="F34" s="263"/>
      <c r="G34" s="225"/>
    </row>
    <row r="35" spans="1:7" ht="13.5" customHeight="1">
      <c r="A35" s="888" t="s">
        <v>796</v>
      </c>
      <c r="B35" s="221" t="s">
        <v>2212</v>
      </c>
      <c r="C35" s="226">
        <f ca="1">ROUND(C34*F35,0)</f>
        <v>14969163</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9979442</v>
      </c>
      <c r="D37" s="223">
        <f ca="1">D19</f>
        <v>49897.21</v>
      </c>
      <c r="E37" s="255">
        <f>'数据-取费表'!B35</f>
        <v>200</v>
      </c>
      <c r="F37" s="265"/>
      <c r="G37" s="267"/>
    </row>
    <row r="38" spans="1:7" ht="13.5" customHeight="1">
      <c r="A38" s="888" t="s">
        <v>799</v>
      </c>
      <c r="B38" s="221" t="s">
        <v>2218</v>
      </c>
      <c r="C38" s="226">
        <f ca="1">ROUND(C34*F38,0)</f>
        <v>4490749</v>
      </c>
      <c r="D38" s="226"/>
      <c r="E38" s="226"/>
      <c r="F38" s="265">
        <f>'数据-取费表'!B36</f>
        <v>1.4999999999999999E-2</v>
      </c>
      <c r="G38" s="225" t="s">
        <v>2213</v>
      </c>
    </row>
    <row r="39" spans="1:7" s="220" customFormat="1" ht="13.5" customHeight="1">
      <c r="A39" s="261" t="s">
        <v>2219</v>
      </c>
      <c r="B39" s="216" t="s">
        <v>2220</v>
      </c>
      <c r="C39" s="238">
        <f ca="1">ROUND(C33*F20,0)</f>
        <v>6576452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14589860</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14303784</v>
      </c>
      <c r="D42" s="244"/>
      <c r="E42" s="244"/>
      <c r="F42" s="245"/>
      <c r="G42" s="3262" t="s">
        <v>2276</v>
      </c>
    </row>
    <row r="43" spans="1:7" ht="13.5" customHeight="1">
      <c r="A43" s="888" t="s">
        <v>792</v>
      </c>
      <c r="B43" s="221" t="s">
        <v>2230</v>
      </c>
      <c r="C43" s="244">
        <f ca="1">ROUND(IF('数据-取费表'!B22&lt;=1,C39*F22*'数据-取费表'!B20/2,C39*(POWER((1+F22),'数据-取费表'!B20/2)-1)),0)</f>
        <v>286076</v>
      </c>
      <c r="D43" s="244"/>
      <c r="E43" s="244"/>
      <c r="F43" s="245"/>
      <c r="G43" s="3263"/>
    </row>
    <row r="44" spans="1:7" ht="13.5" customHeight="1">
      <c r="A44" s="888" t="s">
        <v>793</v>
      </c>
      <c r="B44" s="221" t="s">
        <v>2231</v>
      </c>
      <c r="C44" s="244">
        <f ca="1">ROUND(IF('数据-取费表'!B22&lt;=1,C40*F22*'数据-取费表'!B20/2,C40*(POWER((1+F22),'数据-取费表'!B20/2)-1)),4)</f>
        <v>8.9999999999999998E-4</v>
      </c>
      <c r="D44" s="244"/>
      <c r="E44" s="244"/>
      <c r="F44" s="245"/>
      <c r="G44" s="3264"/>
    </row>
    <row r="45" spans="1:7" s="220" customFormat="1" ht="13.5" customHeight="1">
      <c r="A45" s="261" t="s">
        <v>2232</v>
      </c>
      <c r="B45" s="250" t="s">
        <v>2198</v>
      </c>
      <c r="C45" s="251">
        <f ca="1">C46</f>
        <v>10061972</v>
      </c>
      <c r="D45" s="241">
        <f ca="1">C47</f>
        <v>5.9999999999999995E-4</v>
      </c>
      <c r="E45" s="242" t="s">
        <v>2224</v>
      </c>
      <c r="F45" s="2537">
        <f ca="1">F27</f>
        <v>0.03</v>
      </c>
      <c r="G45" s="253" t="s">
        <v>2233</v>
      </c>
    </row>
    <row r="46" spans="1:7" s="220" customFormat="1" ht="13.5" customHeight="1">
      <c r="A46" s="888" t="s">
        <v>791</v>
      </c>
      <c r="B46" s="254" t="s">
        <v>2234</v>
      </c>
      <c r="C46" s="255">
        <f ca="1">ROUND((C33+C39)*F27,0)</f>
        <v>10061972</v>
      </c>
      <c r="D46" s="269"/>
      <c r="E46" s="242"/>
      <c r="F46" s="252"/>
      <c r="G46" s="253"/>
    </row>
    <row r="47" spans="1:7" s="220" customFormat="1" ht="13.5" customHeight="1">
      <c r="A47" s="888" t="s">
        <v>792</v>
      </c>
      <c r="B47" s="254" t="s">
        <v>2235</v>
      </c>
      <c r="C47" s="244">
        <f ca="1">ROUND(C40*F27,4)</f>
        <v>5.9999999999999995E-4</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389160071</v>
      </c>
      <c r="D49" s="238"/>
      <c r="E49" s="238"/>
      <c r="F49" s="270"/>
      <c r="G49" s="240" t="s">
        <v>2239</v>
      </c>
    </row>
    <row r="50" spans="1:7" s="264" customFormat="1">
      <c r="A50" s="261" t="s">
        <v>2240</v>
      </c>
      <c r="B50" s="216" t="s">
        <v>2241</v>
      </c>
      <c r="C50" s="238"/>
      <c r="D50" s="238"/>
      <c r="E50" s="238"/>
      <c r="F50" s="270">
        <f>IF('数据-取费表'!B24=0,'数据-取费表'!N16,1)</f>
        <v>1</v>
      </c>
      <c r="G50" s="253"/>
    </row>
    <row r="51" spans="1:7" ht="16.5" customHeight="1">
      <c r="A51" s="261" t="s">
        <v>2243</v>
      </c>
      <c r="B51" s="216" t="s">
        <v>2278</v>
      </c>
      <c r="C51" s="238">
        <f ca="1">ROUND(C49*F50,0)</f>
        <v>389160071</v>
      </c>
      <c r="D51" s="238"/>
      <c r="E51" s="238"/>
      <c r="F51" s="270"/>
      <c r="G51" s="240" t="s">
        <v>2245</v>
      </c>
    </row>
    <row r="52" spans="1:7" s="214" customFormat="1" ht="16.5" thickBot="1">
      <c r="A52" s="271" t="s">
        <v>2246</v>
      </c>
      <c r="B52" s="272"/>
      <c r="C52" s="273">
        <f ca="1">C31+C51</f>
        <v>417143110</v>
      </c>
      <c r="D52" s="272"/>
      <c r="E52" s="272"/>
      <c r="F52" s="272"/>
      <c r="G52" s="274"/>
    </row>
    <row r="55" spans="1:7" ht="15">
      <c r="B55" s="276" t="s">
        <v>2247</v>
      </c>
      <c r="C55" s="277"/>
    </row>
    <row r="56" spans="1:7">
      <c r="B56" s="279" t="s">
        <v>1478</v>
      </c>
      <c r="C56" s="281">
        <f ca="1">1-C57</f>
        <v>6.6999999999999948E-2</v>
      </c>
    </row>
    <row r="57" spans="1:7">
      <c r="B57" s="279" t="s">
        <v>1479</v>
      </c>
      <c r="C57" s="280">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6"/>
      <c r="F1" s="3036"/>
      <c r="G1" s="2899"/>
      <c r="H1" s="3036"/>
      <c r="I1" s="3036"/>
      <c r="J1" s="3036"/>
      <c r="K1" s="3037">
        <f>MATCH(C1,'数据-取费表'!A6:A16,0)+5</f>
        <v>7</v>
      </c>
    </row>
    <row r="2" spans="1:33" ht="18" customHeight="1">
      <c r="A2" s="207" t="s">
        <v>2147</v>
      </c>
      <c r="B2" s="210">
        <f ca="1">C32</f>
        <v>0</v>
      </c>
      <c r="C2" s="282" t="s">
        <v>2280</v>
      </c>
      <c r="D2" s="282"/>
      <c r="E2" s="3036"/>
      <c r="F2" s="3036"/>
      <c r="G2" s="3036"/>
      <c r="H2" s="3036"/>
      <c r="I2" s="3036"/>
      <c r="J2" s="3036"/>
      <c r="K2" s="3036"/>
    </row>
    <row r="3" spans="1:33" ht="18" customHeight="1" thickBot="1">
      <c r="A3" s="209" t="s">
        <v>2149</v>
      </c>
      <c r="B3" s="210">
        <f ca="1">ROUND(B2*10000/IF(C1="",'数据-汇总表'!E3,INDIRECT("'数据-取费表'!K"&amp;$K$1)),0)</f>
        <v>0</v>
      </c>
      <c r="C3" s="282" t="s">
        <v>2281</v>
      </c>
      <c r="D3" s="282"/>
      <c r="E3" s="3036"/>
      <c r="F3" s="3036"/>
      <c r="G3" s="3036"/>
      <c r="H3" s="3036"/>
      <c r="I3" s="3036"/>
      <c r="J3" s="3036"/>
      <c r="K3" s="3036"/>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49897.21</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49897.21</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1272</v>
      </c>
      <c r="D20" s="955">
        <f ca="1">IF(C1="",'数据-汇总表'!E6,IF(INDIRECT("'数据-取费表'!c"&amp;$K$1)="住宅",INDIRECT("'数据-取费表'!s"&amp;$K$1),INDIRECT("'数据-取费表'!k"&amp;$K$1)+INDIRECT("'数据-取费表'!s"&amp;$K$1)))</f>
        <v>49897.21</v>
      </c>
      <c r="E20" s="24">
        <f>'数据-取费表'!B28</f>
        <v>255</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4"/>
      <c r="H2" s="2923"/>
      <c r="I2" s="2923"/>
      <c r="J2" s="2923"/>
      <c r="K2" s="2924"/>
      <c r="L2" s="2923"/>
      <c r="M2" s="2923"/>
    </row>
    <row r="3" spans="1:37" ht="18" customHeight="1" thickBot="1">
      <c r="A3" s="1574" t="s">
        <v>1482</v>
      </c>
      <c r="B3" s="1575">
        <f ca="1">IF(ISERROR(B2*10000/F43),0,ROUND(B2*10000/F43,0))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67" t="s">
        <v>1368</v>
      </c>
      <c r="C6" s="1206">
        <f ca="1">ROUND(F6*F8*F7*(1-F9)/10000,0)</f>
        <v>0</v>
      </c>
      <c r="D6" s="160" t="s">
        <v>2849</v>
      </c>
      <c r="E6" s="308" t="s">
        <v>1370</v>
      </c>
      <c r="F6" s="309">
        <f ca="1">INDIRECT("'数据-取费表'!u"&amp;$G$1)</f>
        <v>0</v>
      </c>
      <c r="G6" s="1568"/>
      <c r="H6" s="1201" t="s">
        <v>1003</v>
      </c>
      <c r="I6" s="3267" t="s">
        <v>1368</v>
      </c>
      <c r="J6" s="307">
        <f ca="1">ROUND(M6*M8*M7*(1-M9)/10000,0)</f>
        <v>0</v>
      </c>
      <c r="K6" s="160" t="s">
        <v>2848</v>
      </c>
      <c r="L6" s="308" t="s">
        <v>1370</v>
      </c>
      <c r="M6" s="309">
        <f ca="1">INDIRECT("'数据-取费表'!z"&amp;$G$1)</f>
        <v>0</v>
      </c>
    </row>
    <row r="7" spans="1:37" ht="18" customHeight="1">
      <c r="A7" s="1205"/>
      <c r="B7" s="3268"/>
      <c r="C7" s="1207"/>
      <c r="D7" s="313"/>
      <c r="E7" s="1208" t="s">
        <v>1371</v>
      </c>
      <c r="F7" s="309">
        <f ca="1">IF(INDIRECT("'数据-取费表'!ah"&amp;$G$1)="",INDIRECT("'数据-取费表'!k"&amp;$G$1),INDIRECT("'数据-取费表'!ah"&amp;$G$1))</f>
        <v>0</v>
      </c>
      <c r="G7" s="1568"/>
      <c r="H7" s="310"/>
      <c r="I7" s="3268"/>
      <c r="J7" s="312"/>
      <c r="K7" s="313"/>
      <c r="L7" s="308" t="s">
        <v>1371</v>
      </c>
      <c r="M7" s="309">
        <f ca="1">F7</f>
        <v>0</v>
      </c>
    </row>
    <row r="8" spans="1:37" ht="18" customHeight="1">
      <c r="A8" s="310"/>
      <c r="B8" s="3268"/>
      <c r="C8" s="312"/>
      <c r="D8" s="313"/>
      <c r="E8" s="308" t="s">
        <v>1372</v>
      </c>
      <c r="F8" s="309">
        <f ca="1">INDIRECT("'数据-取费表'!ai"&amp;$G$1)</f>
        <v>0</v>
      </c>
      <c r="G8" s="1568"/>
      <c r="H8" s="310"/>
      <c r="I8" s="3268"/>
      <c r="J8" s="312"/>
      <c r="K8" s="313"/>
      <c r="L8" s="308" t="s">
        <v>1372</v>
      </c>
      <c r="M8" s="309">
        <f ca="1">INDIRECT("'数据-取费表'!ai"&amp;$G$1)</f>
        <v>0</v>
      </c>
    </row>
    <row r="9" spans="1:37" ht="18" customHeight="1">
      <c r="A9" s="310"/>
      <c r="B9" s="3269"/>
      <c r="C9" s="312"/>
      <c r="D9" s="313"/>
      <c r="E9" s="308" t="s">
        <v>1373</v>
      </c>
      <c r="F9" s="318">
        <f ca="1">INDIRECT("'数据-取费表'!w"&amp;$G$1)</f>
        <v>0</v>
      </c>
      <c r="G9" s="1568"/>
      <c r="H9" s="310"/>
      <c r="I9" s="326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9</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ROUND(C13*F37,1)</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0</v>
      </c>
      <c r="K53" s="3265" t="s">
        <v>1513</v>
      </c>
      <c r="L53" s="3266"/>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9</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7" t="s">
        <v>1368</v>
      </c>
      <c r="C6" s="1206">
        <f ca="1">ROUND(F6*F8*F7*(1-F9),0)</f>
        <v>0</v>
      </c>
      <c r="D6" s="160" t="s">
        <v>2846</v>
      </c>
      <c r="E6" s="308" t="s">
        <v>1370</v>
      </c>
      <c r="F6" s="309">
        <f ca="1">INDIRECT("'数据-取费表'!u"&amp;$G$1)</f>
        <v>0</v>
      </c>
      <c r="G6" s="1568"/>
      <c r="H6" s="1201" t="s">
        <v>1003</v>
      </c>
      <c r="I6" s="3267" t="s">
        <v>1368</v>
      </c>
      <c r="J6" s="307">
        <f ca="1">ROUND(M6*M8*M7*(1-M9),0)</f>
        <v>0</v>
      </c>
      <c r="K6" s="1560" t="s">
        <v>2847</v>
      </c>
      <c r="L6" s="308" t="s">
        <v>1370</v>
      </c>
      <c r="M6" s="309">
        <f ca="1">INDIRECT("'数据-取费表'!z"&amp;$G$1)</f>
        <v>0</v>
      </c>
    </row>
    <row r="7" spans="1:37" ht="18" customHeight="1">
      <c r="A7" s="1205"/>
      <c r="B7" s="3268"/>
      <c r="C7" s="1207"/>
      <c r="D7" s="313"/>
      <c r="E7" s="1208" t="s">
        <v>1371</v>
      </c>
      <c r="F7" s="309">
        <f ca="1">IF(INDIRECT("'数据-取费表'!ah"&amp;$G$1)="",INDIRECT("'数据-取费表'!k"&amp;$G$1),INDIRECT("'数据-取费表'!ah"&amp;$G$1))</f>
        <v>0</v>
      </c>
      <c r="G7" s="1568"/>
      <c r="H7" s="310"/>
      <c r="I7" s="3268"/>
      <c r="J7" s="312"/>
      <c r="K7" s="313"/>
      <c r="L7" s="308" t="s">
        <v>1371</v>
      </c>
      <c r="M7" s="309">
        <f ca="1">F7</f>
        <v>0</v>
      </c>
    </row>
    <row r="8" spans="1:37" ht="18" customHeight="1">
      <c r="A8" s="310"/>
      <c r="B8" s="3268"/>
      <c r="C8" s="312"/>
      <c r="D8" s="313"/>
      <c r="E8" s="308" t="s">
        <v>1372</v>
      </c>
      <c r="F8" s="309">
        <f ca="1">INDIRECT("'数据-取费表'!ai"&amp;$G$1)</f>
        <v>0</v>
      </c>
      <c r="G8" s="1568"/>
      <c r="H8" s="310"/>
      <c r="I8" s="3268"/>
      <c r="J8" s="312"/>
      <c r="K8" s="313"/>
      <c r="L8" s="308" t="s">
        <v>1372</v>
      </c>
      <c r="M8" s="309">
        <f ca="1">INDIRECT("'数据-取费表'!ai"&amp;$G$1)</f>
        <v>0</v>
      </c>
    </row>
    <row r="9" spans="1:37" ht="18" customHeight="1">
      <c r="A9" s="310"/>
      <c r="B9" s="3269"/>
      <c r="C9" s="312"/>
      <c r="D9" s="313"/>
      <c r="E9" s="308" t="s">
        <v>1373</v>
      </c>
      <c r="F9" s="318">
        <f ca="1">INDIRECT("'数据-取费表'!w"&amp;$G$1)</f>
        <v>0</v>
      </c>
      <c r="G9" s="1568"/>
      <c r="H9" s="310"/>
      <c r="I9" s="326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9</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3056</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9</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65" t="s">
        <v>1513</v>
      </c>
      <c r="L53" s="326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9</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5"/>
      <c r="G1" s="1674"/>
      <c r="H1" s="1674"/>
      <c r="I1" s="1674"/>
      <c r="J1" s="1674"/>
      <c r="K1" s="1674"/>
      <c r="L1" s="1674"/>
      <c r="M1" s="1674"/>
      <c r="N1" s="1674"/>
      <c r="O1" s="1674"/>
      <c r="P1" s="1674"/>
      <c r="Q1" s="1674"/>
      <c r="R1" s="1674"/>
      <c r="S1" s="1674"/>
    </row>
    <row r="2" spans="1:22" ht="15.75">
      <c r="A2" s="2056" t="s">
        <v>2147</v>
      </c>
      <c r="B2" s="2057">
        <f ca="1">SUMIF(B6:B13,"&lt;&gt;#ref!",B6:B13)</f>
        <v>0</v>
      </c>
      <c r="C2" s="2058" t="s">
        <v>2339</v>
      </c>
      <c r="D2" s="2059" t="s">
        <v>2340</v>
      </c>
      <c r="E2" s="2832">
        <f>SUM(E6:E13)</f>
        <v>0</v>
      </c>
      <c r="F2" s="2935"/>
      <c r="G2" s="1674"/>
      <c r="H2" s="1674"/>
      <c r="I2" s="1674"/>
      <c r="J2" s="1674"/>
      <c r="K2" s="1674"/>
      <c r="L2" s="1674"/>
      <c r="M2" s="1674"/>
      <c r="N2" s="1674"/>
      <c r="O2" s="1674"/>
      <c r="P2" s="1674"/>
      <c r="Q2" s="1674"/>
      <c r="R2" s="1674"/>
      <c r="S2" s="1674"/>
    </row>
    <row r="3" spans="1:22" ht="15.75">
      <c r="A3" s="2056" t="s">
        <v>1360</v>
      </c>
      <c r="B3" s="2826" t="e">
        <f ca="1">ROUND(B2*10000/E2,0)</f>
        <v>#DIV/0!</v>
      </c>
      <c r="C3" s="2058" t="s">
        <v>2347</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2341</v>
      </c>
      <c r="B5" s="3270" t="s">
        <v>2342</v>
      </c>
      <c r="C5" s="3271"/>
      <c r="D5" s="2936"/>
      <c r="E5" s="2060" t="s">
        <v>2343</v>
      </c>
      <c r="F5" s="2061" t="s">
        <v>2344</v>
      </c>
      <c r="G5" s="1674"/>
      <c r="H5" s="1674"/>
      <c r="I5" s="1674"/>
      <c r="J5" s="1674"/>
      <c r="K5" s="1674"/>
      <c r="L5" s="1674"/>
      <c r="M5" s="1674"/>
      <c r="N5" s="1674"/>
      <c r="O5" s="1674"/>
      <c r="P5" s="1674"/>
      <c r="Q5" s="1674"/>
      <c r="R5" s="1674"/>
      <c r="S5" s="1674"/>
    </row>
    <row r="6" spans="1:22">
      <c r="A6" s="2829">
        <f>'数据-取费表'!AN6</f>
        <v>0</v>
      </c>
      <c r="B6" s="2827" t="e">
        <f ca="1">IF(F6="是",'数据-取费表'!AO6,0)</f>
        <v>#REF!</v>
      </c>
      <c r="C6" s="2058" t="s">
        <v>2339</v>
      </c>
      <c r="D6" s="2937"/>
      <c r="E6" s="2831">
        <f>IF(OR(A6=0,F6="否"),0,'数据-取费表'!K6+'数据-取费表'!S6)</f>
        <v>0</v>
      </c>
      <c r="F6" s="2062" t="s">
        <v>2345</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2339</v>
      </c>
      <c r="D7" s="2937"/>
      <c r="E7" s="2831">
        <f>IF(OR(A7=0,F7="否"),0,'数据-取费表'!K7+'数据-取费表'!S7)</f>
        <v>0</v>
      </c>
      <c r="F7" s="2062" t="s">
        <v>2345</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2339</v>
      </c>
      <c r="D8" s="2937"/>
      <c r="E8" s="2831">
        <f>IF(OR(A8=0,F8="否"),0,'数据-取费表'!K8+'数据-取费表'!S8)</f>
        <v>0</v>
      </c>
      <c r="F8" s="2062" t="s">
        <v>2345</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2339</v>
      </c>
      <c r="D9" s="2937"/>
      <c r="E9" s="2831">
        <f>IF(OR(A9=0,F9="否"),0,'数据-取费表'!K9+'数据-取费表'!S9)</f>
        <v>0</v>
      </c>
      <c r="F9" s="2062" t="s">
        <v>2345</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2339</v>
      </c>
      <c r="D10" s="2937"/>
      <c r="E10" s="2831">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2339</v>
      </c>
      <c r="D11" s="2937"/>
      <c r="E11" s="2831">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2339</v>
      </c>
      <c r="D12" s="2937"/>
      <c r="E12" s="2831">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2339</v>
      </c>
      <c r="D13" s="2938"/>
      <c r="E13" s="2831">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8" t="s">
        <v>1044</v>
      </c>
      <c r="B1" s="3289"/>
      <c r="C1" s="3290"/>
      <c r="D1" s="3291">
        <f>SUM(I10,I15,I20,I21,I23)</f>
        <v>0</v>
      </c>
      <c r="E1" s="3291"/>
      <c r="F1" s="3291"/>
      <c r="G1" s="3291"/>
      <c r="H1" s="3291"/>
      <c r="I1" s="3292"/>
    </row>
    <row r="2" spans="1:9">
      <c r="A2" s="3278" t="s">
        <v>1045</v>
      </c>
      <c r="B2" s="3279" t="s">
        <v>1046</v>
      </c>
      <c r="C2" s="3279"/>
      <c r="D2" s="1211" t="s">
        <v>1047</v>
      </c>
      <c r="E2" s="1211" t="s">
        <v>1048</v>
      </c>
      <c r="F2" s="1211" t="s">
        <v>1049</v>
      </c>
      <c r="G2" s="1211" t="s">
        <v>1050</v>
      </c>
      <c r="H2" s="1211" t="s">
        <v>1051</v>
      </c>
      <c r="I2" s="1212" t="s">
        <v>1052</v>
      </c>
    </row>
    <row r="3" spans="1:9">
      <c r="A3" s="3278"/>
      <c r="B3" s="3279" t="s">
        <v>1053</v>
      </c>
      <c r="C3" s="3279"/>
      <c r="D3" s="1213"/>
      <c r="E3" s="1211"/>
      <c r="F3" s="1214"/>
      <c r="G3" s="1214"/>
      <c r="H3" s="1215"/>
      <c r="I3" s="1216">
        <f>ROUND(D3*E3*F3*G3*H3/10000,0)</f>
        <v>0</v>
      </c>
    </row>
    <row r="4" spans="1:9">
      <c r="A4" s="3278"/>
      <c r="B4" s="3279" t="s">
        <v>1054</v>
      </c>
      <c r="C4" s="3279"/>
      <c r="D4" s="1213"/>
      <c r="E4" s="1211"/>
      <c r="F4" s="1214"/>
      <c r="G4" s="1214"/>
      <c r="H4" s="1215"/>
      <c r="I4" s="1216">
        <f t="shared" ref="I4:I9" si="0">ROUND(D4*E4*F4*G4*H4/10000,0)</f>
        <v>0</v>
      </c>
    </row>
    <row r="5" spans="1:9">
      <c r="A5" s="3278"/>
      <c r="B5" s="3279" t="s">
        <v>1055</v>
      </c>
      <c r="C5" s="3279"/>
      <c r="D5" s="1213"/>
      <c r="E5" s="1211"/>
      <c r="F5" s="1214"/>
      <c r="G5" s="1214"/>
      <c r="H5" s="1215"/>
      <c r="I5" s="1216">
        <f t="shared" si="0"/>
        <v>0</v>
      </c>
    </row>
    <row r="6" spans="1:9">
      <c r="A6" s="3278"/>
      <c r="B6" s="3279" t="s">
        <v>1056</v>
      </c>
      <c r="C6" s="3279"/>
      <c r="D6" s="1213"/>
      <c r="E6" s="1211"/>
      <c r="F6" s="1214"/>
      <c r="G6" s="1214"/>
      <c r="H6" s="1215"/>
      <c r="I6" s="1216">
        <f t="shared" si="0"/>
        <v>0</v>
      </c>
    </row>
    <row r="7" spans="1:9">
      <c r="A7" s="3278"/>
      <c r="B7" s="3279" t="s">
        <v>1057</v>
      </c>
      <c r="C7" s="3279"/>
      <c r="D7" s="1213"/>
      <c r="E7" s="1211"/>
      <c r="F7" s="1214"/>
      <c r="G7" s="1214"/>
      <c r="H7" s="1215"/>
      <c r="I7" s="1216">
        <f t="shared" si="0"/>
        <v>0</v>
      </c>
    </row>
    <row r="8" spans="1:9">
      <c r="A8" s="3278"/>
      <c r="B8" s="3279" t="s">
        <v>1058</v>
      </c>
      <c r="C8" s="3279"/>
      <c r="D8" s="1213"/>
      <c r="E8" s="1211"/>
      <c r="F8" s="1214"/>
      <c r="G8" s="1214"/>
      <c r="H8" s="1215"/>
      <c r="I8" s="1216">
        <f t="shared" si="0"/>
        <v>0</v>
      </c>
    </row>
    <row r="9" spans="1:9">
      <c r="A9" s="3278"/>
      <c r="B9" s="3279" t="s">
        <v>1059</v>
      </c>
      <c r="C9" s="3279"/>
      <c r="D9" s="1213"/>
      <c r="E9" s="1211"/>
      <c r="F9" s="1214"/>
      <c r="G9" s="1214"/>
      <c r="H9" s="1215"/>
      <c r="I9" s="1216">
        <f t="shared" si="0"/>
        <v>0</v>
      </c>
    </row>
    <row r="10" spans="1:9">
      <c r="A10" s="3278"/>
      <c r="B10" s="3280" t="s">
        <v>1060</v>
      </c>
      <c r="C10" s="3280"/>
      <c r="D10" s="1217"/>
      <c r="E10" s="1217" t="e">
        <f>ROUND(D1*10000/D10/H9,0)</f>
        <v>#DIV/0!</v>
      </c>
      <c r="F10" s="1218"/>
      <c r="G10" s="1218"/>
      <c r="H10" s="1219"/>
      <c r="I10" s="1220">
        <f>SUM(I3:I9)</f>
        <v>0</v>
      </c>
    </row>
    <row r="11" spans="1:9" ht="14.25">
      <c r="A11" s="3278" t="s">
        <v>1061</v>
      </c>
      <c r="B11" s="3279" t="s">
        <v>1062</v>
      </c>
      <c r="C11" s="3279"/>
      <c r="D11" s="1213" t="s">
        <v>1063</v>
      </c>
      <c r="E11" s="1213" t="s">
        <v>1064</v>
      </c>
      <c r="F11" s="1214" t="s">
        <v>1065</v>
      </c>
      <c r="G11" s="1214" t="s">
        <v>1051</v>
      </c>
      <c r="H11" s="1221" t="s">
        <v>1066</v>
      </c>
      <c r="I11" s="1212" t="s">
        <v>1052</v>
      </c>
    </row>
    <row r="12" spans="1:9">
      <c r="A12" s="3278"/>
      <c r="B12" s="3279" t="s">
        <v>1067</v>
      </c>
      <c r="C12" s="3279"/>
      <c r="D12" s="1213"/>
      <c r="E12" s="1213"/>
      <c r="F12" s="1214"/>
      <c r="G12" s="1215"/>
      <c r="H12" s="1222"/>
      <c r="I12" s="1212">
        <f>ROUND(D12*E12*F12*G12/10000,0)</f>
        <v>0</v>
      </c>
    </row>
    <row r="13" spans="1:9">
      <c r="A13" s="3278"/>
      <c r="B13" s="3279" t="s">
        <v>1068</v>
      </c>
      <c r="C13" s="3279"/>
      <c r="D13" s="1213"/>
      <c r="E13" s="1213"/>
      <c r="F13" s="1214"/>
      <c r="G13" s="1215"/>
      <c r="H13" s="1222"/>
      <c r="I13" s="1212">
        <f>ROUND(D13*E13*F13*G13/10000,0)</f>
        <v>0</v>
      </c>
    </row>
    <row r="14" spans="1:9">
      <c r="A14" s="3278"/>
      <c r="B14" s="3279" t="s">
        <v>1069</v>
      </c>
      <c r="C14" s="3279"/>
      <c r="D14" s="1213"/>
      <c r="E14" s="1213"/>
      <c r="F14" s="1214"/>
      <c r="G14" s="1215"/>
      <c r="H14" s="1222"/>
      <c r="I14" s="1212">
        <f>ROUND(D14*E14*F14*G14/10000,0)</f>
        <v>0</v>
      </c>
    </row>
    <row r="15" spans="1:9">
      <c r="A15" s="3278"/>
      <c r="B15" s="3280" t="s">
        <v>1060</v>
      </c>
      <c r="C15" s="3280"/>
      <c r="D15" s="1217"/>
      <c r="E15" s="1217">
        <f>SUM(E12:E14)</f>
        <v>0</v>
      </c>
      <c r="F15" s="1218"/>
      <c r="G15" s="1215"/>
      <c r="H15" s="1222"/>
      <c r="I15" s="1223">
        <f>SUM(I12:I14)</f>
        <v>0</v>
      </c>
    </row>
    <row r="16" spans="1:9" ht="24">
      <c r="A16" s="3278" t="s">
        <v>1070</v>
      </c>
      <c r="B16" s="3279" t="s">
        <v>1071</v>
      </c>
      <c r="C16" s="3279"/>
      <c r="D16" s="1213" t="s">
        <v>1047</v>
      </c>
      <c r="E16" s="1224" t="s">
        <v>1072</v>
      </c>
      <c r="F16" s="1214" t="s">
        <v>1073</v>
      </c>
      <c r="G16" s="1215" t="s">
        <v>1051</v>
      </c>
      <c r="H16" s="1221" t="s">
        <v>1066</v>
      </c>
      <c r="I16" s="1212" t="s">
        <v>1052</v>
      </c>
    </row>
    <row r="17" spans="1:9" ht="14.25">
      <c r="A17" s="3278"/>
      <c r="B17" s="3279" t="s">
        <v>1074</v>
      </c>
      <c r="C17" s="3279"/>
      <c r="D17" s="1213"/>
      <c r="E17" s="1213"/>
      <c r="F17" s="1214"/>
      <c r="G17" s="1215"/>
      <c r="H17" s="1225"/>
      <c r="I17" s="1226">
        <f>ROUND(D17*E17*F17*G17/10000,0)</f>
        <v>0</v>
      </c>
    </row>
    <row r="18" spans="1:9" ht="14.25">
      <c r="A18" s="3278"/>
      <c r="B18" s="3279" t="s">
        <v>1075</v>
      </c>
      <c r="C18" s="3279"/>
      <c r="D18" s="1213"/>
      <c r="E18" s="1213"/>
      <c r="F18" s="1214"/>
      <c r="G18" s="1215"/>
      <c r="H18" s="1225"/>
      <c r="I18" s="1226">
        <f>ROUND(D18*E18*F18*G18/10000,0)</f>
        <v>0</v>
      </c>
    </row>
    <row r="19" spans="1:9" ht="14.25">
      <c r="A19" s="3278"/>
      <c r="B19" s="3279" t="s">
        <v>1076</v>
      </c>
      <c r="C19" s="3279"/>
      <c r="D19" s="1213"/>
      <c r="E19" s="1213"/>
      <c r="F19" s="1214"/>
      <c r="G19" s="1215"/>
      <c r="H19" s="1225"/>
      <c r="I19" s="1226">
        <f>ROUND(D19*E19*F19*G19/10000,0)</f>
        <v>0</v>
      </c>
    </row>
    <row r="20" spans="1:9">
      <c r="A20" s="3278"/>
      <c r="B20" s="3280" t="s">
        <v>1060</v>
      </c>
      <c r="C20" s="3280"/>
      <c r="D20" s="1217">
        <f>SUM(D17:D19)</f>
        <v>0</v>
      </c>
      <c r="E20" s="1217"/>
      <c r="F20" s="1218"/>
      <c r="G20" s="1215"/>
      <c r="H20" s="1222"/>
      <c r="I20" s="1223">
        <f>SUM(I17:I19)</f>
        <v>0</v>
      </c>
    </row>
    <row r="21" spans="1:9">
      <c r="A21" s="3278" t="s">
        <v>1077</v>
      </c>
      <c r="B21" s="3281"/>
      <c r="C21" s="3281"/>
      <c r="D21" s="3281"/>
      <c r="E21" s="3281"/>
      <c r="F21" s="3281"/>
      <c r="G21" s="3281"/>
      <c r="H21" s="1502">
        <v>0.1</v>
      </c>
      <c r="I21" s="1220">
        <f>ROUND(I10*H21,0)</f>
        <v>0</v>
      </c>
    </row>
    <row r="22" spans="1:9" ht="14.25">
      <c r="A22" s="3282" t="s">
        <v>1078</v>
      </c>
      <c r="B22" s="3283"/>
      <c r="C22" s="3284"/>
      <c r="D22" s="1227" t="s">
        <v>1079</v>
      </c>
      <c r="E22" s="1227" t="s">
        <v>1080</v>
      </c>
      <c r="F22" s="1228" t="s">
        <v>1081</v>
      </c>
      <c r="G22" s="1228" t="s">
        <v>1082</v>
      </c>
      <c r="H22" s="1221" t="s">
        <v>1083</v>
      </c>
      <c r="I22" s="1212" t="s">
        <v>1084</v>
      </c>
    </row>
    <row r="23" spans="1:9" ht="14.25" thickBot="1">
      <c r="A23" s="3285"/>
      <c r="B23" s="3286"/>
      <c r="C23" s="3287"/>
      <c r="D23" s="1229"/>
      <c r="E23" s="1229"/>
      <c r="F23" s="1229"/>
      <c r="G23" s="1230"/>
      <c r="H23" s="1231"/>
      <c r="I23" s="1232">
        <f>ROUND(E23*D23*F23*(1-G23)/10000,0)</f>
        <v>0</v>
      </c>
    </row>
    <row r="26" spans="1:9">
      <c r="A26" s="1233" t="s">
        <v>1085</v>
      </c>
      <c r="B26" s="1233"/>
      <c r="C26" s="1233"/>
      <c r="D26" s="1233"/>
      <c r="E26" s="3275">
        <f>C27-C30-C31-C32</f>
        <v>0</v>
      </c>
      <c r="F26" s="3275"/>
      <c r="G26" s="3275"/>
      <c r="H26" s="1499" t="s">
        <v>1306</v>
      </c>
    </row>
    <row r="27" spans="1:9">
      <c r="A27" s="1234">
        <v>1</v>
      </c>
      <c r="B27" s="1235" t="s">
        <v>1086</v>
      </c>
      <c r="C27" s="1235">
        <f>C28+C29</f>
        <v>0</v>
      </c>
      <c r="D27" s="1235"/>
      <c r="E27" s="3276"/>
      <c r="F27" s="3276"/>
      <c r="G27" s="3276"/>
    </row>
    <row r="28" spans="1:9">
      <c r="A28" s="1236" t="s">
        <v>1087</v>
      </c>
      <c r="B28" s="1235" t="s">
        <v>1088</v>
      </c>
      <c r="C28" s="1235"/>
      <c r="D28" s="1235"/>
      <c r="E28" s="3276"/>
      <c r="F28" s="3276"/>
      <c r="G28" s="327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7"/>
      <c r="F32" s="3277"/>
      <c r="G32" s="3277"/>
    </row>
    <row r="33" spans="1:7" hidden="1">
      <c r="A33" s="3272" t="s">
        <v>1097</v>
      </c>
      <c r="B33" s="3273"/>
      <c r="C33" s="3273"/>
      <c r="D33" s="3274"/>
      <c r="E33" s="3275"/>
      <c r="F33" s="3275"/>
      <c r="G33" s="3275"/>
    </row>
    <row r="34" spans="1:7" hidden="1">
      <c r="A34" s="1238">
        <v>1</v>
      </c>
      <c r="B34" s="1235" t="s">
        <v>1098</v>
      </c>
      <c r="C34" s="1235"/>
      <c r="D34" s="1235"/>
      <c r="E34" s="3276"/>
      <c r="F34" s="3276"/>
      <c r="G34" s="3276"/>
    </row>
    <row r="35" spans="1:7" hidden="1">
      <c r="A35" s="1238">
        <v>2</v>
      </c>
      <c r="B35" s="1235" t="s">
        <v>1099</v>
      </c>
      <c r="C35" s="1235"/>
      <c r="D35" s="1235"/>
      <c r="E35" s="3276"/>
      <c r="F35" s="3276"/>
      <c r="G35" s="3276"/>
    </row>
    <row r="36" spans="1:7" hidden="1">
      <c r="A36" s="1238">
        <v>3</v>
      </c>
      <c r="B36" s="1235" t="s">
        <v>1100</v>
      </c>
      <c r="C36" s="1235"/>
      <c r="D36" s="1235"/>
      <c r="E36" s="3276"/>
      <c r="F36" s="3276"/>
      <c r="G36" s="3276"/>
    </row>
    <row r="37" spans="1:7" hidden="1">
      <c r="A37" s="1238">
        <v>4</v>
      </c>
      <c r="B37" s="1235" t="s">
        <v>1101</v>
      </c>
      <c r="C37" s="1235"/>
      <c r="D37" s="1235"/>
      <c r="E37" s="3276"/>
      <c r="F37" s="3276"/>
      <c r="G37" s="3276"/>
    </row>
    <row r="38" spans="1:7" hidden="1">
      <c r="A38" s="3272" t="s">
        <v>1102</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49897.21</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2355</v>
      </c>
      <c r="B4" s="362"/>
      <c r="C4" s="3311" t="s">
        <v>2356</v>
      </c>
      <c r="D4" s="3312"/>
      <c r="E4" s="3313" t="s">
        <v>2357</v>
      </c>
      <c r="F4" s="3314"/>
      <c r="G4" s="3311" t="s">
        <v>2358</v>
      </c>
      <c r="H4" s="3312"/>
      <c r="I4" s="3311" t="s">
        <v>2359</v>
      </c>
      <c r="J4" s="3312"/>
      <c r="K4" s="2075" t="s">
        <v>2360</v>
      </c>
      <c r="L4" s="2943"/>
      <c r="M4" s="2944"/>
      <c r="N4" s="2944"/>
      <c r="O4" s="2944"/>
      <c r="P4" s="3315" t="s">
        <v>2361</v>
      </c>
      <c r="Q4" s="3316"/>
      <c r="R4" s="3321" t="s">
        <v>2357</v>
      </c>
      <c r="S4" s="3322"/>
      <c r="T4" s="3321" t="s">
        <v>2358</v>
      </c>
      <c r="U4" s="3322"/>
      <c r="V4" s="3327" t="s">
        <v>2359</v>
      </c>
      <c r="W4" s="3327"/>
      <c r="X4" s="1539"/>
      <c r="Y4" s="3321" t="s">
        <v>2361</v>
      </c>
      <c r="Z4" s="3322"/>
      <c r="AA4" s="3308" t="s">
        <v>2357</v>
      </c>
      <c r="AB4" s="3308" t="s">
        <v>2358</v>
      </c>
      <c r="AC4" s="3308" t="s">
        <v>2359</v>
      </c>
    </row>
    <row r="5" spans="1:29" ht="15">
      <c r="A5" s="364"/>
      <c r="B5" s="365"/>
      <c r="C5" s="3330" t="s">
        <v>2362</v>
      </c>
      <c r="D5" s="3331"/>
      <c r="E5" s="3337" t="s">
        <v>2363</v>
      </c>
      <c r="F5" s="3338"/>
      <c r="G5" s="3330" t="s">
        <v>2364</v>
      </c>
      <c r="H5" s="3331"/>
      <c r="I5" s="3330" t="s">
        <v>2365</v>
      </c>
      <c r="J5" s="3331"/>
      <c r="K5" s="2076"/>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28" t="s">
        <v>2366</v>
      </c>
      <c r="D6" s="3329"/>
      <c r="E6" s="3335" t="s">
        <v>2366</v>
      </c>
      <c r="F6" s="3336"/>
      <c r="G6" s="3328" t="s">
        <v>2366</v>
      </c>
      <c r="H6" s="3329"/>
      <c r="I6" s="3328" t="s">
        <v>2366</v>
      </c>
      <c r="J6" s="3329"/>
      <c r="K6" s="2076" t="s">
        <v>2367</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2368</v>
      </c>
      <c r="B7" s="369"/>
      <c r="C7" s="370">
        <f>'数据-取费表'!B2</f>
        <v>44525</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32" t="s">
        <v>2369</v>
      </c>
      <c r="Q7" s="3334"/>
      <c r="R7" s="710" t="s">
        <v>23</v>
      </c>
      <c r="S7" s="711">
        <f t="shared" ref="S7:S15" si="0">F7</f>
        <v>0</v>
      </c>
      <c r="T7" s="710" t="s">
        <v>23</v>
      </c>
      <c r="U7" s="711">
        <f t="shared" ref="U7:U15" si="1">H7</f>
        <v>0</v>
      </c>
      <c r="V7" s="710" t="s">
        <v>23</v>
      </c>
      <c r="W7" s="711">
        <f t="shared" ref="W7:W15" si="2">J7</f>
        <v>0</v>
      </c>
      <c r="X7" s="712"/>
      <c r="Y7" s="3332" t="s">
        <v>2369</v>
      </c>
      <c r="Z7" s="3333"/>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32" t="s">
        <v>2372</v>
      </c>
      <c r="Q8" s="3333"/>
      <c r="R8" s="710" t="s">
        <v>23</v>
      </c>
      <c r="S8" s="711">
        <f t="shared" si="0"/>
        <v>0</v>
      </c>
      <c r="T8" s="710" t="s">
        <v>23</v>
      </c>
      <c r="U8" s="711">
        <f t="shared" si="1"/>
        <v>0</v>
      </c>
      <c r="V8" s="710" t="s">
        <v>23</v>
      </c>
      <c r="W8" s="711">
        <f t="shared" si="2"/>
        <v>0</v>
      </c>
      <c r="X8" s="712"/>
      <c r="Y8" s="3332" t="s">
        <v>2372</v>
      </c>
      <c r="Z8" s="3333"/>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07" t="s">
        <v>2375</v>
      </c>
      <c r="Q9" s="1527" t="str">
        <f t="shared" ref="Q9:Q15" si="6">B9</f>
        <v>用途</v>
      </c>
      <c r="R9" s="710" t="s">
        <v>17</v>
      </c>
      <c r="S9" s="711">
        <f t="shared" si="0"/>
        <v>100</v>
      </c>
      <c r="T9" s="710" t="s">
        <v>17</v>
      </c>
      <c r="U9" s="711">
        <f t="shared" si="1"/>
        <v>100</v>
      </c>
      <c r="V9" s="710" t="s">
        <v>17</v>
      </c>
      <c r="W9" s="711">
        <f t="shared" si="2"/>
        <v>100</v>
      </c>
      <c r="X9" s="712"/>
      <c r="Y9" s="316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7"/>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7"/>
      <c r="Q11" s="1527" t="str">
        <f t="shared" si="6"/>
        <v>容积率</v>
      </c>
      <c r="R11" s="710" t="s">
        <v>21</v>
      </c>
      <c r="S11" s="711" t="e">
        <f t="shared" si="0"/>
        <v>#N/A</v>
      </c>
      <c r="T11" s="710" t="s">
        <v>21</v>
      </c>
      <c r="U11" s="711" t="e">
        <f t="shared" si="1"/>
        <v>#N/A</v>
      </c>
      <c r="V11" s="710" t="s">
        <v>21</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07"/>
      <c r="Q12" s="1527">
        <f t="shared" si="6"/>
        <v>111</v>
      </c>
      <c r="R12" s="710" t="s">
        <v>21</v>
      </c>
      <c r="S12" s="711">
        <f t="shared" si="0"/>
        <v>100</v>
      </c>
      <c r="T12" s="710" t="s">
        <v>21</v>
      </c>
      <c r="U12" s="711">
        <f t="shared" si="1"/>
        <v>100</v>
      </c>
      <c r="V12" s="710" t="s">
        <v>21</v>
      </c>
      <c r="W12" s="711">
        <f t="shared" si="2"/>
        <v>100</v>
      </c>
      <c r="X12" s="712"/>
      <c r="Y12" s="316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07"/>
      <c r="Q13" s="1527">
        <f t="shared" si="6"/>
        <v>111</v>
      </c>
      <c r="R13" s="710" t="s">
        <v>21</v>
      </c>
      <c r="S13" s="711">
        <f t="shared" si="0"/>
        <v>100</v>
      </c>
      <c r="T13" s="710" t="s">
        <v>21</v>
      </c>
      <c r="U13" s="711">
        <f t="shared" si="1"/>
        <v>100</v>
      </c>
      <c r="V13" s="710" t="s">
        <v>21</v>
      </c>
      <c r="W13" s="711">
        <f t="shared" si="2"/>
        <v>100</v>
      </c>
      <c r="X13" s="712"/>
      <c r="Y13" s="316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07"/>
      <c r="Q14" s="1527">
        <f t="shared" si="6"/>
        <v>111</v>
      </c>
      <c r="R14" s="710" t="s">
        <v>21</v>
      </c>
      <c r="S14" s="711">
        <f t="shared" si="0"/>
        <v>100</v>
      </c>
      <c r="T14" s="710" t="s">
        <v>21</v>
      </c>
      <c r="U14" s="711">
        <f t="shared" si="1"/>
        <v>100</v>
      </c>
      <c r="V14" s="710" t="s">
        <v>21</v>
      </c>
      <c r="W14" s="711">
        <f t="shared" si="2"/>
        <v>100</v>
      </c>
      <c r="X14" s="712"/>
      <c r="Y14" s="3166"/>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5" t="s">
        <v>2380</v>
      </c>
      <c r="Q15" s="1536" t="str">
        <f t="shared" si="6"/>
        <v>居住社区成熟度</v>
      </c>
      <c r="R15" s="714" t="s">
        <v>21</v>
      </c>
      <c r="S15" s="715">
        <f t="shared" si="0"/>
        <v>100</v>
      </c>
      <c r="T15" s="714" t="s">
        <v>21</v>
      </c>
      <c r="U15" s="715">
        <f t="shared" si="1"/>
        <v>100</v>
      </c>
      <c r="V15" s="714" t="s">
        <v>21</v>
      </c>
      <c r="W15" s="715">
        <f t="shared" si="2"/>
        <v>100</v>
      </c>
      <c r="X15" s="1539"/>
      <c r="Y15" s="3298"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06"/>
      <c r="Q16" s="1536"/>
      <c r="R16" s="714"/>
      <c r="S16" s="715"/>
      <c r="T16" s="714"/>
      <c r="U16" s="715"/>
      <c r="V16" s="714"/>
      <c r="W16" s="715"/>
      <c r="X16" s="1539"/>
      <c r="Y16" s="329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06"/>
      <c r="Q17" s="1536" t="str">
        <f>B17</f>
        <v>交通便捷度</v>
      </c>
      <c r="R17" s="714" t="s">
        <v>21</v>
      </c>
      <c r="S17" s="715">
        <f>F17</f>
        <v>100</v>
      </c>
      <c r="T17" s="714" t="s">
        <v>21</v>
      </c>
      <c r="U17" s="715">
        <f>H17</f>
        <v>100</v>
      </c>
      <c r="V17" s="714" t="s">
        <v>21</v>
      </c>
      <c r="W17" s="715">
        <f>J17</f>
        <v>100</v>
      </c>
      <c r="X17" s="1539"/>
      <c r="Y17" s="329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06"/>
      <c r="Q18" s="1536"/>
      <c r="R18" s="714"/>
      <c r="S18" s="715"/>
      <c r="T18" s="714"/>
      <c r="U18" s="715"/>
      <c r="V18" s="714"/>
      <c r="W18" s="715"/>
      <c r="X18" s="1539"/>
      <c r="Y18" s="3299"/>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06"/>
      <c r="Q19" s="1536" t="str">
        <f>B19</f>
        <v>公共配套设施</v>
      </c>
      <c r="R19" s="714" t="s">
        <v>21</v>
      </c>
      <c r="S19" s="715">
        <f>F19</f>
        <v>100</v>
      </c>
      <c r="T19" s="714" t="s">
        <v>21</v>
      </c>
      <c r="U19" s="715">
        <f>H19</f>
        <v>100</v>
      </c>
      <c r="V19" s="714" t="s">
        <v>21</v>
      </c>
      <c r="W19" s="715">
        <f>J19</f>
        <v>100</v>
      </c>
      <c r="X19" s="1539"/>
      <c r="Y19" s="329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06"/>
      <c r="Q20" s="1536"/>
      <c r="R20" s="714"/>
      <c r="S20" s="715"/>
      <c r="T20" s="714"/>
      <c r="U20" s="715"/>
      <c r="V20" s="714"/>
      <c r="W20" s="715"/>
      <c r="X20" s="1539"/>
      <c r="Y20" s="3299"/>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06"/>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06"/>
      <c r="Q22" s="1536"/>
      <c r="R22" s="714"/>
      <c r="S22" s="715"/>
      <c r="T22" s="714"/>
      <c r="U22" s="715"/>
      <c r="V22" s="714"/>
      <c r="W22" s="715"/>
      <c r="X22" s="1539"/>
      <c r="Y22" s="3299"/>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06"/>
      <c r="Q23" s="1536" t="str">
        <f>B23</f>
        <v>自然及人文环境</v>
      </c>
      <c r="R23" s="714" t="s">
        <v>21</v>
      </c>
      <c r="S23" s="715">
        <f>F23</f>
        <v>100</v>
      </c>
      <c r="T23" s="714" t="s">
        <v>21</v>
      </c>
      <c r="U23" s="715">
        <f>H23</f>
        <v>100</v>
      </c>
      <c r="V23" s="714" t="s">
        <v>21</v>
      </c>
      <c r="W23" s="715">
        <f>J23</f>
        <v>100</v>
      </c>
      <c r="X23" s="1539"/>
      <c r="Y23" s="329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06"/>
      <c r="Q24" s="1536"/>
      <c r="R24" s="714"/>
      <c r="S24" s="715"/>
      <c r="T24" s="714"/>
      <c r="U24" s="715"/>
      <c r="V24" s="714"/>
      <c r="W24" s="715"/>
      <c r="X24" s="1539"/>
      <c r="Y24" s="3299"/>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0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06"/>
      <c r="Q26" s="1536" t="str">
        <f t="shared" si="11"/>
        <v>朝向</v>
      </c>
      <c r="R26" s="714" t="s">
        <v>21</v>
      </c>
      <c r="S26" s="715">
        <f t="shared" si="12"/>
        <v>100</v>
      </c>
      <c r="T26" s="714" t="s">
        <v>21</v>
      </c>
      <c r="U26" s="715">
        <f t="shared" si="13"/>
        <v>100</v>
      </c>
      <c r="V26" s="714" t="s">
        <v>21</v>
      </c>
      <c r="W26" s="715">
        <f t="shared" si="14"/>
        <v>100</v>
      </c>
      <c r="X26" s="1539"/>
      <c r="Y26" s="329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06"/>
      <c r="Q27" s="1527">
        <f t="shared" si="11"/>
        <v>111</v>
      </c>
      <c r="R27" s="710" t="s">
        <v>21</v>
      </c>
      <c r="S27" s="711">
        <f t="shared" si="12"/>
        <v>100</v>
      </c>
      <c r="T27" s="710" t="s">
        <v>21</v>
      </c>
      <c r="U27" s="711">
        <f t="shared" si="13"/>
        <v>100</v>
      </c>
      <c r="V27" s="710" t="s">
        <v>21</v>
      </c>
      <c r="W27" s="711">
        <f t="shared" si="14"/>
        <v>100</v>
      </c>
      <c r="X27" s="712"/>
      <c r="Y27" s="329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06"/>
      <c r="Q28" s="1536">
        <f t="shared" si="11"/>
        <v>111</v>
      </c>
      <c r="R28" s="714" t="s">
        <v>21</v>
      </c>
      <c r="S28" s="715">
        <f t="shared" si="12"/>
        <v>100</v>
      </c>
      <c r="T28" s="714" t="s">
        <v>21</v>
      </c>
      <c r="U28" s="715">
        <f t="shared" si="13"/>
        <v>100</v>
      </c>
      <c r="V28" s="714" t="s">
        <v>21</v>
      </c>
      <c r="W28" s="715">
        <f t="shared" si="14"/>
        <v>100</v>
      </c>
      <c r="X28" s="1539"/>
      <c r="Y28" s="329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06"/>
      <c r="Q29" s="1536">
        <f t="shared" si="11"/>
        <v>111</v>
      </c>
      <c r="R29" s="714" t="s">
        <v>21</v>
      </c>
      <c r="S29" s="715">
        <f t="shared" si="12"/>
        <v>100</v>
      </c>
      <c r="T29" s="714" t="s">
        <v>21</v>
      </c>
      <c r="U29" s="715">
        <f t="shared" si="13"/>
        <v>100</v>
      </c>
      <c r="V29" s="714" t="s">
        <v>21</v>
      </c>
      <c r="W29" s="715">
        <f t="shared" si="14"/>
        <v>100</v>
      </c>
      <c r="X29" s="1539"/>
      <c r="Y29" s="329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06"/>
      <c r="Q30" s="1536">
        <f t="shared" si="11"/>
        <v>111</v>
      </c>
      <c r="R30" s="714" t="s">
        <v>21</v>
      </c>
      <c r="S30" s="715">
        <f t="shared" si="12"/>
        <v>100</v>
      </c>
      <c r="T30" s="714" t="s">
        <v>21</v>
      </c>
      <c r="U30" s="715">
        <f t="shared" si="13"/>
        <v>100</v>
      </c>
      <c r="V30" s="714" t="s">
        <v>21</v>
      </c>
      <c r="W30" s="715">
        <f t="shared" si="14"/>
        <v>100</v>
      </c>
      <c r="X30" s="1539"/>
      <c r="Y30" s="329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06"/>
      <c r="Q31" s="1536">
        <f t="shared" si="11"/>
        <v>111</v>
      </c>
      <c r="R31" s="714" t="s">
        <v>21</v>
      </c>
      <c r="S31" s="715">
        <f t="shared" si="12"/>
        <v>100</v>
      </c>
      <c r="T31" s="714" t="s">
        <v>21</v>
      </c>
      <c r="U31" s="715">
        <f t="shared" si="13"/>
        <v>100</v>
      </c>
      <c r="V31" s="714" t="s">
        <v>21</v>
      </c>
      <c r="W31" s="715">
        <f t="shared" si="14"/>
        <v>100</v>
      </c>
      <c r="X31" s="1539"/>
      <c r="Y31" s="3299"/>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00" t="s">
        <v>2385</v>
      </c>
      <c r="Q32" s="1536" t="str">
        <f t="shared" si="11"/>
        <v>建筑类型</v>
      </c>
      <c r="R32" s="714" t="s">
        <v>21</v>
      </c>
      <c r="S32" s="715">
        <f t="shared" si="12"/>
        <v>100</v>
      </c>
      <c r="T32" s="714" t="s">
        <v>21</v>
      </c>
      <c r="U32" s="715">
        <f t="shared" si="13"/>
        <v>100</v>
      </c>
      <c r="V32" s="714" t="s">
        <v>21</v>
      </c>
      <c r="W32" s="715">
        <f t="shared" si="14"/>
        <v>100</v>
      </c>
      <c r="X32" s="1539"/>
      <c r="Y32" s="330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01"/>
      <c r="Q33" s="716" t="str">
        <f t="shared" si="11"/>
        <v>项目建筑规模</v>
      </c>
      <c r="R33" s="717" t="s">
        <v>21</v>
      </c>
      <c r="S33" s="718" t="e">
        <f t="shared" si="12"/>
        <v>#N/A</v>
      </c>
      <c r="T33" s="717" t="s">
        <v>21</v>
      </c>
      <c r="U33" s="718" t="e">
        <f t="shared" si="13"/>
        <v>#N/A</v>
      </c>
      <c r="V33" s="717" t="s">
        <v>21</v>
      </c>
      <c r="W33" s="718" t="e">
        <f t="shared" si="14"/>
        <v>#N/A</v>
      </c>
      <c r="X33" s="719"/>
      <c r="Y33" s="3303"/>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01"/>
      <c r="Q34" s="1536" t="str">
        <f t="shared" si="11"/>
        <v>建筑结构</v>
      </c>
      <c r="R34" s="714" t="s">
        <v>21</v>
      </c>
      <c r="S34" s="715">
        <f t="shared" si="12"/>
        <v>100</v>
      </c>
      <c r="T34" s="714" t="s">
        <v>21</v>
      </c>
      <c r="U34" s="715">
        <f t="shared" si="13"/>
        <v>100</v>
      </c>
      <c r="V34" s="714" t="s">
        <v>21</v>
      </c>
      <c r="W34" s="715">
        <f t="shared" si="14"/>
        <v>100</v>
      </c>
      <c r="X34" s="1539"/>
      <c r="Y34" s="3303"/>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01"/>
      <c r="Q35" s="1536" t="str">
        <f t="shared" si="11"/>
        <v>建筑品质</v>
      </c>
      <c r="R35" s="714" t="s">
        <v>21</v>
      </c>
      <c r="S35" s="715">
        <f t="shared" si="12"/>
        <v>100</v>
      </c>
      <c r="T35" s="714" t="s">
        <v>21</v>
      </c>
      <c r="U35" s="715">
        <f t="shared" si="13"/>
        <v>100</v>
      </c>
      <c r="V35" s="714" t="s">
        <v>21</v>
      </c>
      <c r="W35" s="715">
        <f t="shared" si="14"/>
        <v>100</v>
      </c>
      <c r="X35" s="1539"/>
      <c r="Y35" s="3303"/>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01"/>
      <c r="Q36" s="1536" t="str">
        <f t="shared" si="11"/>
        <v>公共部分装修</v>
      </c>
      <c r="R36" s="714" t="s">
        <v>21</v>
      </c>
      <c r="S36" s="715">
        <f t="shared" si="12"/>
        <v>100</v>
      </c>
      <c r="T36" s="714" t="s">
        <v>21</v>
      </c>
      <c r="U36" s="715">
        <f t="shared" si="13"/>
        <v>100</v>
      </c>
      <c r="V36" s="714" t="s">
        <v>21</v>
      </c>
      <c r="W36" s="715">
        <f t="shared" si="14"/>
        <v>100</v>
      </c>
      <c r="X36" s="1539"/>
      <c r="Y36" s="330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01"/>
      <c r="Q37" s="1527" t="str">
        <f t="shared" si="11"/>
        <v>成新度</v>
      </c>
      <c r="R37" s="710" t="s">
        <v>21</v>
      </c>
      <c r="S37" s="711" t="e">
        <f t="shared" si="12"/>
        <v>#N/A</v>
      </c>
      <c r="T37" s="710" t="s">
        <v>21</v>
      </c>
      <c r="U37" s="711" t="e">
        <f t="shared" si="13"/>
        <v>#N/A</v>
      </c>
      <c r="V37" s="710" t="s">
        <v>21</v>
      </c>
      <c r="W37" s="711" t="e">
        <f t="shared" si="14"/>
        <v>#N/A</v>
      </c>
      <c r="X37" s="712"/>
      <c r="Y37" s="3303"/>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01" t="s">
        <v>2385</v>
      </c>
      <c r="Q38" s="1536" t="str">
        <f t="shared" si="11"/>
        <v>物业管理</v>
      </c>
      <c r="R38" s="714" t="s">
        <v>21</v>
      </c>
      <c r="S38" s="715">
        <f t="shared" si="12"/>
        <v>100</v>
      </c>
      <c r="T38" s="714" t="s">
        <v>21</v>
      </c>
      <c r="U38" s="715">
        <f t="shared" si="13"/>
        <v>100</v>
      </c>
      <c r="V38" s="714" t="s">
        <v>21</v>
      </c>
      <c r="W38" s="715">
        <f t="shared" si="14"/>
        <v>100</v>
      </c>
      <c r="X38" s="1539"/>
      <c r="Y38" s="3303"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01"/>
      <c r="Q39" s="1536" t="str">
        <f t="shared" si="11"/>
        <v>市政基础设施</v>
      </c>
      <c r="R39" s="714" t="s">
        <v>21</v>
      </c>
      <c r="S39" s="715">
        <f t="shared" si="12"/>
        <v>100</v>
      </c>
      <c r="T39" s="714" t="s">
        <v>21</v>
      </c>
      <c r="U39" s="715">
        <f t="shared" si="13"/>
        <v>100</v>
      </c>
      <c r="V39" s="714" t="s">
        <v>21</v>
      </c>
      <c r="W39" s="715">
        <f t="shared" si="14"/>
        <v>100</v>
      </c>
      <c r="X39" s="1539"/>
      <c r="Y39" s="3303"/>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01"/>
      <c r="Q40" s="1536" t="str">
        <f t="shared" si="11"/>
        <v>房型</v>
      </c>
      <c r="R40" s="714" t="s">
        <v>21</v>
      </c>
      <c r="S40" s="715">
        <f t="shared" si="12"/>
        <v>100</v>
      </c>
      <c r="T40" s="714" t="s">
        <v>21</v>
      </c>
      <c r="U40" s="715">
        <f t="shared" si="13"/>
        <v>100</v>
      </c>
      <c r="V40" s="714" t="s">
        <v>21</v>
      </c>
      <c r="W40" s="715">
        <f t="shared" si="14"/>
        <v>100</v>
      </c>
      <c r="X40" s="1539"/>
      <c r="Y40" s="330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01"/>
      <c r="Q41" s="716" t="str">
        <f t="shared" si="11"/>
        <v>单套/主力户型建筑面积</v>
      </c>
      <c r="R41" s="717" t="s">
        <v>21</v>
      </c>
      <c r="S41" s="718">
        <f t="shared" si="12"/>
        <v>100</v>
      </c>
      <c r="T41" s="717" t="s">
        <v>21</v>
      </c>
      <c r="U41" s="718">
        <f t="shared" si="13"/>
        <v>100</v>
      </c>
      <c r="V41" s="717" t="s">
        <v>21</v>
      </c>
      <c r="W41" s="718">
        <f t="shared" si="14"/>
        <v>100</v>
      </c>
      <c r="X41" s="719"/>
      <c r="Y41" s="3303"/>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01"/>
      <c r="Q42" s="1536" t="str">
        <f t="shared" si="11"/>
        <v>内部装修</v>
      </c>
      <c r="R42" s="714" t="s">
        <v>21</v>
      </c>
      <c r="S42" s="715">
        <f t="shared" si="12"/>
        <v>100</v>
      </c>
      <c r="T42" s="714" t="s">
        <v>21</v>
      </c>
      <c r="U42" s="715">
        <f t="shared" si="13"/>
        <v>100</v>
      </c>
      <c r="V42" s="714" t="s">
        <v>21</v>
      </c>
      <c r="W42" s="715">
        <f t="shared" si="14"/>
        <v>100</v>
      </c>
      <c r="X42" s="1539"/>
      <c r="Y42" s="3303"/>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01"/>
      <c r="Q43" s="1536" t="str">
        <f t="shared" si="11"/>
        <v>内部装修维护情况</v>
      </c>
      <c r="R43" s="714" t="s">
        <v>21</v>
      </c>
      <c r="S43" s="715">
        <f t="shared" si="12"/>
        <v>100</v>
      </c>
      <c r="T43" s="714" t="s">
        <v>21</v>
      </c>
      <c r="U43" s="715">
        <f t="shared" si="13"/>
        <v>100</v>
      </c>
      <c r="V43" s="714" t="s">
        <v>21</v>
      </c>
      <c r="W43" s="715">
        <f t="shared" si="14"/>
        <v>100</v>
      </c>
      <c r="X43" s="1539"/>
      <c r="Y43" s="330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01"/>
      <c r="Q44" s="1527">
        <f t="shared" si="11"/>
        <v>111</v>
      </c>
      <c r="R44" s="710" t="s">
        <v>21</v>
      </c>
      <c r="S44" s="711">
        <f t="shared" si="12"/>
        <v>100</v>
      </c>
      <c r="T44" s="710" t="s">
        <v>21</v>
      </c>
      <c r="U44" s="711">
        <f t="shared" si="13"/>
        <v>100</v>
      </c>
      <c r="V44" s="710" t="s">
        <v>21</v>
      </c>
      <c r="W44" s="711">
        <f t="shared" si="14"/>
        <v>100</v>
      </c>
      <c r="X44" s="712"/>
      <c r="Y44" s="330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01"/>
      <c r="Q45" s="1536">
        <f t="shared" si="11"/>
        <v>111</v>
      </c>
      <c r="R45" s="714" t="s">
        <v>21</v>
      </c>
      <c r="S45" s="715">
        <f t="shared" si="12"/>
        <v>100</v>
      </c>
      <c r="T45" s="714" t="s">
        <v>21</v>
      </c>
      <c r="U45" s="715">
        <f t="shared" si="13"/>
        <v>100</v>
      </c>
      <c r="V45" s="714" t="s">
        <v>21</v>
      </c>
      <c r="W45" s="715">
        <f t="shared" si="14"/>
        <v>100</v>
      </c>
      <c r="X45" s="1539"/>
      <c r="Y45" s="330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02"/>
      <c r="Q46" s="1536">
        <f t="shared" si="11"/>
        <v>111</v>
      </c>
      <c r="R46" s="714" t="s">
        <v>20</v>
      </c>
      <c r="S46" s="715">
        <f t="shared" si="12"/>
        <v>100</v>
      </c>
      <c r="T46" s="714" t="s">
        <v>20</v>
      </c>
      <c r="U46" s="715">
        <f t="shared" si="13"/>
        <v>100</v>
      </c>
      <c r="V46" s="714" t="s">
        <v>20</v>
      </c>
      <c r="W46" s="715">
        <f t="shared" si="14"/>
        <v>100</v>
      </c>
      <c r="X46" s="1539"/>
      <c r="Y46" s="330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2"/>
      <c r="M47" s="2953"/>
      <c r="N47" s="2944"/>
      <c r="O47" s="2953"/>
      <c r="P47" s="3296" t="str">
        <f>A47</f>
        <v>成交单价（元/平方米）</v>
      </c>
      <c r="Q47" s="3296"/>
      <c r="R47" s="3297">
        <f>E47</f>
        <v>0</v>
      </c>
      <c r="S47" s="3297"/>
      <c r="T47" s="3297">
        <f>G47</f>
        <v>0</v>
      </c>
      <c r="U47" s="3297"/>
      <c r="V47" s="3297">
        <f>I47</f>
        <v>0</v>
      </c>
      <c r="W47" s="3297"/>
      <c r="X47" s="699"/>
      <c r="Y47" s="721"/>
      <c r="Z47" s="699"/>
      <c r="AA47" s="699"/>
      <c r="AB47" s="699"/>
      <c r="AC47" s="699"/>
    </row>
    <row r="48" spans="1:29" ht="15.75" thickBot="1">
      <c r="A48" s="445" t="s">
        <v>2398</v>
      </c>
      <c r="B48" s="446"/>
      <c r="C48" s="1322" t="e">
        <f>R49</f>
        <v>#DIV/0!</v>
      </c>
      <c r="D48" s="2538" t="s">
        <v>2879</v>
      </c>
      <c r="E48" s="1323" t="e">
        <f>R48</f>
        <v>#DIV/0!</v>
      </c>
      <c r="F48" s="2539"/>
      <c r="G48" s="1322" t="e">
        <f>T48</f>
        <v>#DIV/0!</v>
      </c>
      <c r="H48" s="2539"/>
      <c r="I48" s="1323" t="e">
        <f>V48</f>
        <v>#DIV/0!</v>
      </c>
      <c r="J48" s="2539"/>
      <c r="K48" s="2540">
        <f>F48+H48+J48</f>
        <v>0</v>
      </c>
      <c r="L48" s="2952"/>
      <c r="M48" s="2953"/>
      <c r="N48" s="2953"/>
      <c r="O48" s="2953"/>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2"/>
      <c r="M49" s="2953"/>
      <c r="N49" s="2953"/>
      <c r="O49" s="2953"/>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2021-11</v>
      </c>
      <c r="D58" s="1347">
        <f>EDATE(C58,-1)</f>
        <v>44470</v>
      </c>
      <c r="E58" s="1347">
        <f>EDATE(D58,-1)</f>
        <v>44440</v>
      </c>
      <c r="F58" s="1347">
        <f t="shared" ref="F58:O58" si="19">EDATE(E58,-1)</f>
        <v>44409</v>
      </c>
      <c r="G58" s="1347">
        <f t="shared" si="19"/>
        <v>44378</v>
      </c>
      <c r="H58" s="1347">
        <f t="shared" si="19"/>
        <v>44348</v>
      </c>
      <c r="I58" s="1347">
        <f t="shared" si="19"/>
        <v>44317</v>
      </c>
      <c r="J58" s="1347">
        <f t="shared" si="19"/>
        <v>44287</v>
      </c>
      <c r="K58" s="1347">
        <f t="shared" si="19"/>
        <v>44256</v>
      </c>
      <c r="L58" s="1347">
        <f t="shared" si="19"/>
        <v>44228</v>
      </c>
      <c r="M58" s="1347">
        <f t="shared" si="19"/>
        <v>44197</v>
      </c>
      <c r="N58" s="1347">
        <f t="shared" si="19"/>
        <v>44166</v>
      </c>
      <c r="O58" s="1347">
        <f t="shared" si="19"/>
        <v>44136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49897.21</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2465</v>
      </c>
      <c r="B4" s="362"/>
      <c r="C4" s="3311" t="s">
        <v>2466</v>
      </c>
      <c r="D4" s="3312"/>
      <c r="E4" s="3313" t="s">
        <v>2467</v>
      </c>
      <c r="F4" s="3314"/>
      <c r="G4" s="3311" t="s">
        <v>2468</v>
      </c>
      <c r="H4" s="3312"/>
      <c r="I4" s="3311" t="s">
        <v>2469</v>
      </c>
      <c r="J4" s="3312"/>
      <c r="K4" s="567" t="s">
        <v>2470</v>
      </c>
      <c r="L4" s="2943"/>
      <c r="M4" s="2944"/>
      <c r="N4" s="2944"/>
      <c r="O4" s="2944"/>
      <c r="P4" s="3315" t="s">
        <v>2471</v>
      </c>
      <c r="Q4" s="3316"/>
      <c r="R4" s="3321" t="s">
        <v>2467</v>
      </c>
      <c r="S4" s="3322"/>
      <c r="T4" s="3321" t="s">
        <v>2468</v>
      </c>
      <c r="U4" s="3322"/>
      <c r="V4" s="3327" t="s">
        <v>2469</v>
      </c>
      <c r="W4" s="3327"/>
      <c r="X4" s="1539"/>
      <c r="Y4" s="3321" t="s">
        <v>2471</v>
      </c>
      <c r="Z4" s="3322"/>
      <c r="AA4" s="3308" t="s">
        <v>2467</v>
      </c>
      <c r="AB4" s="3327" t="s">
        <v>2468</v>
      </c>
      <c r="AC4" s="3308" t="s">
        <v>2469</v>
      </c>
    </row>
    <row r="5" spans="1:29" ht="15">
      <c r="A5" s="364"/>
      <c r="B5" s="365"/>
      <c r="C5" s="3330" t="s">
        <v>2362</v>
      </c>
      <c r="D5" s="3331"/>
      <c r="E5" s="3337" t="s">
        <v>2363</v>
      </c>
      <c r="F5" s="3338"/>
      <c r="G5" s="3330" t="s">
        <v>2364</v>
      </c>
      <c r="H5" s="3331"/>
      <c r="I5" s="3330" t="s">
        <v>2365</v>
      </c>
      <c r="J5" s="3331"/>
      <c r="K5" s="567"/>
      <c r="L5" s="2943"/>
      <c r="M5" s="2944"/>
      <c r="N5" s="2944"/>
      <c r="O5" s="2944"/>
      <c r="P5" s="3317"/>
      <c r="Q5" s="3318"/>
      <c r="R5" s="3323"/>
      <c r="S5" s="3324"/>
      <c r="T5" s="3323"/>
      <c r="U5" s="3324"/>
      <c r="V5" s="3327"/>
      <c r="W5" s="3327"/>
      <c r="X5" s="1539"/>
      <c r="Y5" s="3323"/>
      <c r="Z5" s="3324"/>
      <c r="AA5" s="3309"/>
      <c r="AB5" s="3327"/>
      <c r="AC5" s="3309"/>
    </row>
    <row r="6" spans="1:29" ht="15.75" thickBot="1">
      <c r="A6" s="366"/>
      <c r="B6" s="367"/>
      <c r="C6" s="3328" t="s">
        <v>2366</v>
      </c>
      <c r="D6" s="3329"/>
      <c r="E6" s="3335" t="s">
        <v>2366</v>
      </c>
      <c r="F6" s="3336"/>
      <c r="G6" s="3328" t="s">
        <v>2366</v>
      </c>
      <c r="H6" s="3329"/>
      <c r="I6" s="3328" t="s">
        <v>2366</v>
      </c>
      <c r="J6" s="3329"/>
      <c r="K6" s="567" t="s">
        <v>2367</v>
      </c>
      <c r="L6" s="2943"/>
      <c r="M6" s="2944"/>
      <c r="N6" s="2944"/>
      <c r="O6" s="2944"/>
      <c r="P6" s="3319"/>
      <c r="Q6" s="3320"/>
      <c r="R6" s="3323"/>
      <c r="S6" s="3324"/>
      <c r="T6" s="3325"/>
      <c r="U6" s="3326"/>
      <c r="V6" s="3327"/>
      <c r="W6" s="3327"/>
      <c r="X6" s="1539"/>
      <c r="Y6" s="3325"/>
      <c r="Z6" s="3326"/>
      <c r="AA6" s="3310"/>
      <c r="AB6" s="3327"/>
      <c r="AC6" s="3310"/>
    </row>
    <row r="7" spans="1:29" s="113" customFormat="1" ht="15.75" thickBot="1">
      <c r="A7" s="368" t="s">
        <v>2368</v>
      </c>
      <c r="B7" s="369"/>
      <c r="C7" s="370">
        <f>'数据-取费表'!B2</f>
        <v>44525</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32" t="s">
        <v>2369</v>
      </c>
      <c r="Q7" s="3334"/>
      <c r="R7" s="710" t="s">
        <v>17</v>
      </c>
      <c r="S7" s="711">
        <f t="shared" ref="S7:S15" si="0">F7</f>
        <v>0</v>
      </c>
      <c r="T7" s="710" t="s">
        <v>17</v>
      </c>
      <c r="U7" s="711">
        <f t="shared" ref="U7:U15" si="1">H7</f>
        <v>0</v>
      </c>
      <c r="V7" s="710" t="s">
        <v>17</v>
      </c>
      <c r="W7" s="711">
        <f t="shared" ref="W7:W15" si="2">J7</f>
        <v>0</v>
      </c>
      <c r="X7" s="712"/>
      <c r="Y7" s="3332" t="s">
        <v>2369</v>
      </c>
      <c r="Z7" s="3333"/>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32" t="s">
        <v>2372</v>
      </c>
      <c r="Q8" s="3333"/>
      <c r="R8" s="710" t="s">
        <v>17</v>
      </c>
      <c r="S8" s="711">
        <f t="shared" si="0"/>
        <v>0</v>
      </c>
      <c r="T8" s="710" t="s">
        <v>17</v>
      </c>
      <c r="U8" s="711">
        <f t="shared" si="1"/>
        <v>0</v>
      </c>
      <c r="V8" s="710" t="s">
        <v>17</v>
      </c>
      <c r="W8" s="711">
        <f t="shared" si="2"/>
        <v>0</v>
      </c>
      <c r="X8" s="712"/>
      <c r="Y8" s="3332" t="s">
        <v>2372</v>
      </c>
      <c r="Z8" s="3333"/>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7" t="s">
        <v>2375</v>
      </c>
      <c r="Q9" s="1527" t="str">
        <f t="shared" ref="Q9:Q15" si="6">B9</f>
        <v>用途</v>
      </c>
      <c r="R9" s="710" t="s">
        <v>17</v>
      </c>
      <c r="S9" s="711">
        <f t="shared" si="0"/>
        <v>100</v>
      </c>
      <c r="T9" s="710" t="s">
        <v>17</v>
      </c>
      <c r="U9" s="711">
        <f t="shared" si="1"/>
        <v>100</v>
      </c>
      <c r="V9" s="710" t="s">
        <v>17</v>
      </c>
      <c r="W9" s="711">
        <f t="shared" si="2"/>
        <v>100</v>
      </c>
      <c r="X9" s="712"/>
      <c r="Y9" s="316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7"/>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7"/>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7"/>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7"/>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7"/>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05" t="s">
        <v>2380</v>
      </c>
      <c r="Q15" s="1536" t="str">
        <f t="shared" si="6"/>
        <v>商业繁华度</v>
      </c>
      <c r="R15" s="714" t="s">
        <v>17</v>
      </c>
      <c r="S15" s="715">
        <f t="shared" si="0"/>
        <v>100</v>
      </c>
      <c r="T15" s="714" t="s">
        <v>17</v>
      </c>
      <c r="U15" s="715">
        <f t="shared" si="1"/>
        <v>100</v>
      </c>
      <c r="V15" s="714" t="s">
        <v>17</v>
      </c>
      <c r="W15" s="715">
        <f t="shared" si="2"/>
        <v>100</v>
      </c>
      <c r="X15" s="1539"/>
      <c r="Y15" s="3298"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06"/>
      <c r="Q16" s="1536"/>
      <c r="R16" s="714"/>
      <c r="S16" s="715"/>
      <c r="T16" s="714"/>
      <c r="U16" s="715"/>
      <c r="V16" s="714"/>
      <c r="W16" s="715"/>
      <c r="X16" s="1539"/>
      <c r="Y16" s="3299"/>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06"/>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06"/>
      <c r="Q18" s="1536"/>
      <c r="R18" s="714"/>
      <c r="S18" s="715"/>
      <c r="T18" s="714"/>
      <c r="U18" s="715"/>
      <c r="V18" s="714"/>
      <c r="W18" s="715"/>
      <c r="X18" s="1539"/>
      <c r="Y18" s="3299"/>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06"/>
      <c r="Q19" s="1536" t="str">
        <f>B19</f>
        <v>公共配套设施</v>
      </c>
      <c r="R19" s="714" t="s">
        <v>17</v>
      </c>
      <c r="S19" s="715">
        <f>F19</f>
        <v>100</v>
      </c>
      <c r="T19" s="714" t="s">
        <v>17</v>
      </c>
      <c r="U19" s="715">
        <f>H19</f>
        <v>100</v>
      </c>
      <c r="V19" s="714" t="s">
        <v>17</v>
      </c>
      <c r="W19" s="715">
        <f>J19</f>
        <v>100</v>
      </c>
      <c r="X19" s="1539"/>
      <c r="Y19" s="329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06"/>
      <c r="Q20" s="1536"/>
      <c r="R20" s="714"/>
      <c r="S20" s="715"/>
      <c r="T20" s="714"/>
      <c r="U20" s="715"/>
      <c r="V20" s="714"/>
      <c r="W20" s="715"/>
      <c r="X20" s="1539"/>
      <c r="Y20" s="3299"/>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06"/>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06"/>
      <c r="Q22" s="1536"/>
      <c r="R22" s="714"/>
      <c r="S22" s="715"/>
      <c r="T22" s="714"/>
      <c r="U22" s="715"/>
      <c r="V22" s="714"/>
      <c r="W22" s="715"/>
      <c r="X22" s="1539"/>
      <c r="Y22" s="3299"/>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06"/>
      <c r="Q23" s="1536" t="str">
        <f>B23</f>
        <v>自然及人文环境</v>
      </c>
      <c r="R23" s="714" t="s">
        <v>17</v>
      </c>
      <c r="S23" s="715">
        <f>F23</f>
        <v>100</v>
      </c>
      <c r="T23" s="714" t="s">
        <v>17</v>
      </c>
      <c r="U23" s="715">
        <f>H23</f>
        <v>100</v>
      </c>
      <c r="V23" s="714" t="s">
        <v>17</v>
      </c>
      <c r="W23" s="715">
        <f>J23</f>
        <v>100</v>
      </c>
      <c r="X23" s="1539"/>
      <c r="Y23" s="329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06"/>
      <c r="Q24" s="1536"/>
      <c r="R24" s="714"/>
      <c r="S24" s="715"/>
      <c r="T24" s="714"/>
      <c r="U24" s="715"/>
      <c r="V24" s="714"/>
      <c r="W24" s="715"/>
      <c r="X24" s="1539"/>
      <c r="Y24" s="3299"/>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06"/>
      <c r="Q25" s="1536" t="str">
        <f t="shared" ref="Q25:Q46" si="11">B25</f>
        <v>临街状况</v>
      </c>
      <c r="R25" s="714" t="s">
        <v>17</v>
      </c>
      <c r="S25" s="715">
        <f>F25</f>
        <v>100</v>
      </c>
      <c r="T25" s="714" t="s">
        <v>17</v>
      </c>
      <c r="U25" s="715">
        <f>H25</f>
        <v>100</v>
      </c>
      <c r="V25" s="714" t="s">
        <v>17</v>
      </c>
      <c r="W25" s="715">
        <f>J25</f>
        <v>100</v>
      </c>
      <c r="X25" s="1539"/>
      <c r="Y25" s="3299"/>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06"/>
      <c r="Q26" s="1536" t="str">
        <f t="shared" si="11"/>
        <v>平面位置/可视性</v>
      </c>
      <c r="R26" s="714" t="s">
        <v>17</v>
      </c>
      <c r="S26" s="715">
        <f>F26</f>
        <v>100</v>
      </c>
      <c r="T26" s="714" t="s">
        <v>17</v>
      </c>
      <c r="U26" s="715">
        <f>H26</f>
        <v>100</v>
      </c>
      <c r="V26" s="714" t="s">
        <v>17</v>
      </c>
      <c r="W26" s="715">
        <f>J26</f>
        <v>100</v>
      </c>
      <c r="X26" s="1539"/>
      <c r="Y26" s="3299"/>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06"/>
      <c r="Q27" s="1527" t="str">
        <f t="shared" si="11"/>
        <v>人流量</v>
      </c>
      <c r="R27" s="710" t="s">
        <v>17</v>
      </c>
      <c r="S27" s="711">
        <f>F27</f>
        <v>100</v>
      </c>
      <c r="T27" s="710" t="s">
        <v>17</v>
      </c>
      <c r="U27" s="711">
        <f>H27</f>
        <v>100</v>
      </c>
      <c r="V27" s="710" t="s">
        <v>17</v>
      </c>
      <c r="W27" s="711">
        <f>J27</f>
        <v>100</v>
      </c>
      <c r="X27" s="712"/>
      <c r="Y27" s="3299"/>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0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6"/>
      <c r="Q29" s="1536">
        <f t="shared" si="11"/>
        <v>111</v>
      </c>
      <c r="R29" s="714" t="s">
        <v>17</v>
      </c>
      <c r="S29" s="715">
        <f t="shared" si="12"/>
        <v>100</v>
      </c>
      <c r="T29" s="714" t="s">
        <v>17</v>
      </c>
      <c r="U29" s="715">
        <f t="shared" si="13"/>
        <v>100</v>
      </c>
      <c r="V29" s="714" t="s">
        <v>17</v>
      </c>
      <c r="W29" s="715">
        <f t="shared" si="14"/>
        <v>100</v>
      </c>
      <c r="X29" s="1539"/>
      <c r="Y29" s="329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6"/>
      <c r="Q30" s="1536">
        <f t="shared" si="11"/>
        <v>111</v>
      </c>
      <c r="R30" s="714" t="s">
        <v>17</v>
      </c>
      <c r="S30" s="715">
        <f t="shared" si="12"/>
        <v>100</v>
      </c>
      <c r="T30" s="714" t="s">
        <v>17</v>
      </c>
      <c r="U30" s="715">
        <f t="shared" si="13"/>
        <v>100</v>
      </c>
      <c r="V30" s="714" t="s">
        <v>17</v>
      </c>
      <c r="W30" s="715">
        <f t="shared" si="14"/>
        <v>100</v>
      </c>
      <c r="X30" s="1539"/>
      <c r="Y30" s="329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6"/>
      <c r="Q31" s="1536">
        <f t="shared" si="11"/>
        <v>111</v>
      </c>
      <c r="R31" s="714" t="s">
        <v>17</v>
      </c>
      <c r="S31" s="715">
        <f t="shared" si="12"/>
        <v>100</v>
      </c>
      <c r="T31" s="714" t="s">
        <v>17</v>
      </c>
      <c r="U31" s="715">
        <f t="shared" si="13"/>
        <v>100</v>
      </c>
      <c r="V31" s="714" t="s">
        <v>17</v>
      </c>
      <c r="W31" s="715">
        <f t="shared" si="14"/>
        <v>100</v>
      </c>
      <c r="X31" s="1539"/>
      <c r="Y31" s="3299"/>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00" t="s">
        <v>2385</v>
      </c>
      <c r="Q32" s="1536" t="str">
        <f t="shared" si="11"/>
        <v>商业类型</v>
      </c>
      <c r="R32" s="714" t="s">
        <v>17</v>
      </c>
      <c r="S32" s="715">
        <f t="shared" si="12"/>
        <v>100</v>
      </c>
      <c r="T32" s="714" t="s">
        <v>17</v>
      </c>
      <c r="U32" s="715">
        <f t="shared" si="13"/>
        <v>100</v>
      </c>
      <c r="V32" s="714" t="s">
        <v>17</v>
      </c>
      <c r="W32" s="715">
        <f t="shared" si="14"/>
        <v>100</v>
      </c>
      <c r="X32" s="1539"/>
      <c r="Y32" s="3303"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01"/>
      <c r="Q33" s="716" t="str">
        <f t="shared" si="11"/>
        <v>项目建筑规模</v>
      </c>
      <c r="R33" s="717" t="s">
        <v>17</v>
      </c>
      <c r="S33" s="718" t="e">
        <f t="shared" si="12"/>
        <v>#N/A</v>
      </c>
      <c r="T33" s="717" t="s">
        <v>17</v>
      </c>
      <c r="U33" s="718" t="e">
        <f t="shared" si="13"/>
        <v>#N/A</v>
      </c>
      <c r="V33" s="717" t="s">
        <v>17</v>
      </c>
      <c r="W33" s="718" t="e">
        <f t="shared" si="14"/>
        <v>#N/A</v>
      </c>
      <c r="X33" s="719"/>
      <c r="Y33" s="3303"/>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01"/>
      <c r="Q34" s="1536" t="str">
        <f t="shared" si="11"/>
        <v>建筑结构</v>
      </c>
      <c r="R34" s="714" t="s">
        <v>17</v>
      </c>
      <c r="S34" s="715">
        <f t="shared" si="12"/>
        <v>100</v>
      </c>
      <c r="T34" s="714" t="s">
        <v>17</v>
      </c>
      <c r="U34" s="715">
        <f t="shared" si="13"/>
        <v>100</v>
      </c>
      <c r="V34" s="714" t="s">
        <v>17</v>
      </c>
      <c r="W34" s="715">
        <f t="shared" si="14"/>
        <v>100</v>
      </c>
      <c r="X34" s="1539"/>
      <c r="Y34" s="3303"/>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01"/>
      <c r="Q35" s="1536" t="str">
        <f t="shared" si="11"/>
        <v>公共部分装修</v>
      </c>
      <c r="R35" s="714" t="s">
        <v>17</v>
      </c>
      <c r="S35" s="715">
        <f t="shared" si="12"/>
        <v>100</v>
      </c>
      <c r="T35" s="714" t="s">
        <v>17</v>
      </c>
      <c r="U35" s="715">
        <f t="shared" si="13"/>
        <v>100</v>
      </c>
      <c r="V35" s="714" t="s">
        <v>17</v>
      </c>
      <c r="W35" s="715">
        <f t="shared" si="14"/>
        <v>100</v>
      </c>
      <c r="X35" s="1539"/>
      <c r="Y35" s="3303"/>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01"/>
      <c r="Q36" s="1536" t="str">
        <f t="shared" si="11"/>
        <v>成新度</v>
      </c>
      <c r="R36" s="714" t="s">
        <v>17</v>
      </c>
      <c r="S36" s="715" t="e">
        <f t="shared" si="12"/>
        <v>#N/A</v>
      </c>
      <c r="T36" s="714" t="s">
        <v>17</v>
      </c>
      <c r="U36" s="715" t="e">
        <f t="shared" si="13"/>
        <v>#N/A</v>
      </c>
      <c r="V36" s="714" t="s">
        <v>17</v>
      </c>
      <c r="W36" s="715" t="e">
        <f t="shared" si="14"/>
        <v>#N/A</v>
      </c>
      <c r="X36" s="1539"/>
      <c r="Y36" s="3303"/>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01"/>
      <c r="Q37" s="1527" t="str">
        <f t="shared" si="11"/>
        <v>市政基础设施</v>
      </c>
      <c r="R37" s="710" t="s">
        <v>17</v>
      </c>
      <c r="S37" s="711">
        <f t="shared" si="12"/>
        <v>100</v>
      </c>
      <c r="T37" s="710" t="s">
        <v>17</v>
      </c>
      <c r="U37" s="711">
        <f t="shared" si="13"/>
        <v>100</v>
      </c>
      <c r="V37" s="710" t="s">
        <v>17</v>
      </c>
      <c r="W37" s="711">
        <f t="shared" si="14"/>
        <v>100</v>
      </c>
      <c r="X37" s="712"/>
      <c r="Y37" s="3303"/>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01" t="s">
        <v>2385</v>
      </c>
      <c r="Q38" s="1536" t="str">
        <f t="shared" si="11"/>
        <v>业态</v>
      </c>
      <c r="R38" s="714" t="s">
        <v>17</v>
      </c>
      <c r="S38" s="715">
        <f t="shared" si="12"/>
        <v>100</v>
      </c>
      <c r="T38" s="714" t="s">
        <v>17</v>
      </c>
      <c r="U38" s="715">
        <f t="shared" si="13"/>
        <v>100</v>
      </c>
      <c r="V38" s="714" t="s">
        <v>17</v>
      </c>
      <c r="W38" s="715">
        <f t="shared" si="14"/>
        <v>100</v>
      </c>
      <c r="X38" s="1539"/>
      <c r="Y38" s="3303"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01"/>
      <c r="Q39" s="1536" t="str">
        <f t="shared" si="11"/>
        <v>层高</v>
      </c>
      <c r="R39" s="714" t="s">
        <v>17</v>
      </c>
      <c r="S39" s="715">
        <f t="shared" si="12"/>
        <v>100</v>
      </c>
      <c r="T39" s="714" t="s">
        <v>17</v>
      </c>
      <c r="U39" s="715">
        <f t="shared" si="13"/>
        <v>100</v>
      </c>
      <c r="V39" s="714" t="s">
        <v>17</v>
      </c>
      <c r="W39" s="715">
        <f t="shared" si="14"/>
        <v>100</v>
      </c>
      <c r="X39" s="1539"/>
      <c r="Y39" s="3303"/>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01"/>
      <c r="Q40" s="1536" t="str">
        <f t="shared" si="11"/>
        <v>单套建筑面积</v>
      </c>
      <c r="R40" s="714" t="s">
        <v>17</v>
      </c>
      <c r="S40" s="715">
        <f t="shared" si="12"/>
        <v>100</v>
      </c>
      <c r="T40" s="714" t="s">
        <v>17</v>
      </c>
      <c r="U40" s="715">
        <f t="shared" si="13"/>
        <v>100</v>
      </c>
      <c r="V40" s="714" t="s">
        <v>17</v>
      </c>
      <c r="W40" s="715">
        <f t="shared" si="14"/>
        <v>100</v>
      </c>
      <c r="X40" s="1539"/>
      <c r="Y40" s="3303"/>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01"/>
      <c r="Q41" s="716" t="str">
        <f t="shared" si="11"/>
        <v>进深比</v>
      </c>
      <c r="R41" s="717" t="s">
        <v>17</v>
      </c>
      <c r="S41" s="718">
        <f t="shared" si="12"/>
        <v>100</v>
      </c>
      <c r="T41" s="717" t="s">
        <v>17</v>
      </c>
      <c r="U41" s="718">
        <f t="shared" si="13"/>
        <v>100</v>
      </c>
      <c r="V41" s="717" t="s">
        <v>17</v>
      </c>
      <c r="W41" s="718">
        <f t="shared" si="14"/>
        <v>100</v>
      </c>
      <c r="X41" s="719"/>
      <c r="Y41" s="3303"/>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01"/>
      <c r="Q42" s="1536" t="str">
        <f t="shared" si="11"/>
        <v>内部装修</v>
      </c>
      <c r="R42" s="714" t="s">
        <v>17</v>
      </c>
      <c r="S42" s="715">
        <f t="shared" si="12"/>
        <v>100</v>
      </c>
      <c r="T42" s="714" t="s">
        <v>17</v>
      </c>
      <c r="U42" s="715">
        <f t="shared" si="13"/>
        <v>100</v>
      </c>
      <c r="V42" s="714" t="s">
        <v>17</v>
      </c>
      <c r="W42" s="715">
        <f t="shared" si="14"/>
        <v>100</v>
      </c>
      <c r="X42" s="1539"/>
      <c r="Y42" s="3303"/>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01"/>
      <c r="Q43" s="1536" t="str">
        <f t="shared" si="11"/>
        <v>内部装修维护情况</v>
      </c>
      <c r="R43" s="714" t="s">
        <v>17</v>
      </c>
      <c r="S43" s="715">
        <f t="shared" si="12"/>
        <v>100</v>
      </c>
      <c r="T43" s="714" t="s">
        <v>17</v>
      </c>
      <c r="U43" s="715">
        <f t="shared" si="13"/>
        <v>100</v>
      </c>
      <c r="V43" s="714" t="s">
        <v>17</v>
      </c>
      <c r="W43" s="715">
        <f t="shared" si="14"/>
        <v>100</v>
      </c>
      <c r="X43" s="1539"/>
      <c r="Y43" s="330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01"/>
      <c r="Q44" s="1527">
        <f t="shared" si="11"/>
        <v>111</v>
      </c>
      <c r="R44" s="710" t="s">
        <v>17</v>
      </c>
      <c r="S44" s="711">
        <f t="shared" si="12"/>
        <v>100</v>
      </c>
      <c r="T44" s="710" t="s">
        <v>17</v>
      </c>
      <c r="U44" s="711">
        <f t="shared" si="13"/>
        <v>100</v>
      </c>
      <c r="V44" s="710" t="s">
        <v>17</v>
      </c>
      <c r="W44" s="711">
        <f t="shared" si="14"/>
        <v>100</v>
      </c>
      <c r="X44" s="712"/>
      <c r="Y44" s="330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01"/>
      <c r="Q45" s="1536">
        <f t="shared" si="11"/>
        <v>111</v>
      </c>
      <c r="R45" s="714" t="s">
        <v>17</v>
      </c>
      <c r="S45" s="715">
        <f t="shared" si="12"/>
        <v>100</v>
      </c>
      <c r="T45" s="714" t="s">
        <v>17</v>
      </c>
      <c r="U45" s="715">
        <f t="shared" si="13"/>
        <v>100</v>
      </c>
      <c r="V45" s="714" t="s">
        <v>17</v>
      </c>
      <c r="W45" s="715">
        <f t="shared" si="14"/>
        <v>100</v>
      </c>
      <c r="X45" s="1539"/>
      <c r="Y45" s="330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02"/>
      <c r="Q46" s="1536">
        <f t="shared" si="11"/>
        <v>111</v>
      </c>
      <c r="R46" s="714" t="s">
        <v>17</v>
      </c>
      <c r="S46" s="715">
        <f t="shared" si="12"/>
        <v>100</v>
      </c>
      <c r="T46" s="714" t="s">
        <v>17</v>
      </c>
      <c r="U46" s="715">
        <f t="shared" si="13"/>
        <v>100</v>
      </c>
      <c r="V46" s="714" t="s">
        <v>17</v>
      </c>
      <c r="W46" s="715">
        <f t="shared" si="14"/>
        <v>100</v>
      </c>
      <c r="X46" s="1539"/>
      <c r="Y46" s="3304"/>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2"/>
      <c r="M47" s="2953"/>
      <c r="N47" s="2944"/>
      <c r="O47" s="2953"/>
      <c r="P47" s="3296" t="str">
        <f>A47</f>
        <v>成交单价（元/平方米）</v>
      </c>
      <c r="Q47" s="3296"/>
      <c r="R47" s="3327">
        <f>E47</f>
        <v>0</v>
      </c>
      <c r="S47" s="3327"/>
      <c r="T47" s="3327">
        <f>G47</f>
        <v>0</v>
      </c>
      <c r="U47" s="3327"/>
      <c r="V47" s="3327">
        <f>I47</f>
        <v>0</v>
      </c>
      <c r="W47" s="3327"/>
      <c r="X47" s="699"/>
      <c r="Y47" s="721"/>
      <c r="Z47" s="699"/>
      <c r="AA47" s="699"/>
      <c r="AB47" s="699"/>
      <c r="AC47" s="699"/>
    </row>
    <row r="48" spans="1:29" ht="15.75" thickBot="1">
      <c r="A48" s="445" t="s">
        <v>2489</v>
      </c>
      <c r="B48" s="446"/>
      <c r="C48" s="1322" t="e">
        <f>R49</f>
        <v>#DIV/0!</v>
      </c>
      <c r="D48" s="2538" t="s">
        <v>2879</v>
      </c>
      <c r="E48" s="1323" t="e">
        <f>R48</f>
        <v>#DIV/0!</v>
      </c>
      <c r="F48" s="2539"/>
      <c r="G48" s="1322" t="e">
        <f>T48</f>
        <v>#DIV/0!</v>
      </c>
      <c r="H48" s="2539"/>
      <c r="I48" s="1323" t="e">
        <f>V48</f>
        <v>#DIV/0!</v>
      </c>
      <c r="J48" s="2539"/>
      <c r="K48" s="2541">
        <f>F48+H48+J48</f>
        <v>0</v>
      </c>
      <c r="L48" s="2952"/>
      <c r="M48" s="2953"/>
      <c r="N48" s="2944"/>
      <c r="O48" s="2953"/>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2"/>
      <c r="M49" s="2953"/>
      <c r="N49" s="2944"/>
      <c r="O49" s="2953"/>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2494</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2368</v>
      </c>
      <c r="B58" s="463"/>
      <c r="C58" s="1346" t="str">
        <f>YEAR(C7)&amp;"-"&amp;MONTH(C7)</f>
        <v>2021-11</v>
      </c>
      <c r="D58" s="1347">
        <f>EDATE(C58,-1)</f>
        <v>44470</v>
      </c>
      <c r="E58" s="1347">
        <f t="shared" ref="E58:N58" si="16">EDATE(D58,-1)</f>
        <v>44440</v>
      </c>
      <c r="F58" s="1347">
        <f t="shared" si="16"/>
        <v>44409</v>
      </c>
      <c r="G58" s="1347">
        <f t="shared" si="16"/>
        <v>44378</v>
      </c>
      <c r="H58" s="1347">
        <f t="shared" si="16"/>
        <v>44348</v>
      </c>
      <c r="I58" s="1347">
        <f t="shared" si="16"/>
        <v>44317</v>
      </c>
      <c r="J58" s="1347">
        <f t="shared" si="16"/>
        <v>44287</v>
      </c>
      <c r="K58" s="1347">
        <f t="shared" si="16"/>
        <v>44256</v>
      </c>
      <c r="L58" s="1347">
        <f t="shared" si="16"/>
        <v>44228</v>
      </c>
      <c r="M58" s="1347">
        <f t="shared" si="16"/>
        <v>44197</v>
      </c>
      <c r="N58" s="1347">
        <f t="shared" si="16"/>
        <v>44166</v>
      </c>
      <c r="O58" s="1347">
        <f>EDATE(N58,-1)</f>
        <v>44136</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2405</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2370</v>
      </c>
      <c r="B61" s="467"/>
      <c r="C61" s="479" t="s">
        <v>2472</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2379</v>
      </c>
      <c r="B76" s="485" t="s">
        <v>2416</v>
      </c>
      <c r="C76" s="530" t="s">
        <v>2417</v>
      </c>
      <c r="D76" s="530" t="s">
        <v>2418</v>
      </c>
      <c r="E76" s="530" t="s">
        <v>2419</v>
      </c>
      <c r="F76" s="530" t="s">
        <v>2420</v>
      </c>
      <c r="G76" s="530" t="s">
        <v>2421</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2422</v>
      </c>
      <c r="C78" s="535" t="s">
        <v>2417</v>
      </c>
      <c r="D78" s="535" t="s">
        <v>2418</v>
      </c>
      <c r="E78" s="535" t="s">
        <v>2419</v>
      </c>
      <c r="F78" s="535" t="s">
        <v>2420</v>
      </c>
      <c r="G78" s="535" t="s">
        <v>2421</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2423</v>
      </c>
      <c r="C80" s="535" t="s">
        <v>2417</v>
      </c>
      <c r="D80" s="535" t="s">
        <v>2418</v>
      </c>
      <c r="E80" s="535" t="s">
        <v>2419</v>
      </c>
      <c r="F80" s="535" t="s">
        <v>2420</v>
      </c>
      <c r="G80" s="535" t="s">
        <v>2421</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2475</v>
      </c>
      <c r="C82" s="616" t="s">
        <v>2495</v>
      </c>
      <c r="D82" s="616" t="s">
        <v>2496</v>
      </c>
      <c r="E82" s="616" t="s">
        <v>2497</v>
      </c>
      <c r="F82" s="616" t="s">
        <v>2498</v>
      </c>
      <c r="G82" s="616" t="s">
        <v>2499</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2429</v>
      </c>
      <c r="C84" s="535" t="s">
        <v>2417</v>
      </c>
      <c r="D84" s="535" t="s">
        <v>2418</v>
      </c>
      <c r="E84" s="535" t="s">
        <v>2419</v>
      </c>
      <c r="F84" s="535" t="s">
        <v>2420</v>
      </c>
      <c r="G84" s="535" t="s">
        <v>2421</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2500</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2383</v>
      </c>
      <c r="B100" s="485" t="s">
        <v>2501</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2434</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2436</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2438</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2502</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2503</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2504</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2505</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2440</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7" sqref="L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49897.21</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2465</v>
      </c>
      <c r="B4" s="362"/>
      <c r="C4" s="3311" t="s">
        <v>2466</v>
      </c>
      <c r="D4" s="3312"/>
      <c r="E4" s="3313" t="s">
        <v>2467</v>
      </c>
      <c r="F4" s="3314"/>
      <c r="G4" s="3311" t="s">
        <v>2468</v>
      </c>
      <c r="H4" s="3312"/>
      <c r="I4" s="3311" t="s">
        <v>2469</v>
      </c>
      <c r="J4" s="3312"/>
      <c r="K4" s="567" t="s">
        <v>2470</v>
      </c>
      <c r="L4" s="2943"/>
      <c r="M4" s="2944"/>
      <c r="N4" s="2944"/>
      <c r="O4" s="2944"/>
      <c r="P4" s="3345" t="s">
        <v>2471</v>
      </c>
      <c r="Q4" s="3346"/>
      <c r="R4" s="3349" t="s">
        <v>2467</v>
      </c>
      <c r="S4" s="3350"/>
      <c r="T4" s="3349" t="s">
        <v>2468</v>
      </c>
      <c r="U4" s="3350"/>
      <c r="V4" s="3351" t="s">
        <v>2469</v>
      </c>
      <c r="W4" s="3351"/>
      <c r="X4" s="2144"/>
      <c r="Y4" s="3349" t="s">
        <v>2471</v>
      </c>
      <c r="Z4" s="3350"/>
      <c r="AA4" s="3353" t="s">
        <v>2467</v>
      </c>
      <c r="AB4" s="3353" t="s">
        <v>2468</v>
      </c>
      <c r="AC4" s="3342" t="s">
        <v>2469</v>
      </c>
    </row>
    <row r="5" spans="1:29" ht="15">
      <c r="A5" s="364"/>
      <c r="B5" s="365"/>
      <c r="C5" s="3330" t="s">
        <v>2362</v>
      </c>
      <c r="D5" s="3331"/>
      <c r="E5" s="3337" t="s">
        <v>2363</v>
      </c>
      <c r="F5" s="3338"/>
      <c r="G5" s="3330" t="s">
        <v>2364</v>
      </c>
      <c r="H5" s="3331"/>
      <c r="I5" s="3330" t="s">
        <v>2365</v>
      </c>
      <c r="J5" s="3331"/>
      <c r="K5" s="567"/>
      <c r="L5" s="2943"/>
      <c r="M5" s="2944"/>
      <c r="N5" s="2944"/>
      <c r="O5" s="2944"/>
      <c r="P5" s="3347"/>
      <c r="Q5" s="3318"/>
      <c r="R5" s="3323"/>
      <c r="S5" s="3324"/>
      <c r="T5" s="3323"/>
      <c r="U5" s="3324"/>
      <c r="V5" s="3327"/>
      <c r="W5" s="3327"/>
      <c r="X5" s="1539"/>
      <c r="Y5" s="3323"/>
      <c r="Z5" s="3324"/>
      <c r="AA5" s="3309"/>
      <c r="AB5" s="3309"/>
      <c r="AC5" s="3343"/>
    </row>
    <row r="6" spans="1:29" ht="15.75" thickBot="1">
      <c r="A6" s="366"/>
      <c r="B6" s="367"/>
      <c r="C6" s="3328" t="s">
        <v>2366</v>
      </c>
      <c r="D6" s="3329"/>
      <c r="E6" s="3335" t="s">
        <v>2366</v>
      </c>
      <c r="F6" s="3336"/>
      <c r="G6" s="3328" t="s">
        <v>2366</v>
      </c>
      <c r="H6" s="3329"/>
      <c r="I6" s="3328" t="s">
        <v>2366</v>
      </c>
      <c r="J6" s="3329"/>
      <c r="K6" s="567" t="s">
        <v>2367</v>
      </c>
      <c r="L6" s="2943"/>
      <c r="M6" s="2944"/>
      <c r="N6" s="2944"/>
      <c r="O6" s="2944"/>
      <c r="P6" s="3348"/>
      <c r="Q6" s="3320"/>
      <c r="R6" s="3323"/>
      <c r="S6" s="3324"/>
      <c r="T6" s="3325"/>
      <c r="U6" s="3326"/>
      <c r="V6" s="3327"/>
      <c r="W6" s="3327"/>
      <c r="X6" s="1539"/>
      <c r="Y6" s="3325"/>
      <c r="Z6" s="3326"/>
      <c r="AA6" s="3310"/>
      <c r="AB6" s="3310"/>
      <c r="AC6" s="3344"/>
    </row>
    <row r="7" spans="1:29" s="113" customFormat="1" ht="15.75" thickBot="1">
      <c r="A7" s="368" t="s">
        <v>2368</v>
      </c>
      <c r="B7" s="369"/>
      <c r="C7" s="370">
        <f>'数据-取费表'!B2</f>
        <v>44525</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52" t="s">
        <v>2369</v>
      </c>
      <c r="Q7" s="3334"/>
      <c r="R7" s="710" t="s">
        <v>17</v>
      </c>
      <c r="S7" s="711">
        <f t="shared" ref="S7:S15" si="0">F7</f>
        <v>0</v>
      </c>
      <c r="T7" s="710" t="s">
        <v>17</v>
      </c>
      <c r="U7" s="711">
        <f t="shared" ref="U7:U15" si="1">H7</f>
        <v>0</v>
      </c>
      <c r="V7" s="710" t="s">
        <v>17</v>
      </c>
      <c r="W7" s="711">
        <f t="shared" ref="W7:W15" si="2">J7</f>
        <v>0</v>
      </c>
      <c r="X7" s="712"/>
      <c r="Y7" s="3332" t="s">
        <v>2369</v>
      </c>
      <c r="Z7" s="3333"/>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52" t="s">
        <v>2372</v>
      </c>
      <c r="Q8" s="3333"/>
      <c r="R8" s="710" t="s">
        <v>17</v>
      </c>
      <c r="S8" s="711">
        <f t="shared" si="0"/>
        <v>0</v>
      </c>
      <c r="T8" s="710" t="s">
        <v>17</v>
      </c>
      <c r="U8" s="711">
        <f t="shared" si="1"/>
        <v>0</v>
      </c>
      <c r="V8" s="710" t="s">
        <v>17</v>
      </c>
      <c r="W8" s="711">
        <f t="shared" si="2"/>
        <v>0</v>
      </c>
      <c r="X8" s="712"/>
      <c r="Y8" s="3332" t="s">
        <v>2372</v>
      </c>
      <c r="Z8" s="3333"/>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7" t="s">
        <v>2375</v>
      </c>
      <c r="Q9" s="1527" t="str">
        <f t="shared" ref="Q9:Q15" si="6">B9</f>
        <v>用途</v>
      </c>
      <c r="R9" s="710" t="s">
        <v>17</v>
      </c>
      <c r="S9" s="711">
        <f t="shared" si="0"/>
        <v>100</v>
      </c>
      <c r="T9" s="710" t="s">
        <v>17</v>
      </c>
      <c r="U9" s="711">
        <f t="shared" si="1"/>
        <v>100</v>
      </c>
      <c r="V9" s="710" t="s">
        <v>17</v>
      </c>
      <c r="W9" s="711">
        <f t="shared" si="2"/>
        <v>100</v>
      </c>
      <c r="X9" s="712"/>
      <c r="Y9" s="3166"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7"/>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7"/>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07"/>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07"/>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07"/>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05" t="s">
        <v>2380</v>
      </c>
      <c r="Q15" s="1536" t="str">
        <f t="shared" si="6"/>
        <v>办公集聚程度</v>
      </c>
      <c r="R15" s="714" t="s">
        <v>17</v>
      </c>
      <c r="S15" s="715">
        <f t="shared" si="0"/>
        <v>100</v>
      </c>
      <c r="T15" s="714" t="s">
        <v>17</v>
      </c>
      <c r="U15" s="715">
        <f t="shared" si="1"/>
        <v>100</v>
      </c>
      <c r="V15" s="714" t="s">
        <v>17</v>
      </c>
      <c r="W15" s="715">
        <f t="shared" si="2"/>
        <v>100</v>
      </c>
      <c r="X15" s="1539"/>
      <c r="Y15" s="3298"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06"/>
      <c r="Q16" s="1536"/>
      <c r="R16" s="714"/>
      <c r="S16" s="715"/>
      <c r="T16" s="714"/>
      <c r="U16" s="715"/>
      <c r="V16" s="714"/>
      <c r="W16" s="715"/>
      <c r="X16" s="1539"/>
      <c r="Y16" s="3299"/>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06"/>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06"/>
      <c r="Q18" s="1536"/>
      <c r="R18" s="714"/>
      <c r="S18" s="715"/>
      <c r="T18" s="714"/>
      <c r="U18" s="715"/>
      <c r="V18" s="714"/>
      <c r="W18" s="715"/>
      <c r="X18" s="1539"/>
      <c r="Y18" s="3299"/>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06"/>
      <c r="Q19" s="1536" t="str">
        <f>B19</f>
        <v>公共配套设施</v>
      </c>
      <c r="R19" s="714" t="s">
        <v>17</v>
      </c>
      <c r="S19" s="715">
        <f>F19</f>
        <v>100</v>
      </c>
      <c r="T19" s="714" t="s">
        <v>17</v>
      </c>
      <c r="U19" s="715">
        <f>H19</f>
        <v>100</v>
      </c>
      <c r="V19" s="714" t="s">
        <v>17</v>
      </c>
      <c r="W19" s="715">
        <f>J19</f>
        <v>100</v>
      </c>
      <c r="X19" s="1539"/>
      <c r="Y19" s="329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06"/>
      <c r="Q20" s="1536"/>
      <c r="R20" s="714"/>
      <c r="S20" s="715"/>
      <c r="T20" s="714"/>
      <c r="U20" s="715"/>
      <c r="V20" s="714"/>
      <c r="W20" s="715"/>
      <c r="X20" s="1539"/>
      <c r="Y20" s="3299"/>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06"/>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06"/>
      <c r="Q22" s="1536"/>
      <c r="R22" s="714"/>
      <c r="S22" s="715"/>
      <c r="T22" s="714"/>
      <c r="U22" s="715"/>
      <c r="V22" s="714"/>
      <c r="W22" s="715"/>
      <c r="X22" s="1539"/>
      <c r="Y22" s="3299"/>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06"/>
      <c r="Q23" s="1536" t="str">
        <f>B23</f>
        <v>环境质量</v>
      </c>
      <c r="R23" s="714" t="s">
        <v>17</v>
      </c>
      <c r="S23" s="715">
        <f>F23</f>
        <v>100</v>
      </c>
      <c r="T23" s="714" t="s">
        <v>17</v>
      </c>
      <c r="U23" s="715">
        <f>H23</f>
        <v>100</v>
      </c>
      <c r="V23" s="714" t="s">
        <v>17</v>
      </c>
      <c r="W23" s="715">
        <f>J23</f>
        <v>100</v>
      </c>
      <c r="X23" s="1539"/>
      <c r="Y23" s="329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06"/>
      <c r="Q24" s="1536"/>
      <c r="R24" s="714"/>
      <c r="S24" s="715"/>
      <c r="T24" s="714"/>
      <c r="U24" s="715"/>
      <c r="V24" s="714"/>
      <c r="W24" s="715"/>
      <c r="X24" s="1539"/>
      <c r="Y24" s="3299"/>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06"/>
      <c r="Q25" s="1536" t="str">
        <f>B25</f>
        <v>毗邻道路的类型与等级</v>
      </c>
      <c r="R25" s="714" t="s">
        <v>17</v>
      </c>
      <c r="S25" s="715">
        <f>F25</f>
        <v>100</v>
      </c>
      <c r="T25" s="714" t="s">
        <v>17</v>
      </c>
      <c r="U25" s="715">
        <f>H25</f>
        <v>100</v>
      </c>
      <c r="V25" s="714" t="s">
        <v>17</v>
      </c>
      <c r="W25" s="715">
        <f>J25</f>
        <v>100</v>
      </c>
      <c r="X25" s="1539"/>
      <c r="Y25" s="329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06"/>
      <c r="Q26" s="1536"/>
      <c r="R26" s="714"/>
      <c r="S26" s="715"/>
      <c r="T26" s="714"/>
      <c r="U26" s="715"/>
      <c r="V26" s="714"/>
      <c r="W26" s="715"/>
      <c r="X26" s="1539"/>
      <c r="Y26" s="3299"/>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06"/>
      <c r="Q27" s="1536" t="str">
        <f t="shared" ref="Q27:Q47" si="11">B27</f>
        <v>楼层</v>
      </c>
      <c r="R27" s="714" t="s">
        <v>17</v>
      </c>
      <c r="S27" s="715">
        <f>F27</f>
        <v>100</v>
      </c>
      <c r="T27" s="714" t="s">
        <v>17</v>
      </c>
      <c r="U27" s="715">
        <f>H27</f>
        <v>100</v>
      </c>
      <c r="V27" s="714" t="s">
        <v>17</v>
      </c>
      <c r="W27" s="715">
        <f>J27</f>
        <v>100</v>
      </c>
      <c r="X27" s="1539"/>
      <c r="Y27" s="3299"/>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06"/>
      <c r="Q28" s="1527" t="str">
        <f t="shared" si="11"/>
        <v>朝向</v>
      </c>
      <c r="R28" s="710" t="s">
        <v>17</v>
      </c>
      <c r="S28" s="711">
        <f>F28</f>
        <v>100</v>
      </c>
      <c r="T28" s="710" t="s">
        <v>17</v>
      </c>
      <c r="U28" s="711">
        <f>H28</f>
        <v>100</v>
      </c>
      <c r="V28" s="710" t="s">
        <v>17</v>
      </c>
      <c r="W28" s="711">
        <f>J28</f>
        <v>100</v>
      </c>
      <c r="X28" s="712"/>
      <c r="Y28" s="329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06"/>
      <c r="Q29" s="1536">
        <f t="shared" si="11"/>
        <v>111</v>
      </c>
      <c r="R29" s="714" t="s">
        <v>17</v>
      </c>
      <c r="S29" s="715">
        <f t="shared" ref="S29:S47" si="12">F29</f>
        <v>100</v>
      </c>
      <c r="T29" s="714" t="s">
        <v>17</v>
      </c>
      <c r="U29" s="715">
        <f t="shared" ref="U29:U47" si="13">H29</f>
        <v>100</v>
      </c>
      <c r="V29" s="714" t="s">
        <v>17</v>
      </c>
      <c r="W29" s="715">
        <f t="shared" ref="W29:W47" si="14">J29</f>
        <v>100</v>
      </c>
      <c r="X29" s="1539"/>
      <c r="Y29" s="329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06"/>
      <c r="Q30" s="1536">
        <f t="shared" si="11"/>
        <v>111</v>
      </c>
      <c r="R30" s="714" t="s">
        <v>17</v>
      </c>
      <c r="S30" s="715">
        <f t="shared" si="12"/>
        <v>100</v>
      </c>
      <c r="T30" s="714" t="s">
        <v>17</v>
      </c>
      <c r="U30" s="715">
        <f t="shared" si="13"/>
        <v>100</v>
      </c>
      <c r="V30" s="714" t="s">
        <v>17</v>
      </c>
      <c r="W30" s="715">
        <f t="shared" si="14"/>
        <v>100</v>
      </c>
      <c r="X30" s="1539"/>
      <c r="Y30" s="329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06"/>
      <c r="Q31" s="1536">
        <f t="shared" si="11"/>
        <v>111</v>
      </c>
      <c r="R31" s="714" t="s">
        <v>17</v>
      </c>
      <c r="S31" s="715">
        <f t="shared" si="12"/>
        <v>100</v>
      </c>
      <c r="T31" s="714" t="s">
        <v>17</v>
      </c>
      <c r="U31" s="715">
        <f t="shared" si="13"/>
        <v>100</v>
      </c>
      <c r="V31" s="714" t="s">
        <v>17</v>
      </c>
      <c r="W31" s="715">
        <f t="shared" si="14"/>
        <v>100</v>
      </c>
      <c r="X31" s="1539"/>
      <c r="Y31" s="329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06"/>
      <c r="Q32" s="1536">
        <f t="shared" si="11"/>
        <v>111</v>
      </c>
      <c r="R32" s="714" t="s">
        <v>17</v>
      </c>
      <c r="S32" s="715">
        <f t="shared" si="12"/>
        <v>100</v>
      </c>
      <c r="T32" s="714" t="s">
        <v>17</v>
      </c>
      <c r="U32" s="715">
        <f t="shared" si="13"/>
        <v>100</v>
      </c>
      <c r="V32" s="714" t="s">
        <v>17</v>
      </c>
      <c r="W32" s="715">
        <f t="shared" si="14"/>
        <v>100</v>
      </c>
      <c r="X32" s="1539"/>
      <c r="Y32" s="3299"/>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00" t="s">
        <v>2385</v>
      </c>
      <c r="Q33" s="1536" t="str">
        <f t="shared" si="11"/>
        <v>建筑类型</v>
      </c>
      <c r="R33" s="714" t="s">
        <v>17</v>
      </c>
      <c r="S33" s="715">
        <f t="shared" si="12"/>
        <v>100</v>
      </c>
      <c r="T33" s="714" t="s">
        <v>17</v>
      </c>
      <c r="U33" s="715">
        <f t="shared" si="13"/>
        <v>100</v>
      </c>
      <c r="V33" s="714" t="s">
        <v>17</v>
      </c>
      <c r="W33" s="715">
        <f t="shared" si="14"/>
        <v>100</v>
      </c>
      <c r="X33" s="1539"/>
      <c r="Y33" s="3303"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01"/>
      <c r="Q34" s="716" t="str">
        <f t="shared" si="11"/>
        <v>项目建筑规模</v>
      </c>
      <c r="R34" s="717" t="s">
        <v>17</v>
      </c>
      <c r="S34" s="718" t="e">
        <f t="shared" si="12"/>
        <v>#N/A</v>
      </c>
      <c r="T34" s="717" t="s">
        <v>17</v>
      </c>
      <c r="U34" s="718" t="e">
        <f t="shared" si="13"/>
        <v>#N/A</v>
      </c>
      <c r="V34" s="717" t="s">
        <v>17</v>
      </c>
      <c r="W34" s="718" t="e">
        <f t="shared" si="14"/>
        <v>#N/A</v>
      </c>
      <c r="X34" s="719"/>
      <c r="Y34" s="3303"/>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01"/>
      <c r="Q35" s="1536" t="str">
        <f t="shared" si="11"/>
        <v>建筑结构</v>
      </c>
      <c r="R35" s="714" t="s">
        <v>17</v>
      </c>
      <c r="S35" s="715">
        <f t="shared" si="12"/>
        <v>100</v>
      </c>
      <c r="T35" s="714" t="s">
        <v>17</v>
      </c>
      <c r="U35" s="715">
        <f t="shared" si="13"/>
        <v>100</v>
      </c>
      <c r="V35" s="714" t="s">
        <v>17</v>
      </c>
      <c r="W35" s="715">
        <f t="shared" si="14"/>
        <v>100</v>
      </c>
      <c r="X35" s="1539"/>
      <c r="Y35" s="3303"/>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01"/>
      <c r="Q36" s="1536" t="str">
        <f t="shared" si="11"/>
        <v>公共部分装修</v>
      </c>
      <c r="R36" s="714" t="s">
        <v>17</v>
      </c>
      <c r="S36" s="715">
        <f t="shared" si="12"/>
        <v>100</v>
      </c>
      <c r="T36" s="714" t="s">
        <v>17</v>
      </c>
      <c r="U36" s="715">
        <f t="shared" si="13"/>
        <v>100</v>
      </c>
      <c r="V36" s="714" t="s">
        <v>17</v>
      </c>
      <c r="W36" s="715">
        <f t="shared" si="14"/>
        <v>100</v>
      </c>
      <c r="X36" s="1539"/>
      <c r="Y36" s="3303"/>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01"/>
      <c r="Q37" s="1536" t="str">
        <f t="shared" si="11"/>
        <v>成新度</v>
      </c>
      <c r="R37" s="714" t="s">
        <v>17</v>
      </c>
      <c r="S37" s="715" t="e">
        <f t="shared" si="12"/>
        <v>#N/A</v>
      </c>
      <c r="T37" s="714" t="s">
        <v>17</v>
      </c>
      <c r="U37" s="715" t="e">
        <f t="shared" si="13"/>
        <v>#N/A</v>
      </c>
      <c r="V37" s="714" t="s">
        <v>17</v>
      </c>
      <c r="W37" s="715" t="e">
        <f t="shared" si="14"/>
        <v>#N/A</v>
      </c>
      <c r="X37" s="1539"/>
      <c r="Y37" s="3303"/>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01"/>
      <c r="Q38" s="1527" t="str">
        <f t="shared" si="11"/>
        <v>写字楼等级</v>
      </c>
      <c r="R38" s="710" t="s">
        <v>17</v>
      </c>
      <c r="S38" s="711">
        <f t="shared" si="12"/>
        <v>100</v>
      </c>
      <c r="T38" s="710" t="s">
        <v>17</v>
      </c>
      <c r="U38" s="711">
        <f t="shared" si="13"/>
        <v>100</v>
      </c>
      <c r="V38" s="710" t="s">
        <v>17</v>
      </c>
      <c r="W38" s="711">
        <f t="shared" si="14"/>
        <v>100</v>
      </c>
      <c r="X38" s="712"/>
      <c r="Y38" s="3303"/>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01" t="s">
        <v>2385</v>
      </c>
      <c r="Q39" s="1536" t="str">
        <f t="shared" si="11"/>
        <v>物业管理</v>
      </c>
      <c r="R39" s="714" t="s">
        <v>17</v>
      </c>
      <c r="S39" s="715">
        <f t="shared" si="12"/>
        <v>100</v>
      </c>
      <c r="T39" s="714" t="s">
        <v>17</v>
      </c>
      <c r="U39" s="715">
        <f t="shared" si="13"/>
        <v>100</v>
      </c>
      <c r="V39" s="714" t="s">
        <v>17</v>
      </c>
      <c r="W39" s="715">
        <f t="shared" si="14"/>
        <v>100</v>
      </c>
      <c r="X39" s="1539"/>
      <c r="Y39" s="3303"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01"/>
      <c r="Q40" s="1536" t="str">
        <f t="shared" si="11"/>
        <v>市政基础设施</v>
      </c>
      <c r="R40" s="714" t="s">
        <v>17</v>
      </c>
      <c r="S40" s="715">
        <f t="shared" si="12"/>
        <v>100</v>
      </c>
      <c r="T40" s="714" t="s">
        <v>17</v>
      </c>
      <c r="U40" s="715">
        <f t="shared" si="13"/>
        <v>100</v>
      </c>
      <c r="V40" s="714" t="s">
        <v>17</v>
      </c>
      <c r="W40" s="715">
        <f t="shared" si="14"/>
        <v>100</v>
      </c>
      <c r="X40" s="1539"/>
      <c r="Y40" s="3303"/>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01"/>
      <c r="Q41" s="1536" t="str">
        <f t="shared" si="11"/>
        <v>层高</v>
      </c>
      <c r="R41" s="714" t="s">
        <v>17</v>
      </c>
      <c r="S41" s="715">
        <f t="shared" si="12"/>
        <v>100</v>
      </c>
      <c r="T41" s="714" t="s">
        <v>17</v>
      </c>
      <c r="U41" s="715">
        <f t="shared" si="13"/>
        <v>100</v>
      </c>
      <c r="V41" s="714" t="s">
        <v>17</v>
      </c>
      <c r="W41" s="715">
        <f t="shared" si="14"/>
        <v>100</v>
      </c>
      <c r="X41" s="1539"/>
      <c r="Y41" s="3303"/>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01"/>
      <c r="Q42" s="716" t="str">
        <f t="shared" si="11"/>
        <v>单套建筑面积</v>
      </c>
      <c r="R42" s="717" t="s">
        <v>17</v>
      </c>
      <c r="S42" s="718">
        <f t="shared" si="12"/>
        <v>100</v>
      </c>
      <c r="T42" s="717" t="s">
        <v>17</v>
      </c>
      <c r="U42" s="718">
        <f t="shared" si="13"/>
        <v>100</v>
      </c>
      <c r="V42" s="717" t="s">
        <v>17</v>
      </c>
      <c r="W42" s="718">
        <f t="shared" si="14"/>
        <v>100</v>
      </c>
      <c r="X42" s="719"/>
      <c r="Y42" s="3303"/>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01"/>
      <c r="Q43" s="1536" t="str">
        <f t="shared" si="11"/>
        <v>内部装修</v>
      </c>
      <c r="R43" s="714" t="s">
        <v>17</v>
      </c>
      <c r="S43" s="715">
        <f t="shared" si="12"/>
        <v>100</v>
      </c>
      <c r="T43" s="714" t="s">
        <v>17</v>
      </c>
      <c r="U43" s="715">
        <f t="shared" si="13"/>
        <v>100</v>
      </c>
      <c r="V43" s="714" t="s">
        <v>17</v>
      </c>
      <c r="W43" s="715">
        <f t="shared" si="14"/>
        <v>100</v>
      </c>
      <c r="X43" s="1539"/>
      <c r="Y43" s="3303"/>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01"/>
      <c r="Q44" s="1536" t="str">
        <f t="shared" si="11"/>
        <v>内部装修维护情况</v>
      </c>
      <c r="R44" s="714" t="s">
        <v>17</v>
      </c>
      <c r="S44" s="715">
        <f t="shared" si="12"/>
        <v>100</v>
      </c>
      <c r="T44" s="714" t="s">
        <v>17</v>
      </c>
      <c r="U44" s="715">
        <f t="shared" si="13"/>
        <v>100</v>
      </c>
      <c r="V44" s="714" t="s">
        <v>17</v>
      </c>
      <c r="W44" s="715">
        <f t="shared" si="14"/>
        <v>100</v>
      </c>
      <c r="X44" s="1539"/>
      <c r="Y44" s="330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01"/>
      <c r="Q45" s="1527">
        <f t="shared" si="11"/>
        <v>111</v>
      </c>
      <c r="R45" s="710" t="s">
        <v>17</v>
      </c>
      <c r="S45" s="711">
        <f t="shared" si="12"/>
        <v>100</v>
      </c>
      <c r="T45" s="710" t="s">
        <v>17</v>
      </c>
      <c r="U45" s="711">
        <f t="shared" si="13"/>
        <v>100</v>
      </c>
      <c r="V45" s="710" t="s">
        <v>17</v>
      </c>
      <c r="W45" s="711">
        <f t="shared" si="14"/>
        <v>100</v>
      </c>
      <c r="X45" s="712"/>
      <c r="Y45" s="330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01"/>
      <c r="Q46" s="1536">
        <f t="shared" si="11"/>
        <v>111</v>
      </c>
      <c r="R46" s="714" t="s">
        <v>17</v>
      </c>
      <c r="S46" s="715">
        <f t="shared" si="12"/>
        <v>100</v>
      </c>
      <c r="T46" s="714" t="s">
        <v>17</v>
      </c>
      <c r="U46" s="715">
        <f t="shared" si="13"/>
        <v>100</v>
      </c>
      <c r="V46" s="714" t="s">
        <v>17</v>
      </c>
      <c r="W46" s="715">
        <f t="shared" si="14"/>
        <v>100</v>
      </c>
      <c r="X46" s="1539"/>
      <c r="Y46" s="330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02"/>
      <c r="Q47" s="1536">
        <f t="shared" si="11"/>
        <v>111</v>
      </c>
      <c r="R47" s="714" t="s">
        <v>17</v>
      </c>
      <c r="S47" s="715">
        <f t="shared" si="12"/>
        <v>100</v>
      </c>
      <c r="T47" s="714" t="s">
        <v>17</v>
      </c>
      <c r="U47" s="715">
        <f t="shared" si="13"/>
        <v>100</v>
      </c>
      <c r="V47" s="714" t="s">
        <v>17</v>
      </c>
      <c r="W47" s="715">
        <f t="shared" si="14"/>
        <v>100</v>
      </c>
      <c r="X47" s="1539"/>
      <c r="Y47" s="3304"/>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2"/>
      <c r="M48" s="2944"/>
      <c r="N48" s="2944"/>
      <c r="O48" s="2944"/>
      <c r="P48" s="3307" t="str">
        <f>A48</f>
        <v>成交单价（元/平方米）</v>
      </c>
      <c r="Q48" s="3296"/>
      <c r="R48" s="3297">
        <f>E48</f>
        <v>0</v>
      </c>
      <c r="S48" s="3297"/>
      <c r="T48" s="3297">
        <f>G48</f>
        <v>0</v>
      </c>
      <c r="U48" s="3297"/>
      <c r="V48" s="3297">
        <f>I48</f>
        <v>0</v>
      </c>
      <c r="W48" s="3297"/>
      <c r="X48" s="405"/>
      <c r="Y48" s="721"/>
      <c r="Z48" s="405"/>
      <c r="AA48" s="405"/>
      <c r="AB48" s="405"/>
      <c r="AC48" s="586"/>
    </row>
    <row r="49" spans="1:29" ht="15.75" thickBot="1">
      <c r="A49" s="445" t="s">
        <v>2489</v>
      </c>
      <c r="B49" s="446"/>
      <c r="C49" s="1322" t="e">
        <f>R50</f>
        <v>#DIV/0!</v>
      </c>
      <c r="D49" s="2538" t="s">
        <v>2879</v>
      </c>
      <c r="E49" s="1323" t="e">
        <f>R49</f>
        <v>#DIV/0!</v>
      </c>
      <c r="F49" s="2539"/>
      <c r="G49" s="1322" t="e">
        <f>T49</f>
        <v>#DIV/0!</v>
      </c>
      <c r="H49" s="2539"/>
      <c r="I49" s="1323" t="e">
        <f>V49</f>
        <v>#DIV/0!</v>
      </c>
      <c r="J49" s="2539"/>
      <c r="K49" s="2541">
        <f>F49+H49+J49</f>
        <v>0</v>
      </c>
      <c r="L49" s="2952"/>
      <c r="M49" s="2944"/>
      <c r="N49" s="2944"/>
      <c r="O49" s="2944"/>
      <c r="P49" s="3307" t="str">
        <f>A49</f>
        <v>比较价值（元/平方米）</v>
      </c>
      <c r="Q49" s="3296"/>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2"/>
      <c r="M50" s="2944"/>
      <c r="N50" s="2944"/>
      <c r="O50" s="2944"/>
      <c r="P50" s="3339" t="str">
        <f>A50</f>
        <v>估价对象XX用房的比较价值（楼面单价，元/平方米）</v>
      </c>
      <c r="Q50" s="3340"/>
      <c r="R50" s="3341" t="e">
        <f>IF(F1="售价",ROUND(IF(D49="简单平均",AVERAGE(R49:V49),R49*F49+T49*H49+V49*J49),0),ROUND(IF(D49="简单平均",AVERAGE(R49:V49),R49*F49+T49*H49+V49*J49),1))</f>
        <v>#DIV/0!</v>
      </c>
      <c r="S50" s="3341"/>
      <c r="T50" s="3341"/>
      <c r="U50" s="3341"/>
      <c r="V50" s="3341"/>
      <c r="W50" s="3341"/>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2494</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2368</v>
      </c>
      <c r="B59" s="463"/>
      <c r="C59" s="1346" t="str">
        <f>YEAR(C7)&amp;"-"&amp;MONTH(C7)</f>
        <v>2021-11</v>
      </c>
      <c r="D59" s="1347">
        <f>EDATE(C59,-1)</f>
        <v>44470</v>
      </c>
      <c r="E59" s="1347">
        <f>EDATE(D59,-1)</f>
        <v>44440</v>
      </c>
      <c r="F59" s="1347">
        <f t="shared" ref="F59:O59" si="16">EDATE(E59,-1)</f>
        <v>44409</v>
      </c>
      <c r="G59" s="1347">
        <f t="shared" si="16"/>
        <v>44378</v>
      </c>
      <c r="H59" s="1347">
        <f t="shared" si="16"/>
        <v>44348</v>
      </c>
      <c r="I59" s="1347">
        <f t="shared" si="16"/>
        <v>44317</v>
      </c>
      <c r="J59" s="1347">
        <f t="shared" si="16"/>
        <v>44287</v>
      </c>
      <c r="K59" s="1347">
        <f t="shared" si="16"/>
        <v>44256</v>
      </c>
      <c r="L59" s="1347">
        <f t="shared" si="16"/>
        <v>44228</v>
      </c>
      <c r="M59" s="1347">
        <f t="shared" si="16"/>
        <v>44197</v>
      </c>
      <c r="N59" s="1347">
        <f t="shared" si="16"/>
        <v>44166</v>
      </c>
      <c r="O59" s="1347">
        <f t="shared" si="16"/>
        <v>44136</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2405</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2370</v>
      </c>
      <c r="B62" s="467"/>
      <c r="C62" s="479" t="s">
        <v>2472</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2408</v>
      </c>
      <c r="B64" s="485" t="s">
        <v>2374</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2379</v>
      </c>
      <c r="B77" s="485" t="s">
        <v>2517</v>
      </c>
      <c r="C77" s="530" t="s">
        <v>2417</v>
      </c>
      <c r="D77" s="530" t="s">
        <v>2418</v>
      </c>
      <c r="E77" s="530" t="s">
        <v>2419</v>
      </c>
      <c r="F77" s="530" t="s">
        <v>2420</v>
      </c>
      <c r="G77" s="530" t="s">
        <v>2421</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2422</v>
      </c>
      <c r="C79" s="535" t="s">
        <v>2417</v>
      </c>
      <c r="D79" s="535" t="s">
        <v>2418</v>
      </c>
      <c r="E79" s="535" t="s">
        <v>2419</v>
      </c>
      <c r="F79" s="535" t="s">
        <v>2420</v>
      </c>
      <c r="G79" s="535" t="s">
        <v>2421</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2423</v>
      </c>
      <c r="C81" s="535" t="s">
        <v>2417</v>
      </c>
      <c r="D81" s="535" t="s">
        <v>2418</v>
      </c>
      <c r="E81" s="535" t="s">
        <v>2419</v>
      </c>
      <c r="F81" s="535" t="s">
        <v>2420</v>
      </c>
      <c r="G81" s="535" t="s">
        <v>2421</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2509</v>
      </c>
      <c r="C83" s="616" t="s">
        <v>2495</v>
      </c>
      <c r="D83" s="616" t="s">
        <v>2496</v>
      </c>
      <c r="E83" s="616" t="s">
        <v>2497</v>
      </c>
      <c r="F83" s="616" t="s">
        <v>2498</v>
      </c>
      <c r="G83" s="616" t="s">
        <v>2499</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2518</v>
      </c>
      <c r="C85" s="535" t="s">
        <v>2417</v>
      </c>
      <c r="D85" s="535" t="s">
        <v>2418</v>
      </c>
      <c r="E85" s="535" t="s">
        <v>2419</v>
      </c>
      <c r="F85" s="535" t="s">
        <v>2420</v>
      </c>
      <c r="G85" s="535" t="s">
        <v>2421</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2519</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2383</v>
      </c>
      <c r="B101" s="485" t="s">
        <v>2432</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2434</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2436</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2520</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2437</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2438</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2521</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2504</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2440</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49897.21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1" t="s">
        <v>2466</v>
      </c>
      <c r="D4" s="3312"/>
      <c r="E4" s="3313" t="s">
        <v>2467</v>
      </c>
      <c r="F4" s="3314"/>
      <c r="G4" s="3311" t="s">
        <v>2468</v>
      </c>
      <c r="H4" s="3312"/>
      <c r="I4" s="3311" t="s">
        <v>2469</v>
      </c>
      <c r="J4" s="3312"/>
      <c r="K4" s="567" t="s">
        <v>2470</v>
      </c>
      <c r="L4" s="1044"/>
      <c r="M4" s="1045"/>
      <c r="N4" s="1045"/>
      <c r="O4" s="1045"/>
      <c r="P4" s="3315" t="s">
        <v>2471</v>
      </c>
      <c r="Q4" s="3316"/>
      <c r="R4" s="3321" t="s">
        <v>2467</v>
      </c>
      <c r="S4" s="3322"/>
      <c r="T4" s="3321" t="s">
        <v>2468</v>
      </c>
      <c r="U4" s="3322"/>
      <c r="V4" s="3327" t="s">
        <v>2469</v>
      </c>
      <c r="W4" s="3327"/>
      <c r="X4" s="1539"/>
      <c r="Y4" s="3321" t="s">
        <v>2471</v>
      </c>
      <c r="Z4" s="3322"/>
      <c r="AA4" s="3308" t="s">
        <v>2467</v>
      </c>
      <c r="AB4" s="3309" t="s">
        <v>2468</v>
      </c>
      <c r="AC4" s="3308" t="s">
        <v>2469</v>
      </c>
    </row>
    <row r="5" spans="1:29" ht="15">
      <c r="A5" s="364"/>
      <c r="B5" s="365"/>
      <c r="C5" s="3330" t="s">
        <v>2362</v>
      </c>
      <c r="D5" s="3331"/>
      <c r="E5" s="3337" t="s">
        <v>2363</v>
      </c>
      <c r="F5" s="3338"/>
      <c r="G5" s="3330" t="s">
        <v>2364</v>
      </c>
      <c r="H5" s="3331"/>
      <c r="I5" s="3330" t="s">
        <v>2365</v>
      </c>
      <c r="J5" s="3331"/>
      <c r="K5" s="567"/>
      <c r="L5" s="1044"/>
      <c r="M5" s="1045"/>
      <c r="N5" s="1045"/>
      <c r="O5" s="1045"/>
      <c r="P5" s="3317"/>
      <c r="Q5" s="3318"/>
      <c r="R5" s="3323"/>
      <c r="S5" s="3324"/>
      <c r="T5" s="3323"/>
      <c r="U5" s="3324"/>
      <c r="V5" s="3327"/>
      <c r="W5" s="3327"/>
      <c r="X5" s="1539"/>
      <c r="Y5" s="3323"/>
      <c r="Z5" s="3324"/>
      <c r="AA5" s="3309"/>
      <c r="AB5" s="3309"/>
      <c r="AC5" s="3309"/>
    </row>
    <row r="6" spans="1:29" ht="15.75" thickBot="1">
      <c r="A6" s="366"/>
      <c r="B6" s="367"/>
      <c r="C6" s="3328" t="s">
        <v>2366</v>
      </c>
      <c r="D6" s="3329"/>
      <c r="E6" s="3335" t="s">
        <v>2366</v>
      </c>
      <c r="F6" s="3336"/>
      <c r="G6" s="3328" t="s">
        <v>2366</v>
      </c>
      <c r="H6" s="3329"/>
      <c r="I6" s="3328" t="s">
        <v>2366</v>
      </c>
      <c r="J6" s="3329"/>
      <c r="K6" s="567" t="s">
        <v>2367</v>
      </c>
      <c r="L6" s="1044"/>
      <c r="M6" s="1045"/>
      <c r="N6" s="1045"/>
      <c r="O6" s="1045"/>
      <c r="P6" s="3319"/>
      <c r="Q6" s="3320"/>
      <c r="R6" s="3323"/>
      <c r="S6" s="3324"/>
      <c r="T6" s="3325"/>
      <c r="U6" s="3326"/>
      <c r="V6" s="3327"/>
      <c r="W6" s="3327"/>
      <c r="X6" s="1539"/>
      <c r="Y6" s="3325"/>
      <c r="Z6" s="3326"/>
      <c r="AA6" s="3310"/>
      <c r="AB6" s="3310"/>
      <c r="AC6" s="3310"/>
    </row>
    <row r="7" spans="1:29" s="113" customFormat="1" ht="15.75" thickBot="1">
      <c r="A7" s="368" t="s">
        <v>2368</v>
      </c>
      <c r="B7" s="369"/>
      <c r="C7" s="370">
        <f>'数据-取费表'!B2</f>
        <v>44525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2" t="s">
        <v>2369</v>
      </c>
      <c r="Q7" s="3334"/>
      <c r="R7" s="710" t="s">
        <v>17</v>
      </c>
      <c r="S7" s="711">
        <f t="shared" ref="S7:S15" si="0">F7</f>
        <v>0</v>
      </c>
      <c r="T7" s="710" t="s">
        <v>17</v>
      </c>
      <c r="U7" s="711">
        <f t="shared" ref="U7:U15" si="1">H7</f>
        <v>0</v>
      </c>
      <c r="V7" s="710" t="s">
        <v>17</v>
      </c>
      <c r="W7" s="711">
        <f t="shared" ref="W7:W15" si="2">J7</f>
        <v>0</v>
      </c>
      <c r="X7" s="712"/>
      <c r="Y7" s="3332" t="s">
        <v>2369</v>
      </c>
      <c r="Z7" s="3333"/>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2" t="s">
        <v>2372</v>
      </c>
      <c r="Q8" s="3333"/>
      <c r="R8" s="710" t="s">
        <v>17</v>
      </c>
      <c r="S8" s="711">
        <f t="shared" si="0"/>
        <v>0</v>
      </c>
      <c r="T8" s="710" t="s">
        <v>17</v>
      </c>
      <c r="U8" s="711">
        <f t="shared" si="1"/>
        <v>0</v>
      </c>
      <c r="V8" s="710" t="s">
        <v>17</v>
      </c>
      <c r="W8" s="711">
        <f t="shared" si="2"/>
        <v>0</v>
      </c>
      <c r="X8" s="712"/>
      <c r="Y8" s="3332" t="s">
        <v>2372</v>
      </c>
      <c r="Z8" s="3333"/>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6" t="s">
        <v>2375</v>
      </c>
      <c r="Q9" s="1527" t="str">
        <f t="shared" ref="Q9:Q15" si="6">B9</f>
        <v>用途</v>
      </c>
      <c r="R9" s="710" t="s">
        <v>17</v>
      </c>
      <c r="S9" s="711">
        <f t="shared" si="0"/>
        <v>100</v>
      </c>
      <c r="T9" s="710" t="s">
        <v>17</v>
      </c>
      <c r="U9" s="711">
        <f t="shared" si="1"/>
        <v>100</v>
      </c>
      <c r="V9" s="710" t="s">
        <v>17</v>
      </c>
      <c r="W9" s="711">
        <f t="shared" si="2"/>
        <v>100</v>
      </c>
      <c r="X9" s="712"/>
      <c r="Y9" s="316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6"/>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6"/>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6"/>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8" t="s">
        <v>2380</v>
      </c>
      <c r="Q15" s="1536" t="str">
        <f t="shared" si="6"/>
        <v>产业集聚程度</v>
      </c>
      <c r="R15" s="714" t="s">
        <v>17</v>
      </c>
      <c r="S15" s="715">
        <f t="shared" si="0"/>
        <v>100</v>
      </c>
      <c r="T15" s="714" t="s">
        <v>17</v>
      </c>
      <c r="U15" s="715">
        <f t="shared" si="1"/>
        <v>100</v>
      </c>
      <c r="V15" s="714" t="s">
        <v>17</v>
      </c>
      <c r="W15" s="715">
        <f t="shared" si="2"/>
        <v>100</v>
      </c>
      <c r="X15" s="1539"/>
      <c r="Y15" s="329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9"/>
      <c r="Q16" s="1536"/>
      <c r="R16" s="714"/>
      <c r="S16" s="715"/>
      <c r="T16" s="714"/>
      <c r="U16" s="715"/>
      <c r="V16" s="714"/>
      <c r="W16" s="715"/>
      <c r="X16" s="1539"/>
      <c r="Y16" s="3299"/>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9"/>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9"/>
      <c r="Q18" s="1536"/>
      <c r="R18" s="714"/>
      <c r="S18" s="715"/>
      <c r="T18" s="714"/>
      <c r="U18" s="715"/>
      <c r="V18" s="714"/>
      <c r="W18" s="715"/>
      <c r="X18" s="1539"/>
      <c r="Y18" s="3299"/>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9"/>
      <c r="Q19" s="1536" t="str">
        <f>B19</f>
        <v>公共配套设施</v>
      </c>
      <c r="R19" s="714" t="s">
        <v>17</v>
      </c>
      <c r="S19" s="715">
        <f>F19</f>
        <v>100</v>
      </c>
      <c r="T19" s="714" t="s">
        <v>17</v>
      </c>
      <c r="U19" s="715">
        <f>H19</f>
        <v>100</v>
      </c>
      <c r="V19" s="714" t="s">
        <v>17</v>
      </c>
      <c r="W19" s="715">
        <f>J19</f>
        <v>100</v>
      </c>
      <c r="X19" s="1539"/>
      <c r="Y19" s="329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9"/>
      <c r="Q20" s="1536"/>
      <c r="R20" s="714"/>
      <c r="S20" s="715"/>
      <c r="T20" s="714"/>
      <c r="U20" s="715"/>
      <c r="V20" s="714"/>
      <c r="W20" s="715"/>
      <c r="X20" s="1539"/>
      <c r="Y20" s="3299"/>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9"/>
      <c r="Q21" s="1536" t="str">
        <f>B21</f>
        <v>基础设施水平</v>
      </c>
      <c r="R21" s="714" t="s">
        <v>17</v>
      </c>
      <c r="S21" s="715">
        <f>F21</f>
        <v>100</v>
      </c>
      <c r="T21" s="714" t="s">
        <v>17</v>
      </c>
      <c r="U21" s="715">
        <f>H21</f>
        <v>100</v>
      </c>
      <c r="V21" s="714" t="s">
        <v>17</v>
      </c>
      <c r="W21" s="715">
        <f>J21</f>
        <v>100</v>
      </c>
      <c r="X21" s="1539"/>
      <c r="Y21" s="329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9"/>
      <c r="Q22" s="1536"/>
      <c r="R22" s="714"/>
      <c r="S22" s="715"/>
      <c r="T22" s="714"/>
      <c r="U22" s="715"/>
      <c r="V22" s="714"/>
      <c r="W22" s="715"/>
      <c r="X22" s="1539"/>
      <c r="Y22" s="3299"/>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9"/>
      <c r="Q23" s="1536" t="str">
        <f>B23</f>
        <v>环境质量</v>
      </c>
      <c r="R23" s="714" t="s">
        <v>17</v>
      </c>
      <c r="S23" s="715">
        <f>F23</f>
        <v>100</v>
      </c>
      <c r="T23" s="714" t="s">
        <v>17</v>
      </c>
      <c r="U23" s="715">
        <f>H23</f>
        <v>100</v>
      </c>
      <c r="V23" s="714" t="s">
        <v>17</v>
      </c>
      <c r="W23" s="715">
        <f>J23</f>
        <v>100</v>
      </c>
      <c r="X23" s="1539"/>
      <c r="Y23" s="329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9"/>
      <c r="Q24" s="1536"/>
      <c r="R24" s="714"/>
      <c r="S24" s="715"/>
      <c r="T24" s="714"/>
      <c r="U24" s="715"/>
      <c r="V24" s="714"/>
      <c r="W24" s="715"/>
      <c r="X24" s="1539"/>
      <c r="Y24" s="329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9"/>
      <c r="Q25" s="1536">
        <f>B25</f>
        <v>111</v>
      </c>
      <c r="R25" s="714" t="s">
        <v>17</v>
      </c>
      <c r="S25" s="715">
        <f>F25</f>
        <v>100</v>
      </c>
      <c r="T25" s="714" t="s">
        <v>17</v>
      </c>
      <c r="U25" s="715">
        <f>H25</f>
        <v>100</v>
      </c>
      <c r="V25" s="714" t="s">
        <v>17</v>
      </c>
      <c r="W25" s="715">
        <f>J25</f>
        <v>100</v>
      </c>
      <c r="X25" s="1539"/>
      <c r="Y25" s="329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9"/>
      <c r="Q26" s="1536">
        <f t="shared" ref="Q26:Q40" si="11">B26</f>
        <v>111</v>
      </c>
      <c r="R26" s="714" t="s">
        <v>17</v>
      </c>
      <c r="S26" s="715">
        <f>F26</f>
        <v>100</v>
      </c>
      <c r="T26" s="714" t="s">
        <v>17</v>
      </c>
      <c r="U26" s="715">
        <f>H26</f>
        <v>100</v>
      </c>
      <c r="V26" s="714" t="s">
        <v>17</v>
      </c>
      <c r="W26" s="715">
        <f>J26</f>
        <v>100</v>
      </c>
      <c r="X26" s="1539"/>
      <c r="Y26" s="329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9"/>
      <c r="Q27" s="1527">
        <f t="shared" si="11"/>
        <v>111</v>
      </c>
      <c r="R27" s="710" t="s">
        <v>17</v>
      </c>
      <c r="S27" s="711">
        <f>F27</f>
        <v>100</v>
      </c>
      <c r="T27" s="710" t="s">
        <v>17</v>
      </c>
      <c r="U27" s="711">
        <f>H27</f>
        <v>100</v>
      </c>
      <c r="V27" s="710" t="s">
        <v>17</v>
      </c>
      <c r="W27" s="711">
        <f>J27</f>
        <v>100</v>
      </c>
      <c r="X27" s="712"/>
      <c r="Y27" s="329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9"/>
      <c r="Q28" s="1536">
        <f t="shared" si="11"/>
        <v>111</v>
      </c>
      <c r="R28" s="714" t="s">
        <v>17</v>
      </c>
      <c r="S28" s="715">
        <f t="shared" ref="S28:S40" si="12">F28</f>
        <v>100</v>
      </c>
      <c r="T28" s="714" t="s">
        <v>17</v>
      </c>
      <c r="U28" s="715">
        <f t="shared" ref="U28:U40" si="13">H28</f>
        <v>100</v>
      </c>
      <c r="V28" s="714" t="s">
        <v>17</v>
      </c>
      <c r="W28" s="715">
        <f t="shared" ref="W28:W40" si="14">J28</f>
        <v>100</v>
      </c>
      <c r="X28" s="1539"/>
      <c r="Y28" s="3299"/>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4" t="s">
        <v>2385</v>
      </c>
      <c r="Q29" s="1536" t="str">
        <f t="shared" si="11"/>
        <v>建筑类型</v>
      </c>
      <c r="R29" s="714" t="s">
        <v>17</v>
      </c>
      <c r="S29" s="715">
        <f t="shared" si="12"/>
        <v>100</v>
      </c>
      <c r="T29" s="714" t="s">
        <v>17</v>
      </c>
      <c r="U29" s="715">
        <f t="shared" si="13"/>
        <v>100</v>
      </c>
      <c r="V29" s="714" t="s">
        <v>17</v>
      </c>
      <c r="W29" s="715">
        <f t="shared" si="14"/>
        <v>100</v>
      </c>
      <c r="X29" s="1539"/>
      <c r="Y29" s="330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3"/>
      <c r="Q30" s="716" t="str">
        <f t="shared" si="11"/>
        <v>项目建筑规模</v>
      </c>
      <c r="R30" s="717" t="s">
        <v>17</v>
      </c>
      <c r="S30" s="718" t="e">
        <f t="shared" si="12"/>
        <v>#N/A</v>
      </c>
      <c r="T30" s="717" t="s">
        <v>17</v>
      </c>
      <c r="U30" s="718" t="e">
        <f t="shared" si="13"/>
        <v>#N/A</v>
      </c>
      <c r="V30" s="717" t="s">
        <v>17</v>
      </c>
      <c r="W30" s="718" t="e">
        <f t="shared" si="14"/>
        <v>#N/A</v>
      </c>
      <c r="X30" s="719"/>
      <c r="Y30" s="330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3"/>
      <c r="Q31" s="1536" t="str">
        <f t="shared" si="11"/>
        <v>建筑结构</v>
      </c>
      <c r="R31" s="714" t="s">
        <v>17</v>
      </c>
      <c r="S31" s="715">
        <f t="shared" si="12"/>
        <v>100</v>
      </c>
      <c r="T31" s="714" t="s">
        <v>17</v>
      </c>
      <c r="U31" s="715">
        <f t="shared" si="13"/>
        <v>100</v>
      </c>
      <c r="V31" s="714" t="s">
        <v>17</v>
      </c>
      <c r="W31" s="715">
        <f t="shared" si="14"/>
        <v>100</v>
      </c>
      <c r="X31" s="1539"/>
      <c r="Y31" s="330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3"/>
      <c r="Q32" s="1536" t="str">
        <f t="shared" si="11"/>
        <v>公共部分装修</v>
      </c>
      <c r="R32" s="714" t="s">
        <v>17</v>
      </c>
      <c r="S32" s="715">
        <f t="shared" si="12"/>
        <v>100</v>
      </c>
      <c r="T32" s="714" t="s">
        <v>17</v>
      </c>
      <c r="U32" s="715">
        <f t="shared" si="13"/>
        <v>100</v>
      </c>
      <c r="V32" s="714" t="s">
        <v>17</v>
      </c>
      <c r="W32" s="715">
        <f t="shared" si="14"/>
        <v>100</v>
      </c>
      <c r="X32" s="1539"/>
      <c r="Y32" s="330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3"/>
      <c r="Q33" s="1536" t="str">
        <f t="shared" si="11"/>
        <v>成新度</v>
      </c>
      <c r="R33" s="714" t="s">
        <v>17</v>
      </c>
      <c r="S33" s="715" t="e">
        <f t="shared" si="12"/>
        <v>#N/A</v>
      </c>
      <c r="T33" s="714" t="s">
        <v>17</v>
      </c>
      <c r="U33" s="715" t="e">
        <f t="shared" si="13"/>
        <v>#N/A</v>
      </c>
      <c r="V33" s="714" t="s">
        <v>17</v>
      </c>
      <c r="W33" s="715" t="e">
        <f t="shared" si="14"/>
        <v>#N/A</v>
      </c>
      <c r="X33" s="1539"/>
      <c r="Y33" s="330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3"/>
      <c r="Q34" s="1527" t="str">
        <f t="shared" si="11"/>
        <v>物业管理</v>
      </c>
      <c r="R34" s="710" t="s">
        <v>17</v>
      </c>
      <c r="S34" s="711">
        <f t="shared" si="12"/>
        <v>100</v>
      </c>
      <c r="T34" s="710" t="s">
        <v>17</v>
      </c>
      <c r="U34" s="711">
        <f t="shared" si="13"/>
        <v>100</v>
      </c>
      <c r="V34" s="710" t="s">
        <v>17</v>
      </c>
      <c r="W34" s="711">
        <f t="shared" si="14"/>
        <v>100</v>
      </c>
      <c r="X34" s="712"/>
      <c r="Y34" s="330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3" t="s">
        <v>2385</v>
      </c>
      <c r="Q35" s="1536" t="str">
        <f t="shared" si="11"/>
        <v>市政基础设施</v>
      </c>
      <c r="R35" s="714" t="s">
        <v>17</v>
      </c>
      <c r="S35" s="715">
        <f t="shared" si="12"/>
        <v>100</v>
      </c>
      <c r="T35" s="714" t="s">
        <v>17</v>
      </c>
      <c r="U35" s="715">
        <f t="shared" si="13"/>
        <v>100</v>
      </c>
      <c r="V35" s="714" t="s">
        <v>17</v>
      </c>
      <c r="W35" s="715">
        <f t="shared" si="14"/>
        <v>100</v>
      </c>
      <c r="X35" s="1539"/>
      <c r="Y35" s="330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3"/>
      <c r="Q36" s="1536" t="str">
        <f t="shared" si="11"/>
        <v>内部装修</v>
      </c>
      <c r="R36" s="714" t="s">
        <v>17</v>
      </c>
      <c r="S36" s="715">
        <f t="shared" si="12"/>
        <v>100</v>
      </c>
      <c r="T36" s="714" t="s">
        <v>17</v>
      </c>
      <c r="U36" s="715">
        <f t="shared" si="13"/>
        <v>100</v>
      </c>
      <c r="V36" s="714" t="s">
        <v>17</v>
      </c>
      <c r="W36" s="715">
        <f t="shared" si="14"/>
        <v>100</v>
      </c>
      <c r="X36" s="1539"/>
      <c r="Y36" s="330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3"/>
      <c r="Q37" s="1536" t="str">
        <f t="shared" si="11"/>
        <v>内部装修状况</v>
      </c>
      <c r="R37" s="714" t="s">
        <v>17</v>
      </c>
      <c r="S37" s="715">
        <f t="shared" si="12"/>
        <v>100</v>
      </c>
      <c r="T37" s="714" t="s">
        <v>17</v>
      </c>
      <c r="U37" s="715">
        <f t="shared" si="13"/>
        <v>100</v>
      </c>
      <c r="V37" s="714" t="s">
        <v>17</v>
      </c>
      <c r="W37" s="715">
        <f t="shared" si="14"/>
        <v>100</v>
      </c>
      <c r="X37" s="1539"/>
      <c r="Y37" s="330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3"/>
      <c r="Q38" s="716">
        <f t="shared" si="11"/>
        <v>111</v>
      </c>
      <c r="R38" s="717" t="s">
        <v>17</v>
      </c>
      <c r="S38" s="718">
        <f t="shared" si="12"/>
        <v>100</v>
      </c>
      <c r="T38" s="717" t="s">
        <v>17</v>
      </c>
      <c r="U38" s="718">
        <f t="shared" si="13"/>
        <v>100</v>
      </c>
      <c r="V38" s="717" t="s">
        <v>17</v>
      </c>
      <c r="W38" s="718">
        <f t="shared" si="14"/>
        <v>100</v>
      </c>
      <c r="X38" s="719"/>
      <c r="Y38" s="330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3"/>
      <c r="Q39" s="1536">
        <f t="shared" si="11"/>
        <v>111</v>
      </c>
      <c r="R39" s="714" t="s">
        <v>17</v>
      </c>
      <c r="S39" s="715">
        <f t="shared" si="12"/>
        <v>100</v>
      </c>
      <c r="T39" s="714" t="s">
        <v>17</v>
      </c>
      <c r="U39" s="715">
        <f t="shared" si="13"/>
        <v>100</v>
      </c>
      <c r="V39" s="714" t="s">
        <v>17</v>
      </c>
      <c r="W39" s="715">
        <f t="shared" si="14"/>
        <v>100</v>
      </c>
      <c r="X39" s="1539"/>
      <c r="Y39" s="330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4"/>
      <c r="Q40" s="1536">
        <f t="shared" si="11"/>
        <v>111</v>
      </c>
      <c r="R40" s="714" t="s">
        <v>17</v>
      </c>
      <c r="S40" s="715">
        <f t="shared" si="12"/>
        <v>100</v>
      </c>
      <c r="T40" s="714" t="s">
        <v>17</v>
      </c>
      <c r="U40" s="715">
        <f t="shared" si="13"/>
        <v>100</v>
      </c>
      <c r="V40" s="714" t="s">
        <v>17</v>
      </c>
      <c r="W40" s="715">
        <f t="shared" si="14"/>
        <v>100</v>
      </c>
      <c r="X40" s="1539"/>
      <c r="Y40" s="330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296" t="str">
        <f>A41</f>
        <v>成交单价（元/平方米）</v>
      </c>
      <c r="Q41" s="3296"/>
      <c r="R41" s="3297">
        <f>E41</f>
        <v>0</v>
      </c>
      <c r="S41" s="3297"/>
      <c r="T41" s="3297">
        <f>G41</f>
        <v>0</v>
      </c>
      <c r="U41" s="3297"/>
      <c r="V41" s="3297">
        <f>I41</f>
        <v>0</v>
      </c>
      <c r="W41" s="3297"/>
      <c r="X41" s="699"/>
      <c r="Y41" s="721"/>
      <c r="Z41" s="699"/>
      <c r="AA41" s="699"/>
      <c r="AB41" s="699"/>
      <c r="AC41" s="699"/>
    </row>
    <row r="42" spans="1:29" ht="15.75" thickBot="1">
      <c r="A42" s="445" t="s">
        <v>2489</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93" t="str">
        <f>A43</f>
        <v>估价对象XX用房的比较价值（楼面单价，元/平方米）</v>
      </c>
      <c r="Q43" s="3294"/>
      <c r="R43" s="3295" t="e">
        <f>IF(F1="售价",ROUND(IF(D42="简单平均",AVERAGE(R42:V42),R42*F42+T42*H42+V42*J42),0),ROUND(IF(D42="简单平均",AVERAGE(R42:V42),R42*F42+T42*H42+V42*J42),1))</f>
        <v>#DIV/0!</v>
      </c>
      <c r="S43" s="3295"/>
      <c r="T43" s="3295"/>
      <c r="U43" s="3295"/>
      <c r="V43" s="3295"/>
      <c r="W43" s="3295"/>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2021-11</v>
      </c>
      <c r="D52" s="1347">
        <f>EDATE(C52,-1)</f>
        <v>44470</v>
      </c>
      <c r="E52" s="1347">
        <f t="shared" ref="E52:O52" si="16">EDATE(D52,-1)</f>
        <v>44440</v>
      </c>
      <c r="F52" s="1347">
        <f t="shared" si="16"/>
        <v>44409</v>
      </c>
      <c r="G52" s="1347">
        <f t="shared" si="16"/>
        <v>44378</v>
      </c>
      <c r="H52" s="1347">
        <f t="shared" si="16"/>
        <v>44348</v>
      </c>
      <c r="I52" s="1347">
        <f t="shared" si="16"/>
        <v>44317</v>
      </c>
      <c r="J52" s="1347">
        <f t="shared" si="16"/>
        <v>44287</v>
      </c>
      <c r="K52" s="1347">
        <f t="shared" si="16"/>
        <v>44256</v>
      </c>
      <c r="L52" s="1347">
        <f t="shared" si="16"/>
        <v>44228</v>
      </c>
      <c r="M52" s="1347">
        <f t="shared" si="16"/>
        <v>44197</v>
      </c>
      <c r="N52" s="1347">
        <f t="shared" si="16"/>
        <v>44166</v>
      </c>
      <c r="O52" s="1347">
        <f t="shared" si="16"/>
        <v>44136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8"/>
      <c r="O54" s="2999"/>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受贵公司委托，我公司对山东省威海市远遥路-1-1号房地产抵押价值进行了预评估。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估价对象为山东省威海市远遥路-1-1号房地产，为所有。根据《国有土地使用证》[]，估价对象（分摊）出让国有建设用地使用权面积为84549平方米，建筑面积为49897.21平方米。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估价对象为山东省威海市远遥路-1-1号房地产,属开发建设的，该项目尚在开发建设中。根据《国有土地使用证》[]，估价对象（分摊）出让国有建设用地使用权面积为84549平方米，规划建筑面积为49897.21平方米。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山东省威海市远遥路-1-1号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2021年11月25日（评估专业人员实地查勘之日）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2465</v>
      </c>
      <c r="B4" s="362"/>
      <c r="C4" s="3311" t="s">
        <v>2466</v>
      </c>
      <c r="D4" s="3312"/>
      <c r="E4" s="3313" t="s">
        <v>2467</v>
      </c>
      <c r="F4" s="3314"/>
      <c r="G4" s="3311" t="s">
        <v>2468</v>
      </c>
      <c r="H4" s="3312"/>
      <c r="I4" s="3311" t="s">
        <v>2469</v>
      </c>
      <c r="J4" s="3312"/>
      <c r="K4" s="567" t="s">
        <v>2470</v>
      </c>
      <c r="L4" s="2943"/>
      <c r="M4" s="2944"/>
      <c r="N4" s="2944"/>
      <c r="O4" s="2944"/>
      <c r="P4" s="3315" t="s">
        <v>2471</v>
      </c>
      <c r="Q4" s="3316"/>
      <c r="R4" s="3321" t="s">
        <v>2467</v>
      </c>
      <c r="S4" s="3322"/>
      <c r="T4" s="3321" t="s">
        <v>2468</v>
      </c>
      <c r="U4" s="3322"/>
      <c r="V4" s="3327" t="s">
        <v>2469</v>
      </c>
      <c r="W4" s="3327"/>
      <c r="X4" s="1539"/>
      <c r="Y4" s="3321" t="s">
        <v>2471</v>
      </c>
      <c r="Z4" s="3322"/>
      <c r="AA4" s="3308" t="s">
        <v>2467</v>
      </c>
      <c r="AB4" s="3309" t="s">
        <v>2468</v>
      </c>
      <c r="AC4" s="3308" t="s">
        <v>2469</v>
      </c>
    </row>
    <row r="5" spans="1:29" ht="15">
      <c r="A5" s="364"/>
      <c r="B5" s="365"/>
      <c r="C5" s="3330" t="s">
        <v>2362</v>
      </c>
      <c r="D5" s="3331"/>
      <c r="E5" s="3337" t="s">
        <v>2363</v>
      </c>
      <c r="F5" s="3338"/>
      <c r="G5" s="3330" t="s">
        <v>2364</v>
      </c>
      <c r="H5" s="3331"/>
      <c r="I5" s="3330" t="s">
        <v>2365</v>
      </c>
      <c r="J5" s="3331"/>
      <c r="K5" s="567"/>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28" t="s">
        <v>2366</v>
      </c>
      <c r="D6" s="3329"/>
      <c r="E6" s="3335" t="s">
        <v>2366</v>
      </c>
      <c r="F6" s="3336"/>
      <c r="G6" s="3328" t="s">
        <v>2366</v>
      </c>
      <c r="H6" s="3329"/>
      <c r="I6" s="3328" t="s">
        <v>2366</v>
      </c>
      <c r="J6" s="3329"/>
      <c r="K6" s="567" t="s">
        <v>2367</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2368</v>
      </c>
      <c r="B7" s="369"/>
      <c r="C7" s="370">
        <f>'数据-取费表'!B2</f>
        <v>44525</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32" t="s">
        <v>2369</v>
      </c>
      <c r="Q7" s="3334"/>
      <c r="R7" s="710" t="s">
        <v>17</v>
      </c>
      <c r="S7" s="711">
        <f t="shared" ref="S7:S14" si="0">F7</f>
        <v>0</v>
      </c>
      <c r="T7" s="710" t="s">
        <v>17</v>
      </c>
      <c r="U7" s="711">
        <f t="shared" ref="U7:U14" si="1">H7</f>
        <v>0</v>
      </c>
      <c r="V7" s="710" t="s">
        <v>17</v>
      </c>
      <c r="W7" s="711">
        <f t="shared" ref="W7:W14" si="2">J7</f>
        <v>0</v>
      </c>
      <c r="X7" s="712"/>
      <c r="Y7" s="3332" t="s">
        <v>2369</v>
      </c>
      <c r="Z7" s="3333"/>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32" t="s">
        <v>2372</v>
      </c>
      <c r="Q8" s="3333"/>
      <c r="R8" s="710" t="s">
        <v>17</v>
      </c>
      <c r="S8" s="711">
        <f t="shared" si="0"/>
        <v>0</v>
      </c>
      <c r="T8" s="710" t="s">
        <v>17</v>
      </c>
      <c r="U8" s="711">
        <f t="shared" si="1"/>
        <v>0</v>
      </c>
      <c r="V8" s="710" t="s">
        <v>17</v>
      </c>
      <c r="W8" s="711">
        <f t="shared" si="2"/>
        <v>0</v>
      </c>
      <c r="X8" s="712"/>
      <c r="Y8" s="3332" t="s">
        <v>2372</v>
      </c>
      <c r="Z8" s="3333"/>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6" t="s">
        <v>2375</v>
      </c>
      <c r="Q9" s="1527" t="str">
        <f t="shared" ref="Q9:Q14" si="6">B9</f>
        <v>用途</v>
      </c>
      <c r="R9" s="710" t="s">
        <v>17</v>
      </c>
      <c r="S9" s="711">
        <f t="shared" si="0"/>
        <v>100</v>
      </c>
      <c r="T9" s="710" t="s">
        <v>17</v>
      </c>
      <c r="U9" s="711">
        <f t="shared" si="1"/>
        <v>100</v>
      </c>
      <c r="V9" s="710" t="s">
        <v>17</v>
      </c>
      <c r="W9" s="711">
        <f t="shared" si="2"/>
        <v>100</v>
      </c>
      <c r="X9" s="712"/>
      <c r="Y9" s="3166"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6"/>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6"/>
      <c r="Q11" s="1527">
        <f t="shared" si="6"/>
        <v>111</v>
      </c>
      <c r="R11" s="710" t="s">
        <v>17</v>
      </c>
      <c r="S11" s="711">
        <f t="shared" si="0"/>
        <v>100</v>
      </c>
      <c r="T11" s="710" t="s">
        <v>17</v>
      </c>
      <c r="U11" s="711">
        <f t="shared" si="1"/>
        <v>100</v>
      </c>
      <c r="V11" s="710" t="s">
        <v>17</v>
      </c>
      <c r="W11" s="711">
        <f t="shared" si="2"/>
        <v>100</v>
      </c>
      <c r="X11" s="712"/>
      <c r="Y11" s="31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8" t="s">
        <v>2380</v>
      </c>
      <c r="Q14" s="1536" t="str">
        <f t="shared" si="6"/>
        <v>交通便捷度</v>
      </c>
      <c r="R14" s="714" t="s">
        <v>17</v>
      </c>
      <c r="S14" s="715">
        <f t="shared" si="0"/>
        <v>100</v>
      </c>
      <c r="T14" s="714" t="s">
        <v>17</v>
      </c>
      <c r="U14" s="715">
        <f t="shared" si="1"/>
        <v>100</v>
      </c>
      <c r="V14" s="714" t="s">
        <v>17</v>
      </c>
      <c r="W14" s="715">
        <f t="shared" si="2"/>
        <v>100</v>
      </c>
      <c r="X14" s="1539"/>
      <c r="Y14" s="329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99"/>
      <c r="Q15" s="1536"/>
      <c r="R15" s="714"/>
      <c r="S15" s="715"/>
      <c r="T15" s="714"/>
      <c r="U15" s="715"/>
      <c r="V15" s="714"/>
      <c r="W15" s="715"/>
      <c r="X15" s="1539"/>
      <c r="Y15" s="3299"/>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9"/>
      <c r="Q16" s="1536" t="str">
        <f>B16</f>
        <v>公共配套设施</v>
      </c>
      <c r="R16" s="714" t="s">
        <v>17</v>
      </c>
      <c r="S16" s="715">
        <f>F16</f>
        <v>100</v>
      </c>
      <c r="T16" s="714" t="s">
        <v>17</v>
      </c>
      <c r="U16" s="715">
        <f>H16</f>
        <v>100</v>
      </c>
      <c r="V16" s="714" t="s">
        <v>17</v>
      </c>
      <c r="W16" s="715">
        <f>J16</f>
        <v>100</v>
      </c>
      <c r="X16" s="1539"/>
      <c r="Y16" s="329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299"/>
      <c r="Q17" s="1536"/>
      <c r="R17" s="714"/>
      <c r="S17" s="715"/>
      <c r="T17" s="714"/>
      <c r="U17" s="715"/>
      <c r="V17" s="714"/>
      <c r="W17" s="715"/>
      <c r="X17" s="1539"/>
      <c r="Y17" s="3299"/>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9"/>
      <c r="Q18" s="1536" t="str">
        <f>B18</f>
        <v>基础设施水平</v>
      </c>
      <c r="R18" s="714" t="s">
        <v>17</v>
      </c>
      <c r="S18" s="715">
        <f>F18</f>
        <v>100</v>
      </c>
      <c r="T18" s="714" t="s">
        <v>17</v>
      </c>
      <c r="U18" s="715">
        <f>H18</f>
        <v>100</v>
      </c>
      <c r="V18" s="714" t="s">
        <v>17</v>
      </c>
      <c r="W18" s="715">
        <f>J18</f>
        <v>100</v>
      </c>
      <c r="X18" s="1539"/>
      <c r="Y18" s="329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299"/>
      <c r="Q19" s="1536"/>
      <c r="R19" s="714"/>
      <c r="S19" s="715"/>
      <c r="T19" s="714"/>
      <c r="U19" s="715"/>
      <c r="V19" s="714"/>
      <c r="W19" s="715"/>
      <c r="X19" s="1539"/>
      <c r="Y19" s="3299"/>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9"/>
      <c r="Q20" s="1536" t="str">
        <f>B20</f>
        <v>自然及人文环境</v>
      </c>
      <c r="R20" s="714" t="s">
        <v>17</v>
      </c>
      <c r="S20" s="715">
        <f>F20</f>
        <v>100</v>
      </c>
      <c r="T20" s="714" t="s">
        <v>17</v>
      </c>
      <c r="U20" s="715">
        <f>H20</f>
        <v>100</v>
      </c>
      <c r="V20" s="714" t="s">
        <v>17</v>
      </c>
      <c r="W20" s="715">
        <f>J20</f>
        <v>100</v>
      </c>
      <c r="X20" s="1539"/>
      <c r="Y20" s="329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99"/>
      <c r="Q21" s="1536"/>
      <c r="R21" s="714"/>
      <c r="S21" s="715"/>
      <c r="T21" s="714"/>
      <c r="U21" s="715"/>
      <c r="V21" s="714"/>
      <c r="W21" s="715"/>
      <c r="X21" s="1539"/>
      <c r="Y21" s="329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9"/>
      <c r="Q22" s="1536" t="str">
        <f>B22</f>
        <v>楼层</v>
      </c>
      <c r="R22" s="714" t="s">
        <v>17</v>
      </c>
      <c r="S22" s="715">
        <f>F22</f>
        <v>100</v>
      </c>
      <c r="T22" s="714" t="s">
        <v>17</v>
      </c>
      <c r="U22" s="715">
        <f>H22</f>
        <v>100</v>
      </c>
      <c r="V22" s="714" t="s">
        <v>17</v>
      </c>
      <c r="W22" s="715">
        <f>J22</f>
        <v>100</v>
      </c>
      <c r="X22" s="1539"/>
      <c r="Y22" s="329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9"/>
      <c r="Q23" s="1536">
        <f>B23</f>
        <v>111</v>
      </c>
      <c r="R23" s="714" t="s">
        <v>17</v>
      </c>
      <c r="S23" s="715">
        <f>F23</f>
        <v>100</v>
      </c>
      <c r="T23" s="714" t="s">
        <v>17</v>
      </c>
      <c r="U23" s="715">
        <f>H23</f>
        <v>100</v>
      </c>
      <c r="V23" s="714" t="s">
        <v>17</v>
      </c>
      <c r="W23" s="715">
        <f>J23</f>
        <v>100</v>
      </c>
      <c r="X23" s="1539"/>
      <c r="Y23" s="329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9"/>
      <c r="Q24" s="1536">
        <f t="shared" ref="Q24:Q36" si="11">B24</f>
        <v>111</v>
      </c>
      <c r="R24" s="714" t="s">
        <v>17</v>
      </c>
      <c r="S24" s="715">
        <f>F24</f>
        <v>100</v>
      </c>
      <c r="T24" s="714" t="s">
        <v>17</v>
      </c>
      <c r="U24" s="715">
        <f>H24</f>
        <v>100</v>
      </c>
      <c r="V24" s="714" t="s">
        <v>17</v>
      </c>
      <c r="W24" s="715">
        <f>J24</f>
        <v>100</v>
      </c>
      <c r="X24" s="1539"/>
      <c r="Y24" s="329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9"/>
      <c r="Q25" s="1527">
        <f t="shared" si="11"/>
        <v>111</v>
      </c>
      <c r="R25" s="710" t="s">
        <v>17</v>
      </c>
      <c r="S25" s="711">
        <f>F25</f>
        <v>100</v>
      </c>
      <c r="T25" s="710" t="s">
        <v>17</v>
      </c>
      <c r="U25" s="711">
        <f>H25</f>
        <v>100</v>
      </c>
      <c r="V25" s="710" t="s">
        <v>17</v>
      </c>
      <c r="W25" s="711">
        <f>J25</f>
        <v>100</v>
      </c>
      <c r="X25" s="712"/>
      <c r="Y25" s="3299"/>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54"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03"/>
      <c r="Q27" s="716" t="str">
        <f t="shared" si="11"/>
        <v>项目停车位配比</v>
      </c>
      <c r="R27" s="717" t="s">
        <v>17</v>
      </c>
      <c r="S27" s="718">
        <f t="shared" si="12"/>
        <v>100</v>
      </c>
      <c r="T27" s="717" t="s">
        <v>17</v>
      </c>
      <c r="U27" s="718">
        <f t="shared" si="13"/>
        <v>100</v>
      </c>
      <c r="V27" s="717" t="s">
        <v>17</v>
      </c>
      <c r="W27" s="718">
        <f t="shared" si="14"/>
        <v>100</v>
      </c>
      <c r="X27" s="719"/>
      <c r="Y27" s="330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03"/>
      <c r="Q28" s="1536" t="str">
        <f t="shared" si="11"/>
        <v>公共部分装修</v>
      </c>
      <c r="R28" s="714" t="s">
        <v>17</v>
      </c>
      <c r="S28" s="715">
        <f t="shared" si="12"/>
        <v>100</v>
      </c>
      <c r="T28" s="714" t="s">
        <v>17</v>
      </c>
      <c r="U28" s="715">
        <f t="shared" si="13"/>
        <v>100</v>
      </c>
      <c r="V28" s="714" t="s">
        <v>17</v>
      </c>
      <c r="W28" s="715">
        <f t="shared" si="14"/>
        <v>100</v>
      </c>
      <c r="X28" s="1539"/>
      <c r="Y28" s="330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03"/>
      <c r="Q29" s="1536" t="str">
        <f t="shared" si="11"/>
        <v>成新率</v>
      </c>
      <c r="R29" s="714" t="s">
        <v>17</v>
      </c>
      <c r="S29" s="715" t="e">
        <f t="shared" si="12"/>
        <v>#N/A</v>
      </c>
      <c r="T29" s="714" t="s">
        <v>17</v>
      </c>
      <c r="U29" s="715" t="e">
        <f t="shared" si="13"/>
        <v>#N/A</v>
      </c>
      <c r="V29" s="714" t="s">
        <v>17</v>
      </c>
      <c r="W29" s="715" t="e">
        <f t="shared" si="14"/>
        <v>#N/A</v>
      </c>
      <c r="X29" s="1539"/>
      <c r="Y29" s="330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03"/>
      <c r="Q30" s="1536" t="str">
        <f t="shared" si="11"/>
        <v>物业等级</v>
      </c>
      <c r="R30" s="714" t="s">
        <v>17</v>
      </c>
      <c r="S30" s="715">
        <f t="shared" si="12"/>
        <v>100</v>
      </c>
      <c r="T30" s="714" t="s">
        <v>17</v>
      </c>
      <c r="U30" s="715">
        <f t="shared" si="13"/>
        <v>100</v>
      </c>
      <c r="V30" s="714" t="s">
        <v>17</v>
      </c>
      <c r="W30" s="715">
        <f t="shared" si="14"/>
        <v>100</v>
      </c>
      <c r="X30" s="1539"/>
      <c r="Y30" s="330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03"/>
      <c r="Q31" s="1527" t="str">
        <f t="shared" si="11"/>
        <v>停车位面积</v>
      </c>
      <c r="R31" s="710" t="s">
        <v>17</v>
      </c>
      <c r="S31" s="711" t="e">
        <f t="shared" si="12"/>
        <v>#N/A</v>
      </c>
      <c r="T31" s="710" t="s">
        <v>17</v>
      </c>
      <c r="U31" s="711" t="e">
        <f t="shared" si="13"/>
        <v>#N/A</v>
      </c>
      <c r="V31" s="710" t="s">
        <v>17</v>
      </c>
      <c r="W31" s="711" t="e">
        <f t="shared" si="14"/>
        <v>#N/A</v>
      </c>
      <c r="X31" s="712"/>
      <c r="Y31" s="330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03" t="s">
        <v>2385</v>
      </c>
      <c r="Q32" s="1536" t="str">
        <f t="shared" si="11"/>
        <v>车位类型</v>
      </c>
      <c r="R32" s="714" t="s">
        <v>17</v>
      </c>
      <c r="S32" s="715">
        <f t="shared" si="12"/>
        <v>100</v>
      </c>
      <c r="T32" s="714" t="s">
        <v>17</v>
      </c>
      <c r="U32" s="715">
        <f t="shared" si="13"/>
        <v>100</v>
      </c>
      <c r="V32" s="714" t="s">
        <v>17</v>
      </c>
      <c r="W32" s="715">
        <f t="shared" si="14"/>
        <v>100</v>
      </c>
      <c r="X32" s="1539"/>
      <c r="Y32" s="330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03"/>
      <c r="Q33" s="1536" t="str">
        <f t="shared" si="11"/>
        <v>是否直接入户</v>
      </c>
      <c r="R33" s="714" t="s">
        <v>17</v>
      </c>
      <c r="S33" s="715">
        <f t="shared" si="12"/>
        <v>100</v>
      </c>
      <c r="T33" s="714" t="s">
        <v>17</v>
      </c>
      <c r="U33" s="715">
        <f t="shared" si="13"/>
        <v>100</v>
      </c>
      <c r="V33" s="714" t="s">
        <v>17</v>
      </c>
      <c r="W33" s="715">
        <f t="shared" si="14"/>
        <v>100</v>
      </c>
      <c r="X33" s="1539"/>
      <c r="Y33" s="330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03"/>
      <c r="Q34" s="1536">
        <f t="shared" si="11"/>
        <v>111</v>
      </c>
      <c r="R34" s="714" t="s">
        <v>17</v>
      </c>
      <c r="S34" s="715">
        <f t="shared" si="12"/>
        <v>100</v>
      </c>
      <c r="T34" s="714" t="s">
        <v>17</v>
      </c>
      <c r="U34" s="715">
        <f t="shared" si="13"/>
        <v>100</v>
      </c>
      <c r="V34" s="714" t="s">
        <v>17</v>
      </c>
      <c r="W34" s="715">
        <f t="shared" si="14"/>
        <v>100</v>
      </c>
      <c r="X34" s="1539"/>
      <c r="Y34" s="330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03"/>
      <c r="Q35" s="716">
        <f t="shared" si="11"/>
        <v>111</v>
      </c>
      <c r="R35" s="717" t="s">
        <v>17</v>
      </c>
      <c r="S35" s="718">
        <f t="shared" si="12"/>
        <v>100</v>
      </c>
      <c r="T35" s="717" t="s">
        <v>17</v>
      </c>
      <c r="U35" s="718">
        <f t="shared" si="13"/>
        <v>100</v>
      </c>
      <c r="V35" s="717" t="s">
        <v>17</v>
      </c>
      <c r="W35" s="718">
        <f t="shared" si="14"/>
        <v>100</v>
      </c>
      <c r="X35" s="719"/>
      <c r="Y35" s="330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03"/>
      <c r="Q36" s="1536">
        <f t="shared" si="11"/>
        <v>111</v>
      </c>
      <c r="R36" s="714" t="s">
        <v>17</v>
      </c>
      <c r="S36" s="715">
        <f t="shared" si="12"/>
        <v>100</v>
      </c>
      <c r="T36" s="714" t="s">
        <v>17</v>
      </c>
      <c r="U36" s="715">
        <f t="shared" si="13"/>
        <v>100</v>
      </c>
      <c r="V36" s="714" t="s">
        <v>17</v>
      </c>
      <c r="W36" s="715">
        <f t="shared" si="14"/>
        <v>100</v>
      </c>
      <c r="X36" s="1539"/>
      <c r="Y36" s="3303"/>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2"/>
      <c r="M37" s="2953"/>
      <c r="N37" s="2944"/>
      <c r="O37" s="2953"/>
      <c r="P37" s="3296" t="str">
        <f>A37</f>
        <v>成交单价</v>
      </c>
      <c r="Q37" s="3296"/>
      <c r="R37" s="3297">
        <f>E37</f>
        <v>0</v>
      </c>
      <c r="S37" s="3297"/>
      <c r="T37" s="3297">
        <f>G37</f>
        <v>0</v>
      </c>
      <c r="U37" s="3297"/>
      <c r="V37" s="3297">
        <f>I37</f>
        <v>0</v>
      </c>
      <c r="W37" s="3297"/>
      <c r="X37" s="699"/>
      <c r="Y37" s="721"/>
      <c r="Z37" s="699"/>
      <c r="AA37" s="699"/>
      <c r="AB37" s="699"/>
      <c r="AC37" s="699"/>
    </row>
    <row r="38" spans="1:29" ht="15.75" thickBot="1">
      <c r="A38" s="445" t="s">
        <v>2542</v>
      </c>
      <c r="B38" s="446" t="str">
        <f>B37</f>
        <v>元/车位</v>
      </c>
      <c r="C38" s="1322" t="e">
        <f>R39</f>
        <v>#DIV/0!</v>
      </c>
      <c r="D38" s="2538" t="s">
        <v>2879</v>
      </c>
      <c r="E38" s="1323" t="e">
        <f>R38</f>
        <v>#DIV/0!</v>
      </c>
      <c r="F38" s="2539"/>
      <c r="G38" s="1322" t="e">
        <f>T38</f>
        <v>#DIV/0!</v>
      </c>
      <c r="H38" s="2539"/>
      <c r="I38" s="1323" t="e">
        <f>V38</f>
        <v>#DIV/0!</v>
      </c>
      <c r="J38" s="2539"/>
      <c r="K38" s="2541">
        <f>F38+H38+J38</f>
        <v>0</v>
      </c>
      <c r="L38" s="2952"/>
      <c r="M38" s="2953"/>
      <c r="N38" s="2953"/>
      <c r="O38" s="2953"/>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2"/>
      <c r="M39" s="2953"/>
      <c r="N39" s="2953"/>
      <c r="O39" s="2953"/>
      <c r="P39" s="3293" t="str">
        <f>A39</f>
        <v>估价对象XX用房的比较价值（楼面单价，元/平方米）</v>
      </c>
      <c r="Q39" s="3294"/>
      <c r="R39" s="3355" t="e">
        <f>IF(F1="售价",ROUND(IF(D38="简单平均",AVERAGE(R38:W38),R38*F38+T38*H38+V38*J38),0),ROUND(IF(D38="简单平均",AVERAGE(R38:V38),R38*F38+T38*H38+V38*J38),1))</f>
        <v>#DIV/0!</v>
      </c>
      <c r="S39" s="3355"/>
      <c r="T39" s="3355"/>
      <c r="U39" s="3355"/>
      <c r="V39" s="3355"/>
      <c r="W39" s="3355"/>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2021-11</v>
      </c>
      <c r="D48" s="1347">
        <f>EDATE(C48,-1)</f>
        <v>44470</v>
      </c>
      <c r="E48" s="1347">
        <f t="shared" ref="E48:O48" si="16">EDATE(D48,-1)</f>
        <v>44440</v>
      </c>
      <c r="F48" s="1347">
        <f t="shared" si="16"/>
        <v>44409</v>
      </c>
      <c r="G48" s="1347">
        <f t="shared" si="16"/>
        <v>44378</v>
      </c>
      <c r="H48" s="1347">
        <f t="shared" si="16"/>
        <v>44348</v>
      </c>
      <c r="I48" s="1347">
        <f t="shared" si="16"/>
        <v>44317</v>
      </c>
      <c r="J48" s="1347">
        <f t="shared" si="16"/>
        <v>44287</v>
      </c>
      <c r="K48" s="1347">
        <f t="shared" si="16"/>
        <v>44256</v>
      </c>
      <c r="L48" s="1347">
        <f t="shared" si="16"/>
        <v>44228</v>
      </c>
      <c r="M48" s="1347">
        <f t="shared" si="16"/>
        <v>44197</v>
      </c>
      <c r="N48" s="1347">
        <f t="shared" si="16"/>
        <v>44166</v>
      </c>
      <c r="O48" s="1347">
        <f t="shared" si="16"/>
        <v>44136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2405</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2370</v>
      </c>
      <c r="B51" s="467"/>
      <c r="C51" s="479" t="s">
        <v>2472</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2423</v>
      </c>
      <c r="C65" s="535" t="s">
        <v>2417</v>
      </c>
      <c r="D65" s="535" t="s">
        <v>2418</v>
      </c>
      <c r="E65" s="535" t="s">
        <v>2419</v>
      </c>
      <c r="F65" s="535" t="s">
        <v>2420</v>
      </c>
      <c r="G65" s="535" t="s">
        <v>2421</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2509</v>
      </c>
      <c r="C67" s="616" t="s">
        <v>2495</v>
      </c>
      <c r="D67" s="616" t="s">
        <v>2496</v>
      </c>
      <c r="E67" s="616" t="s">
        <v>2497</v>
      </c>
      <c r="F67" s="616" t="s">
        <v>2498</v>
      </c>
      <c r="G67" s="616" t="s">
        <v>2499</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2429</v>
      </c>
      <c r="C69" s="535" t="s">
        <v>2417</v>
      </c>
      <c r="D69" s="535" t="s">
        <v>2418</v>
      </c>
      <c r="E69" s="535" t="s">
        <v>2419</v>
      </c>
      <c r="F69" s="535" t="s">
        <v>2420</v>
      </c>
      <c r="G69" s="535" t="s">
        <v>2421</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2383</v>
      </c>
      <c r="B79" s="485" t="s">
        <v>2550</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2436</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7" sqref="L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11" t="s">
        <v>2466</v>
      </c>
      <c r="D4" s="3312"/>
      <c r="E4" s="3313" t="s">
        <v>2467</v>
      </c>
      <c r="F4" s="3314"/>
      <c r="G4" s="3311" t="s">
        <v>2468</v>
      </c>
      <c r="H4" s="3312"/>
      <c r="I4" s="3311" t="s">
        <v>2469</v>
      </c>
      <c r="J4" s="3312"/>
      <c r="K4" s="567" t="s">
        <v>2470</v>
      </c>
      <c r="L4" s="2943"/>
      <c r="M4" s="2944"/>
      <c r="N4" s="2944"/>
      <c r="O4" s="2944"/>
      <c r="P4" s="3315" t="s">
        <v>2471</v>
      </c>
      <c r="Q4" s="3316"/>
      <c r="R4" s="3321" t="s">
        <v>2467</v>
      </c>
      <c r="S4" s="3322"/>
      <c r="T4" s="3321" t="s">
        <v>2468</v>
      </c>
      <c r="U4" s="3322"/>
      <c r="V4" s="3327" t="s">
        <v>2469</v>
      </c>
      <c r="W4" s="3327"/>
      <c r="X4" s="1539"/>
      <c r="Y4" s="3321" t="s">
        <v>2471</v>
      </c>
      <c r="Z4" s="3322"/>
      <c r="AA4" s="3308" t="s">
        <v>2467</v>
      </c>
      <c r="AB4" s="3309" t="s">
        <v>2468</v>
      </c>
      <c r="AC4" s="3308" t="s">
        <v>2469</v>
      </c>
    </row>
    <row r="5" spans="1:29" ht="15">
      <c r="A5" s="364"/>
      <c r="B5" s="365"/>
      <c r="C5" s="3330" t="s">
        <v>2362</v>
      </c>
      <c r="D5" s="3331"/>
      <c r="E5" s="3337" t="s">
        <v>2363</v>
      </c>
      <c r="F5" s="3338"/>
      <c r="G5" s="3330" t="s">
        <v>2364</v>
      </c>
      <c r="H5" s="3331"/>
      <c r="I5" s="3330" t="s">
        <v>2365</v>
      </c>
      <c r="J5" s="3331"/>
      <c r="K5" s="567"/>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28" t="s">
        <v>2366</v>
      </c>
      <c r="D6" s="3329"/>
      <c r="E6" s="3335" t="s">
        <v>2366</v>
      </c>
      <c r="F6" s="3336"/>
      <c r="G6" s="3328" t="s">
        <v>2366</v>
      </c>
      <c r="H6" s="3329"/>
      <c r="I6" s="3328" t="s">
        <v>2366</v>
      </c>
      <c r="J6" s="3329"/>
      <c r="K6" s="567" t="s">
        <v>2367</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2368</v>
      </c>
      <c r="B7" s="369"/>
      <c r="C7" s="370">
        <f>'数据-取费表'!B2</f>
        <v>44525</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32" t="s">
        <v>2369</v>
      </c>
      <c r="Q7" s="3334"/>
      <c r="R7" s="710" t="s">
        <v>17</v>
      </c>
      <c r="S7" s="711">
        <f t="shared" ref="S7:S14" si="0">F7</f>
        <v>0</v>
      </c>
      <c r="T7" s="710" t="s">
        <v>17</v>
      </c>
      <c r="U7" s="711">
        <f t="shared" ref="U7:U14" si="1">H7</f>
        <v>0</v>
      </c>
      <c r="V7" s="710" t="s">
        <v>17</v>
      </c>
      <c r="W7" s="711">
        <f t="shared" ref="W7:W14" si="2">J7</f>
        <v>0</v>
      </c>
      <c r="X7" s="712"/>
      <c r="Y7" s="3332" t="s">
        <v>2369</v>
      </c>
      <c r="Z7" s="3333"/>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32" t="s">
        <v>2372</v>
      </c>
      <c r="Q8" s="3333"/>
      <c r="R8" s="710" t="s">
        <v>17</v>
      </c>
      <c r="S8" s="711">
        <f t="shared" si="0"/>
        <v>0</v>
      </c>
      <c r="T8" s="710" t="s">
        <v>17</v>
      </c>
      <c r="U8" s="711">
        <f t="shared" si="1"/>
        <v>0</v>
      </c>
      <c r="V8" s="710" t="s">
        <v>17</v>
      </c>
      <c r="W8" s="711">
        <f t="shared" si="2"/>
        <v>0</v>
      </c>
      <c r="X8" s="712"/>
      <c r="Y8" s="3332" t="s">
        <v>2372</v>
      </c>
      <c r="Z8" s="3333"/>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6" t="s">
        <v>2375</v>
      </c>
      <c r="Q9" s="1527" t="str">
        <f t="shared" ref="Q9:Q14" si="6">B9</f>
        <v>用途</v>
      </c>
      <c r="R9" s="710" t="s">
        <v>17</v>
      </c>
      <c r="S9" s="711">
        <f t="shared" si="0"/>
        <v>100</v>
      </c>
      <c r="T9" s="710" t="s">
        <v>17</v>
      </c>
      <c r="U9" s="711">
        <f t="shared" si="1"/>
        <v>100</v>
      </c>
      <c r="V9" s="710" t="s">
        <v>17</v>
      </c>
      <c r="W9" s="711">
        <f t="shared" si="2"/>
        <v>100</v>
      </c>
      <c r="X9" s="712"/>
      <c r="Y9" s="3166"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6"/>
      <c r="Q10" s="1527" t="str">
        <f t="shared" si="6"/>
        <v>土地使用年限（年）</v>
      </c>
      <c r="R10" s="710" t="s">
        <v>17</v>
      </c>
      <c r="S10" s="711">
        <f t="shared" si="0"/>
        <v>100</v>
      </c>
      <c r="T10" s="710" t="s">
        <v>17</v>
      </c>
      <c r="U10" s="711">
        <f t="shared" si="1"/>
        <v>100</v>
      </c>
      <c r="V10" s="710" t="s">
        <v>17</v>
      </c>
      <c r="W10" s="711">
        <f t="shared" si="2"/>
        <v>100</v>
      </c>
      <c r="X10" s="712"/>
      <c r="Y10" s="316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6"/>
      <c r="Q11" s="1527">
        <f t="shared" si="6"/>
        <v>111</v>
      </c>
      <c r="R11" s="710" t="s">
        <v>17</v>
      </c>
      <c r="S11" s="711">
        <f t="shared" si="0"/>
        <v>100</v>
      </c>
      <c r="T11" s="710" t="s">
        <v>17</v>
      </c>
      <c r="U11" s="711">
        <f t="shared" si="1"/>
        <v>100</v>
      </c>
      <c r="V11" s="710" t="s">
        <v>17</v>
      </c>
      <c r="W11" s="711">
        <f t="shared" si="2"/>
        <v>100</v>
      </c>
      <c r="X11" s="712"/>
      <c r="Y11" s="316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8" t="s">
        <v>2380</v>
      </c>
      <c r="Q14" s="1536" t="str">
        <f t="shared" si="6"/>
        <v>交通便捷度</v>
      </c>
      <c r="R14" s="714" t="s">
        <v>17</v>
      </c>
      <c r="S14" s="715">
        <f t="shared" si="0"/>
        <v>100</v>
      </c>
      <c r="T14" s="714" t="s">
        <v>17</v>
      </c>
      <c r="U14" s="715">
        <f t="shared" si="1"/>
        <v>100</v>
      </c>
      <c r="V14" s="714" t="s">
        <v>17</v>
      </c>
      <c r="W14" s="715">
        <f t="shared" si="2"/>
        <v>100</v>
      </c>
      <c r="X14" s="1539"/>
      <c r="Y14" s="3298"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99"/>
      <c r="Q15" s="1536"/>
      <c r="R15" s="714"/>
      <c r="S15" s="715"/>
      <c r="T15" s="714"/>
      <c r="U15" s="715"/>
      <c r="V15" s="714"/>
      <c r="W15" s="715"/>
      <c r="X15" s="1539"/>
      <c r="Y15" s="3299"/>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9"/>
      <c r="Q16" s="1536" t="str">
        <f>B16</f>
        <v>公共配套设施</v>
      </c>
      <c r="R16" s="714" t="s">
        <v>17</v>
      </c>
      <c r="S16" s="715">
        <f>F16</f>
        <v>100</v>
      </c>
      <c r="T16" s="714" t="s">
        <v>17</v>
      </c>
      <c r="U16" s="715">
        <f>H16</f>
        <v>100</v>
      </c>
      <c r="V16" s="714" t="s">
        <v>17</v>
      </c>
      <c r="W16" s="715">
        <f>J16</f>
        <v>100</v>
      </c>
      <c r="X16" s="1539"/>
      <c r="Y16" s="329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299"/>
      <c r="Q17" s="1536"/>
      <c r="R17" s="714"/>
      <c r="S17" s="715"/>
      <c r="T17" s="714"/>
      <c r="U17" s="715"/>
      <c r="V17" s="714"/>
      <c r="W17" s="715"/>
      <c r="X17" s="1539"/>
      <c r="Y17" s="3299"/>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9"/>
      <c r="Q18" s="1536" t="str">
        <f>B18</f>
        <v>基础设施水平</v>
      </c>
      <c r="R18" s="714" t="s">
        <v>17</v>
      </c>
      <c r="S18" s="715">
        <f>F18</f>
        <v>100</v>
      </c>
      <c r="T18" s="714" t="s">
        <v>17</v>
      </c>
      <c r="U18" s="715">
        <f>H18</f>
        <v>100</v>
      </c>
      <c r="V18" s="714" t="s">
        <v>17</v>
      </c>
      <c r="W18" s="715">
        <f>J18</f>
        <v>100</v>
      </c>
      <c r="X18" s="1539"/>
      <c r="Y18" s="329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299"/>
      <c r="Q19" s="1536"/>
      <c r="R19" s="714"/>
      <c r="S19" s="715"/>
      <c r="T19" s="714"/>
      <c r="U19" s="715"/>
      <c r="V19" s="714"/>
      <c r="W19" s="715"/>
      <c r="X19" s="1539"/>
      <c r="Y19" s="3299"/>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9"/>
      <c r="Q20" s="1536" t="str">
        <f>B20</f>
        <v>自然及人文环境</v>
      </c>
      <c r="R20" s="714" t="s">
        <v>17</v>
      </c>
      <c r="S20" s="715">
        <f>F20</f>
        <v>100</v>
      </c>
      <c r="T20" s="714" t="s">
        <v>17</v>
      </c>
      <c r="U20" s="715">
        <f>H20</f>
        <v>100</v>
      </c>
      <c r="V20" s="714" t="s">
        <v>17</v>
      </c>
      <c r="W20" s="715">
        <f>J20</f>
        <v>100</v>
      </c>
      <c r="X20" s="1539"/>
      <c r="Y20" s="329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99"/>
      <c r="Q21" s="1536"/>
      <c r="R21" s="714"/>
      <c r="S21" s="715"/>
      <c r="T21" s="714"/>
      <c r="U21" s="715"/>
      <c r="V21" s="714"/>
      <c r="W21" s="715"/>
      <c r="X21" s="1539"/>
      <c r="Y21" s="3299"/>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9"/>
      <c r="Q22" s="1536" t="str">
        <f>B22</f>
        <v>楼层</v>
      </c>
      <c r="R22" s="714" t="s">
        <v>17</v>
      </c>
      <c r="S22" s="715">
        <f>F22</f>
        <v>100</v>
      </c>
      <c r="T22" s="714" t="s">
        <v>17</v>
      </c>
      <c r="U22" s="715">
        <f>H22</f>
        <v>100</v>
      </c>
      <c r="V22" s="714" t="s">
        <v>17</v>
      </c>
      <c r="W22" s="715">
        <f>J22</f>
        <v>100</v>
      </c>
      <c r="X22" s="1539"/>
      <c r="Y22" s="329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9"/>
      <c r="Q23" s="1536">
        <f>B23</f>
        <v>111</v>
      </c>
      <c r="R23" s="714" t="s">
        <v>17</v>
      </c>
      <c r="S23" s="715">
        <f>F23</f>
        <v>100</v>
      </c>
      <c r="T23" s="714" t="s">
        <v>17</v>
      </c>
      <c r="U23" s="715">
        <f>H23</f>
        <v>100</v>
      </c>
      <c r="V23" s="714" t="s">
        <v>17</v>
      </c>
      <c r="W23" s="715">
        <f>J23</f>
        <v>100</v>
      </c>
      <c r="X23" s="1539"/>
      <c r="Y23" s="329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9"/>
      <c r="Q24" s="1536">
        <f t="shared" ref="Q24:Q34" si="11">B24</f>
        <v>111</v>
      </c>
      <c r="R24" s="714" t="s">
        <v>17</v>
      </c>
      <c r="S24" s="715">
        <f>F24</f>
        <v>100</v>
      </c>
      <c r="T24" s="714" t="s">
        <v>17</v>
      </c>
      <c r="U24" s="715">
        <f>H24</f>
        <v>100</v>
      </c>
      <c r="V24" s="714" t="s">
        <v>17</v>
      </c>
      <c r="W24" s="715">
        <f>J24</f>
        <v>100</v>
      </c>
      <c r="X24" s="1539"/>
      <c r="Y24" s="329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99"/>
      <c r="Q25" s="1527">
        <f t="shared" si="11"/>
        <v>111</v>
      </c>
      <c r="R25" s="710" t="s">
        <v>17</v>
      </c>
      <c r="S25" s="711">
        <f>F25</f>
        <v>100</v>
      </c>
      <c r="T25" s="710" t="s">
        <v>17</v>
      </c>
      <c r="U25" s="711">
        <f>H25</f>
        <v>100</v>
      </c>
      <c r="V25" s="710" t="s">
        <v>17</v>
      </c>
      <c r="W25" s="711">
        <f>J25</f>
        <v>100</v>
      </c>
      <c r="X25" s="712"/>
      <c r="Y25" s="3299"/>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54"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3"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03"/>
      <c r="Q27" s="716" t="str">
        <f t="shared" si="11"/>
        <v>成新率</v>
      </c>
      <c r="R27" s="717" t="s">
        <v>17</v>
      </c>
      <c r="S27" s="718" t="e">
        <f t="shared" si="12"/>
        <v>#N/A</v>
      </c>
      <c r="T27" s="717" t="s">
        <v>17</v>
      </c>
      <c r="U27" s="718" t="e">
        <f t="shared" si="13"/>
        <v>#N/A</v>
      </c>
      <c r="V27" s="717" t="s">
        <v>17</v>
      </c>
      <c r="W27" s="718" t="e">
        <f t="shared" si="14"/>
        <v>#N/A</v>
      </c>
      <c r="X27" s="719"/>
      <c r="Y27" s="3303"/>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03"/>
      <c r="Q28" s="1536" t="str">
        <f t="shared" si="11"/>
        <v>物业等级</v>
      </c>
      <c r="R28" s="714" t="s">
        <v>17</v>
      </c>
      <c r="S28" s="715">
        <f t="shared" si="12"/>
        <v>100</v>
      </c>
      <c r="T28" s="714" t="s">
        <v>17</v>
      </c>
      <c r="U28" s="715">
        <f t="shared" si="13"/>
        <v>100</v>
      </c>
      <c r="V28" s="714" t="s">
        <v>17</v>
      </c>
      <c r="W28" s="715">
        <f t="shared" si="14"/>
        <v>100</v>
      </c>
      <c r="X28" s="1539"/>
      <c r="Y28" s="3303"/>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03"/>
      <c r="Q29" s="1536" t="str">
        <f t="shared" si="11"/>
        <v>有无电梯</v>
      </c>
      <c r="R29" s="714" t="s">
        <v>17</v>
      </c>
      <c r="S29" s="715">
        <f t="shared" si="12"/>
        <v>100</v>
      </c>
      <c r="T29" s="714" t="s">
        <v>17</v>
      </c>
      <c r="U29" s="715">
        <f t="shared" si="13"/>
        <v>100</v>
      </c>
      <c r="V29" s="714" t="s">
        <v>17</v>
      </c>
      <c r="W29" s="715">
        <f t="shared" si="14"/>
        <v>100</v>
      </c>
      <c r="X29" s="1539"/>
      <c r="Y29" s="3303"/>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03"/>
      <c r="Q30" s="1536" t="str">
        <f t="shared" si="11"/>
        <v>建筑面积</v>
      </c>
      <c r="R30" s="714" t="s">
        <v>17</v>
      </c>
      <c r="S30" s="715" t="e">
        <f t="shared" si="12"/>
        <v>#N/A</v>
      </c>
      <c r="T30" s="714" t="s">
        <v>17</v>
      </c>
      <c r="U30" s="715" t="e">
        <f t="shared" si="13"/>
        <v>#N/A</v>
      </c>
      <c r="V30" s="714" t="s">
        <v>17</v>
      </c>
      <c r="W30" s="715" t="e">
        <f t="shared" si="14"/>
        <v>#N/A</v>
      </c>
      <c r="X30" s="1539"/>
      <c r="Y30" s="3303"/>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03"/>
      <c r="Q31" s="1527" t="str">
        <f t="shared" si="11"/>
        <v>是否封闭</v>
      </c>
      <c r="R31" s="710" t="s">
        <v>17</v>
      </c>
      <c r="S31" s="711">
        <f t="shared" si="12"/>
        <v>100</v>
      </c>
      <c r="T31" s="710" t="s">
        <v>17</v>
      </c>
      <c r="U31" s="711">
        <f t="shared" si="13"/>
        <v>100</v>
      </c>
      <c r="V31" s="710" t="s">
        <v>17</v>
      </c>
      <c r="W31" s="711">
        <f t="shared" si="14"/>
        <v>100</v>
      </c>
      <c r="X31" s="712"/>
      <c r="Y31" s="330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03" t="s">
        <v>2385</v>
      </c>
      <c r="Q32" s="1536">
        <f t="shared" si="11"/>
        <v>111</v>
      </c>
      <c r="R32" s="714" t="s">
        <v>17</v>
      </c>
      <c r="S32" s="715">
        <f t="shared" si="12"/>
        <v>100</v>
      </c>
      <c r="T32" s="714" t="s">
        <v>17</v>
      </c>
      <c r="U32" s="715">
        <f t="shared" si="13"/>
        <v>100</v>
      </c>
      <c r="V32" s="714" t="s">
        <v>17</v>
      </c>
      <c r="W32" s="715">
        <f t="shared" si="14"/>
        <v>100</v>
      </c>
      <c r="X32" s="1539"/>
      <c r="Y32" s="3303"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03"/>
      <c r="Q33" s="1536">
        <f t="shared" si="11"/>
        <v>111</v>
      </c>
      <c r="R33" s="714" t="s">
        <v>17</v>
      </c>
      <c r="S33" s="715">
        <f t="shared" si="12"/>
        <v>100</v>
      </c>
      <c r="T33" s="714" t="s">
        <v>17</v>
      </c>
      <c r="U33" s="715">
        <f t="shared" si="13"/>
        <v>100</v>
      </c>
      <c r="V33" s="714" t="s">
        <v>17</v>
      </c>
      <c r="W33" s="715">
        <f t="shared" si="14"/>
        <v>100</v>
      </c>
      <c r="X33" s="1539"/>
      <c r="Y33" s="330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03"/>
      <c r="Q34" s="1536">
        <f t="shared" si="11"/>
        <v>111</v>
      </c>
      <c r="R34" s="714" t="s">
        <v>17</v>
      </c>
      <c r="S34" s="715">
        <f t="shared" si="12"/>
        <v>100</v>
      </c>
      <c r="T34" s="714" t="s">
        <v>17</v>
      </c>
      <c r="U34" s="715">
        <f t="shared" si="13"/>
        <v>100</v>
      </c>
      <c r="V34" s="714" t="s">
        <v>17</v>
      </c>
      <c r="W34" s="715">
        <f t="shared" si="14"/>
        <v>100</v>
      </c>
      <c r="X34" s="1539"/>
      <c r="Y34" s="3303"/>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2"/>
      <c r="M35" s="2953"/>
      <c r="N35" s="2944"/>
      <c r="O35" s="2953"/>
      <c r="P35" s="3296" t="str">
        <f>A35</f>
        <v>成交单价（元/平方米）</v>
      </c>
      <c r="Q35" s="3296"/>
      <c r="R35" s="3297">
        <f>E35</f>
        <v>0</v>
      </c>
      <c r="S35" s="3297"/>
      <c r="T35" s="3297">
        <f>G35</f>
        <v>0</v>
      </c>
      <c r="U35" s="3297"/>
      <c r="V35" s="3297">
        <f>I35</f>
        <v>0</v>
      </c>
      <c r="W35" s="3297"/>
      <c r="X35" s="699"/>
      <c r="Y35" s="721"/>
      <c r="Z35" s="699"/>
      <c r="AA35" s="699"/>
      <c r="AB35" s="699"/>
      <c r="AC35" s="699"/>
    </row>
    <row r="36" spans="1:30" ht="15.75" thickBot="1">
      <c r="A36" s="445" t="s">
        <v>2489</v>
      </c>
      <c r="B36" s="446"/>
      <c r="C36" s="1322" t="e">
        <f>R37</f>
        <v>#DIV/0!</v>
      </c>
      <c r="D36" s="2538" t="s">
        <v>2879</v>
      </c>
      <c r="E36" s="1323" t="e">
        <f>R36</f>
        <v>#DIV/0!</v>
      </c>
      <c r="F36" s="2539"/>
      <c r="G36" s="1322" t="e">
        <f>T36</f>
        <v>#DIV/0!</v>
      </c>
      <c r="H36" s="2539"/>
      <c r="I36" s="1323" t="e">
        <f>V36</f>
        <v>#DIV/0!</v>
      </c>
      <c r="J36" s="2539"/>
      <c r="K36" s="2541">
        <f>F36+H36+J36</f>
        <v>0</v>
      </c>
      <c r="L36" s="2952"/>
      <c r="M36" s="2953"/>
      <c r="N36" s="2944"/>
      <c r="O36" s="2953"/>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2"/>
      <c r="M37" s="2953"/>
      <c r="N37" s="2953"/>
      <c r="O37" s="2953"/>
      <c r="P37" s="3293" t="str">
        <f>A37</f>
        <v>估价对象XX用房的比较价值（楼面单价，元/平方米）</v>
      </c>
      <c r="Q37" s="3294"/>
      <c r="R37" s="3355" t="e">
        <f>IF(F1="售价",ROUND(IF(D36="简单平均",AVERAGE(R36:W36),R36*F36+T36*H36+V36*J36),0),ROUND(IF(D36="简单平均",AVERAGE(R36:V36),R36*F36+T36*H36+V36*J36),1))</f>
        <v>#DIV/0!</v>
      </c>
      <c r="S37" s="3355"/>
      <c r="T37" s="3355"/>
      <c r="U37" s="3355"/>
      <c r="V37" s="3355"/>
      <c r="W37" s="3355"/>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2494</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2368</v>
      </c>
      <c r="B46" s="463"/>
      <c r="C46" s="1346" t="str">
        <f>YEAR(C7)&amp;"-"&amp;MONTH(C7)</f>
        <v>2021-11</v>
      </c>
      <c r="D46" s="1347">
        <f>EDATE(C46,-1)</f>
        <v>44470</v>
      </c>
      <c r="E46" s="1347">
        <f t="shared" ref="E46:O46" si="16">EDATE(D46,-1)</f>
        <v>44440</v>
      </c>
      <c r="F46" s="1347">
        <f t="shared" si="16"/>
        <v>44409</v>
      </c>
      <c r="G46" s="1347">
        <f t="shared" si="16"/>
        <v>44378</v>
      </c>
      <c r="H46" s="1347">
        <f t="shared" si="16"/>
        <v>44348</v>
      </c>
      <c r="I46" s="1347">
        <f t="shared" si="16"/>
        <v>44317</v>
      </c>
      <c r="J46" s="1347">
        <f t="shared" si="16"/>
        <v>44287</v>
      </c>
      <c r="K46" s="1347">
        <f t="shared" si="16"/>
        <v>44256</v>
      </c>
      <c r="L46" s="1347">
        <f t="shared" si="16"/>
        <v>44228</v>
      </c>
      <c r="M46" s="1347">
        <f t="shared" si="16"/>
        <v>44197</v>
      </c>
      <c r="N46" s="1347">
        <f t="shared" si="16"/>
        <v>44166</v>
      </c>
      <c r="O46" s="1347">
        <f t="shared" si="16"/>
        <v>44136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2405</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2370</v>
      </c>
      <c r="B49" s="467"/>
      <c r="C49" s="479" t="s">
        <v>2472</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2417</v>
      </c>
      <c r="D63" s="535" t="s">
        <v>2418</v>
      </c>
      <c r="E63" s="535" t="s">
        <v>2419</v>
      </c>
      <c r="F63" s="535" t="s">
        <v>2420</v>
      </c>
      <c r="G63" s="535" t="s">
        <v>2421</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2509</v>
      </c>
      <c r="C65" s="616" t="s">
        <v>2495</v>
      </c>
      <c r="D65" s="616" t="s">
        <v>2496</v>
      </c>
      <c r="E65" s="616" t="s">
        <v>2497</v>
      </c>
      <c r="F65" s="616" t="s">
        <v>2498</v>
      </c>
      <c r="G65" s="616" t="s">
        <v>2499</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2429</v>
      </c>
      <c r="C67" s="535" t="s">
        <v>2417</v>
      </c>
      <c r="D67" s="535" t="s">
        <v>2418</v>
      </c>
      <c r="E67" s="535" t="s">
        <v>2419</v>
      </c>
      <c r="F67" s="535" t="s">
        <v>2420</v>
      </c>
      <c r="G67" s="535" t="s">
        <v>2421</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2383</v>
      </c>
      <c r="B77" s="485" t="s">
        <v>2436</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Normal="60" zoomScaleSheetLayoutView="100" workbookViewId="0">
      <selection activeCell="I60" sqref="I60"/>
    </sheetView>
  </sheetViews>
  <sheetFormatPr defaultColWidth="9" defaultRowHeight="14.25"/>
  <cols>
    <col min="1" max="1" width="14.375" style="363" customWidth="1"/>
    <col min="2" max="2" width="15.75" style="363" customWidth="1"/>
    <col min="3" max="3" width="19.625" style="363" customWidth="1"/>
    <col min="4" max="4" width="14.125" style="363" customWidth="1"/>
    <col min="5" max="5" width="17.5" style="363" customWidth="1"/>
    <col min="6" max="6" width="12.25" style="363" customWidth="1"/>
    <col min="7" max="7" width="18"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f>F66</f>
        <v>9560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2149</v>
      </c>
      <c r="B3" s="566">
        <f>ROUND(IF(D3="",B2*10000/'数据-汇总表'!E3,B2*10000/D3),0)</f>
        <v>1916</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2465</v>
      </c>
      <c r="B4" s="362"/>
      <c r="C4" s="3311" t="s">
        <v>2466</v>
      </c>
      <c r="D4" s="3312"/>
      <c r="E4" s="3313" t="s">
        <v>2467</v>
      </c>
      <c r="F4" s="3314"/>
      <c r="G4" s="3311" t="s">
        <v>2468</v>
      </c>
      <c r="H4" s="3312"/>
      <c r="I4" s="3311" t="s">
        <v>2469</v>
      </c>
      <c r="J4" s="3312"/>
      <c r="K4" s="567" t="s">
        <v>2470</v>
      </c>
      <c r="L4" s="2943"/>
      <c r="M4" s="2944"/>
      <c r="N4" s="2944"/>
      <c r="O4" s="2944"/>
      <c r="P4" s="3315" t="s">
        <v>2471</v>
      </c>
      <c r="Q4" s="3316"/>
      <c r="R4" s="3321" t="s">
        <v>2467</v>
      </c>
      <c r="S4" s="3322"/>
      <c r="T4" s="3321" t="s">
        <v>2468</v>
      </c>
      <c r="U4" s="3322"/>
      <c r="V4" s="3327" t="s">
        <v>2469</v>
      </c>
      <c r="W4" s="3327"/>
      <c r="X4" s="1539"/>
      <c r="Y4" s="3321" t="s">
        <v>2471</v>
      </c>
      <c r="Z4" s="3322"/>
      <c r="AA4" s="3308" t="s">
        <v>2467</v>
      </c>
      <c r="AB4" s="3309" t="s">
        <v>2468</v>
      </c>
      <c r="AC4" s="3308" t="s">
        <v>2469</v>
      </c>
    </row>
    <row r="5" spans="1:30" ht="15">
      <c r="A5" s="364"/>
      <c r="B5" s="365"/>
      <c r="C5" s="3330" t="s">
        <v>2362</v>
      </c>
      <c r="D5" s="3331"/>
      <c r="E5" s="3337" t="str">
        <f>土地案例!A7</f>
        <v xml:space="preserve">经区滨海大道北、东风路西    </v>
      </c>
      <c r="F5" s="3338"/>
      <c r="G5" s="3330" t="str">
        <f>土地案例!A19</f>
        <v xml:space="preserve">环翠区孙家疃街道山东村地块一    </v>
      </c>
      <c r="H5" s="3331"/>
      <c r="I5" s="3330" t="str">
        <f>土地案例!A20</f>
        <v xml:space="preserve">环翠区孙家疃街道山东村地块二    </v>
      </c>
      <c r="J5" s="3331"/>
      <c r="K5" s="567"/>
      <c r="L5" s="2943"/>
      <c r="M5" s="2944"/>
      <c r="N5" s="2944"/>
      <c r="O5" s="2944"/>
      <c r="P5" s="3317"/>
      <c r="Q5" s="3318"/>
      <c r="R5" s="3323"/>
      <c r="S5" s="3324"/>
      <c r="T5" s="3323"/>
      <c r="U5" s="3324"/>
      <c r="V5" s="3327"/>
      <c r="W5" s="3327"/>
      <c r="X5" s="1539"/>
      <c r="Y5" s="3323"/>
      <c r="Z5" s="3324"/>
      <c r="AA5" s="3309"/>
      <c r="AB5" s="3309"/>
      <c r="AC5" s="3309"/>
    </row>
    <row r="6" spans="1:30" ht="15.75" thickBot="1">
      <c r="A6" s="366"/>
      <c r="B6" s="367"/>
      <c r="C6" s="3328" t="s">
        <v>2366</v>
      </c>
      <c r="D6" s="3329"/>
      <c r="E6" s="3335" t="s">
        <v>2366</v>
      </c>
      <c r="F6" s="3336"/>
      <c r="G6" s="3328" t="s">
        <v>2366</v>
      </c>
      <c r="H6" s="3329"/>
      <c r="I6" s="3328" t="s">
        <v>2366</v>
      </c>
      <c r="J6" s="3329"/>
      <c r="K6" s="567" t="s">
        <v>2367</v>
      </c>
      <c r="L6" s="2943"/>
      <c r="M6" s="2944"/>
      <c r="N6" s="2944"/>
      <c r="O6" s="2944"/>
      <c r="P6" s="3319"/>
      <c r="Q6" s="3320"/>
      <c r="R6" s="3323"/>
      <c r="S6" s="3324"/>
      <c r="T6" s="3325"/>
      <c r="U6" s="3326"/>
      <c r="V6" s="3327"/>
      <c r="W6" s="3327"/>
      <c r="X6" s="1539"/>
      <c r="Y6" s="3325"/>
      <c r="Z6" s="3326"/>
      <c r="AA6" s="3310"/>
      <c r="AB6" s="3310"/>
      <c r="AC6" s="3310"/>
    </row>
    <row r="7" spans="1:30" s="113" customFormat="1" ht="15.75" thickBot="1">
      <c r="A7" s="368" t="s">
        <v>2368</v>
      </c>
      <c r="B7" s="369"/>
      <c r="C7" s="370">
        <f>'数据-取费表'!B2</f>
        <v>44525</v>
      </c>
      <c r="D7" s="371">
        <v>100</v>
      </c>
      <c r="E7" s="372">
        <f>土地案例!G7</f>
        <v>44155.000497685185</v>
      </c>
      <c r="F7" s="373">
        <f>SUMIF(70:70,YEAR(E7)&amp;"-"&amp;INT((MONTH(E7)+2)/3),71:71)</f>
        <v>98</v>
      </c>
      <c r="G7" s="2160">
        <f>土地案例!G19</f>
        <v>43693.000497685185</v>
      </c>
      <c r="H7" s="371">
        <f>SUMIF(70:70,YEAR(G7)&amp;"-"&amp;INT((MONTH(G7)+2)/3),71:71)</f>
        <v>95.5</v>
      </c>
      <c r="I7" s="2160">
        <f>土地案例!G20</f>
        <v>43693.000497685185</v>
      </c>
      <c r="J7" s="371">
        <f>SUMIF(70:70,YEAR(I7)&amp;"-"&amp;INT((MONTH(I7)+2)/3),71:71)</f>
        <v>95.5</v>
      </c>
      <c r="K7" s="568"/>
      <c r="L7" s="2945"/>
      <c r="M7" s="2946"/>
      <c r="N7" s="2946"/>
      <c r="O7" s="2946"/>
      <c r="P7" s="3332" t="s">
        <v>2369</v>
      </c>
      <c r="Q7" s="3334"/>
      <c r="R7" s="710" t="s">
        <v>17</v>
      </c>
      <c r="S7" s="711">
        <f t="shared" ref="S7:S15" si="0">F7</f>
        <v>98</v>
      </c>
      <c r="T7" s="710" t="s">
        <v>17</v>
      </c>
      <c r="U7" s="711">
        <f t="shared" ref="U7:U15" si="1">H7</f>
        <v>95.5</v>
      </c>
      <c r="V7" s="710" t="s">
        <v>17</v>
      </c>
      <c r="W7" s="711">
        <f t="shared" ref="W7:W15" si="2">J7</f>
        <v>95.5</v>
      </c>
      <c r="X7" s="712"/>
      <c r="Y7" s="3332" t="s">
        <v>2369</v>
      </c>
      <c r="Z7" s="3333"/>
      <c r="AA7" s="713">
        <f>D7/F7</f>
        <v>1.0204081632653061</v>
      </c>
      <c r="AB7" s="713">
        <f>D7/H7</f>
        <v>1.0471204188481675</v>
      </c>
      <c r="AC7" s="713">
        <f>D7/J7</f>
        <v>1.0471204188481675</v>
      </c>
    </row>
    <row r="8" spans="1:30" s="113" customFormat="1" ht="15.75" thickBot="1">
      <c r="A8" s="368" t="s">
        <v>2370</v>
      </c>
      <c r="B8" s="369"/>
      <c r="C8" s="374" t="s">
        <v>2371</v>
      </c>
      <c r="D8" s="371">
        <v>100</v>
      </c>
      <c r="E8" s="374" t="s">
        <v>3254</v>
      </c>
      <c r="F8" s="373">
        <f>SUMIF(73:73,E8,74:74)-SUMIF(73:73,C8,74:74)+100</f>
        <v>100</v>
      </c>
      <c r="G8" s="374" t="s">
        <v>3254</v>
      </c>
      <c r="H8" s="371">
        <f>SUMIF(73:73,G8,74:74)-SUMIF(73:73,C8,74:74)+100</f>
        <v>100</v>
      </c>
      <c r="I8" s="374" t="s">
        <v>3254</v>
      </c>
      <c r="J8" s="371">
        <f>SUMIF(73:73,I8,74:74)-SUMIF(73:73,C8,74:74)+100</f>
        <v>100</v>
      </c>
      <c r="K8" s="568"/>
      <c r="L8" s="2945"/>
      <c r="M8" s="2946"/>
      <c r="N8" s="2946"/>
      <c r="O8" s="2946"/>
      <c r="P8" s="3332" t="s">
        <v>2372</v>
      </c>
      <c r="Q8" s="3333"/>
      <c r="R8" s="710" t="s">
        <v>17</v>
      </c>
      <c r="S8" s="711">
        <f t="shared" si="0"/>
        <v>100</v>
      </c>
      <c r="T8" s="710" t="s">
        <v>17</v>
      </c>
      <c r="U8" s="711">
        <f t="shared" si="1"/>
        <v>100</v>
      </c>
      <c r="V8" s="710" t="s">
        <v>17</v>
      </c>
      <c r="W8" s="711">
        <f t="shared" si="2"/>
        <v>100</v>
      </c>
      <c r="X8" s="712"/>
      <c r="Y8" s="3332" t="s">
        <v>2372</v>
      </c>
      <c r="Z8" s="3333"/>
      <c r="AA8" s="713">
        <f t="shared" ref="AA8:AA45" si="3">D8/F8</f>
        <v>1</v>
      </c>
      <c r="AB8" s="713">
        <f t="shared" ref="AB8:AB45" si="4">D8/H8</f>
        <v>1</v>
      </c>
      <c r="AC8" s="713">
        <f t="shared" ref="AC8:AC45" si="5">D8/J8</f>
        <v>1</v>
      </c>
    </row>
    <row r="9" spans="1:30" s="113" customFormat="1">
      <c r="A9" s="375" t="s">
        <v>2373</v>
      </c>
      <c r="B9" s="67" t="s">
        <v>2374</v>
      </c>
      <c r="C9" s="2163" t="s">
        <v>1343</v>
      </c>
      <c r="D9" s="131">
        <v>100</v>
      </c>
      <c r="E9" s="2163" t="s">
        <v>1343</v>
      </c>
      <c r="F9" s="131">
        <f>SUMIF(75:75,E9,76:76)-SUMIF(75:75,C9,76:76)+100</f>
        <v>100</v>
      </c>
      <c r="G9" s="2163" t="s">
        <v>1343</v>
      </c>
      <c r="H9" s="131">
        <f>SUMIF(75:75,G9,76:76)-SUMIF(75:75,C9,76:76)+100</f>
        <v>100</v>
      </c>
      <c r="I9" s="2163" t="s">
        <v>1343</v>
      </c>
      <c r="J9" s="131">
        <f>SUMIF(75:75,I9,76:76)-SUMIF(75:75,C9,76:76)+100</f>
        <v>100</v>
      </c>
      <c r="K9" s="568"/>
      <c r="L9" s="2945"/>
      <c r="M9" s="2946"/>
      <c r="N9" s="2946"/>
      <c r="O9" s="3000"/>
      <c r="P9" s="3296" t="s">
        <v>2375</v>
      </c>
      <c r="Q9" s="1527" t="str">
        <f t="shared" ref="Q9:Q15" si="6">B9</f>
        <v>用途</v>
      </c>
      <c r="R9" s="710" t="s">
        <v>17</v>
      </c>
      <c r="S9" s="711">
        <f t="shared" si="0"/>
        <v>100</v>
      </c>
      <c r="T9" s="710" t="s">
        <v>17</v>
      </c>
      <c r="U9" s="711">
        <f t="shared" si="1"/>
        <v>100</v>
      </c>
      <c r="V9" s="710" t="s">
        <v>17</v>
      </c>
      <c r="W9" s="711">
        <f t="shared" si="2"/>
        <v>100</v>
      </c>
      <c r="X9" s="712"/>
      <c r="Y9" s="3166"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114</v>
      </c>
      <c r="G10" s="422"/>
      <c r="H10" s="132">
        <f>ROUND(100/'数据-取费表'!G16,0)</f>
        <v>114</v>
      </c>
      <c r="I10" s="422"/>
      <c r="J10" s="132">
        <f>ROUND(100/'数据-取费表'!G16,0)</f>
        <v>114</v>
      </c>
      <c r="K10" s="628"/>
      <c r="L10" s="2947"/>
      <c r="M10" s="2948"/>
      <c r="N10" s="2948"/>
      <c r="O10" s="3001"/>
      <c r="P10" s="3296"/>
      <c r="Q10" s="1527" t="str">
        <f t="shared" si="6"/>
        <v>土地使用年限（年）</v>
      </c>
      <c r="R10" s="710" t="s">
        <v>17</v>
      </c>
      <c r="S10" s="711">
        <f t="shared" si="0"/>
        <v>114</v>
      </c>
      <c r="T10" s="710" t="s">
        <v>17</v>
      </c>
      <c r="U10" s="711">
        <f t="shared" si="1"/>
        <v>114</v>
      </c>
      <c r="V10" s="710" t="s">
        <v>17</v>
      </c>
      <c r="W10" s="711">
        <f t="shared" si="2"/>
        <v>114</v>
      </c>
      <c r="X10" s="712"/>
      <c r="Y10" s="3166"/>
      <c r="Z10" s="55" t="str">
        <f t="shared" si="7"/>
        <v>土地使用年限（年）</v>
      </c>
      <c r="AA10" s="713">
        <f t="shared" si="3"/>
        <v>0.8771929824561403</v>
      </c>
      <c r="AB10" s="713">
        <f t="shared" si="4"/>
        <v>0.8771929824561403</v>
      </c>
      <c r="AC10" s="713">
        <f t="shared" si="5"/>
        <v>0.8771929824561403</v>
      </c>
    </row>
    <row r="11" spans="1:30" ht="15">
      <c r="A11" s="387"/>
      <c r="B11" s="381" t="s">
        <v>2378</v>
      </c>
      <c r="C11" s="388">
        <f>'数据-汇总表'!I4</f>
        <v>0.59</v>
      </c>
      <c r="D11" s="132">
        <v>100</v>
      </c>
      <c r="E11" s="388">
        <v>0.5</v>
      </c>
      <c r="F11" s="132">
        <f>LOOKUP(E11,80:80,81:81)-LOOKUP(C11,80:80,81:81)+100</f>
        <v>100</v>
      </c>
      <c r="G11" s="389">
        <v>0.6</v>
      </c>
      <c r="H11" s="132">
        <f>LOOKUP(G11,80:80,81:81)-LOOKUP(C11,80:80,81:81)+100</f>
        <v>100</v>
      </c>
      <c r="I11" s="388">
        <v>0.6</v>
      </c>
      <c r="J11" s="132">
        <f>LOOKUP(I11,80:80,81:81)-LOOKUP(C11,80:80,81:81)+100</f>
        <v>100</v>
      </c>
      <c r="K11" s="629">
        <v>1</v>
      </c>
      <c r="L11" s="2949"/>
      <c r="M11" s="2944"/>
      <c r="N11" s="2944"/>
      <c r="O11" s="3002"/>
      <c r="P11" s="3296"/>
      <c r="Q11" s="1527" t="str">
        <f t="shared" si="6"/>
        <v>容积率</v>
      </c>
      <c r="R11" s="710" t="s">
        <v>17</v>
      </c>
      <c r="S11" s="711">
        <f t="shared" si="0"/>
        <v>100</v>
      </c>
      <c r="T11" s="710" t="s">
        <v>17</v>
      </c>
      <c r="U11" s="711">
        <f t="shared" si="1"/>
        <v>100</v>
      </c>
      <c r="V11" s="710" t="s">
        <v>17</v>
      </c>
      <c r="W11" s="711">
        <f t="shared" si="2"/>
        <v>100</v>
      </c>
      <c r="X11" s="712"/>
      <c r="Y11" s="3166"/>
      <c r="Z11" s="55" t="str">
        <f t="shared" si="7"/>
        <v>容积率</v>
      </c>
      <c r="AA11" s="713">
        <f t="shared" si="3"/>
        <v>1</v>
      </c>
      <c r="AB11" s="713">
        <f t="shared" si="4"/>
        <v>1</v>
      </c>
      <c r="AC11" s="713">
        <f t="shared" si="5"/>
        <v>1</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96"/>
      <c r="Q12" s="1527" t="str">
        <f t="shared" si="6"/>
        <v>配建</v>
      </c>
      <c r="R12" s="710" t="s">
        <v>17</v>
      </c>
      <c r="S12" s="711">
        <f t="shared" si="0"/>
        <v>100</v>
      </c>
      <c r="T12" s="710" t="s">
        <v>17</v>
      </c>
      <c r="U12" s="711">
        <f t="shared" si="1"/>
        <v>100</v>
      </c>
      <c r="V12" s="710" t="s">
        <v>17</v>
      </c>
      <c r="W12" s="711">
        <f t="shared" si="2"/>
        <v>100</v>
      </c>
      <c r="X12" s="712"/>
      <c r="Y12" s="316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6"/>
      <c r="Q14" s="1527">
        <f t="shared" si="6"/>
        <v>111</v>
      </c>
      <c r="R14" s="710" t="s">
        <v>17</v>
      </c>
      <c r="S14" s="711">
        <f t="shared" si="0"/>
        <v>100</v>
      </c>
      <c r="T14" s="710" t="s">
        <v>17</v>
      </c>
      <c r="U14" s="711">
        <f t="shared" si="1"/>
        <v>100</v>
      </c>
      <c r="V14" s="710" t="s">
        <v>17</v>
      </c>
      <c r="W14" s="711">
        <f t="shared" si="2"/>
        <v>100</v>
      </c>
      <c r="X14" s="712"/>
      <c r="Y14" s="3166"/>
      <c r="Z14" s="55">
        <f t="shared" si="7"/>
        <v>111</v>
      </c>
      <c r="AA14" s="713">
        <f>D14/F14</f>
        <v>1</v>
      </c>
      <c r="AB14" s="713">
        <f>D14/H14</f>
        <v>1</v>
      </c>
      <c r="AC14" s="713">
        <f>D14/J14</f>
        <v>1</v>
      </c>
    </row>
    <row r="15" spans="1:30" ht="71.2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8" t="s">
        <v>2380</v>
      </c>
      <c r="Q15" s="1536" t="str">
        <f t="shared" si="6"/>
        <v>居住社区成熟度</v>
      </c>
      <c r="R15" s="714" t="s">
        <v>17</v>
      </c>
      <c r="S15" s="715">
        <f t="shared" si="0"/>
        <v>100</v>
      </c>
      <c r="T15" s="714" t="s">
        <v>17</v>
      </c>
      <c r="U15" s="715">
        <f t="shared" si="1"/>
        <v>100</v>
      </c>
      <c r="V15" s="714" t="s">
        <v>17</v>
      </c>
      <c r="W15" s="715">
        <f t="shared" si="2"/>
        <v>100</v>
      </c>
      <c r="X15" s="1539"/>
      <c r="Y15" s="3298"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299"/>
      <c r="Q16" s="1536"/>
      <c r="R16" s="714"/>
      <c r="S16" s="715"/>
      <c r="T16" s="714"/>
      <c r="U16" s="715"/>
      <c r="V16" s="714"/>
      <c r="W16" s="715"/>
      <c r="X16" s="1539"/>
      <c r="Y16" s="3299"/>
      <c r="Z16" s="1540"/>
      <c r="AA16" s="1537">
        <v>1</v>
      </c>
      <c r="AB16" s="1537">
        <v>1</v>
      </c>
      <c r="AC16" s="1537">
        <v>1</v>
      </c>
    </row>
    <row r="17" spans="1:29" ht="57">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9"/>
      <c r="Q17" s="1536" t="str">
        <f>B17</f>
        <v>商业繁华度</v>
      </c>
      <c r="R17" s="714" t="s">
        <v>17</v>
      </c>
      <c r="S17" s="715">
        <f>F17</f>
        <v>100</v>
      </c>
      <c r="T17" s="714" t="s">
        <v>17</v>
      </c>
      <c r="U17" s="715">
        <f>H17</f>
        <v>100</v>
      </c>
      <c r="V17" s="714" t="s">
        <v>17</v>
      </c>
      <c r="W17" s="715">
        <f>J17</f>
        <v>100</v>
      </c>
      <c r="X17" s="1539"/>
      <c r="Y17" s="329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299"/>
      <c r="Q18" s="1536"/>
      <c r="R18" s="714"/>
      <c r="S18" s="715"/>
      <c r="T18" s="714"/>
      <c r="U18" s="715"/>
      <c r="V18" s="714"/>
      <c r="W18" s="715"/>
      <c r="X18" s="1539"/>
      <c r="Y18" s="3299"/>
      <c r="Z18" s="1540"/>
      <c r="AA18" s="1537">
        <v>1</v>
      </c>
      <c r="AB18" s="1537">
        <v>1</v>
      </c>
      <c r="AC18" s="1537">
        <v>1</v>
      </c>
    </row>
    <row r="19" spans="1:29" ht="57">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9"/>
      <c r="Q19" s="1536" t="str">
        <f>B19</f>
        <v>办公集聚程度</v>
      </c>
      <c r="R19" s="714" t="s">
        <v>17</v>
      </c>
      <c r="S19" s="715">
        <f>F19</f>
        <v>100</v>
      </c>
      <c r="T19" s="714" t="s">
        <v>17</v>
      </c>
      <c r="U19" s="715">
        <f>H19</f>
        <v>100</v>
      </c>
      <c r="V19" s="714" t="s">
        <v>17</v>
      </c>
      <c r="W19" s="715">
        <f>J19</f>
        <v>100</v>
      </c>
      <c r="X19" s="1539"/>
      <c r="Y19" s="329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299"/>
      <c r="Q20" s="1536"/>
      <c r="R20" s="714"/>
      <c r="S20" s="715"/>
      <c r="T20" s="714"/>
      <c r="U20" s="715"/>
      <c r="V20" s="714"/>
      <c r="W20" s="715"/>
      <c r="X20" s="1539"/>
      <c r="Y20" s="3299"/>
      <c r="Z20" s="1540"/>
      <c r="AA20" s="1537">
        <v>1</v>
      </c>
      <c r="AB20" s="1537">
        <v>1</v>
      </c>
      <c r="AC20" s="1537">
        <v>1</v>
      </c>
    </row>
    <row r="21" spans="1:29" ht="57">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9"/>
      <c r="Q21" s="1536" t="str">
        <f>B21</f>
        <v>交通便捷度</v>
      </c>
      <c r="R21" s="714" t="s">
        <v>17</v>
      </c>
      <c r="S21" s="715">
        <f>F21</f>
        <v>100</v>
      </c>
      <c r="T21" s="714" t="s">
        <v>17</v>
      </c>
      <c r="U21" s="715">
        <f>H21</f>
        <v>100</v>
      </c>
      <c r="V21" s="714" t="s">
        <v>17</v>
      </c>
      <c r="W21" s="715">
        <f>J21</f>
        <v>100</v>
      </c>
      <c r="X21" s="1539"/>
      <c r="Y21" s="329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299"/>
      <c r="Q22" s="1536"/>
      <c r="R22" s="714"/>
      <c r="S22" s="715"/>
      <c r="T22" s="714"/>
      <c r="U22" s="715"/>
      <c r="V22" s="714"/>
      <c r="W22" s="715"/>
      <c r="X22" s="1539"/>
      <c r="Y22" s="329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9"/>
      <c r="Q23" s="1536" t="str">
        <f t="shared" ref="Q23:Q37" si="8">B23</f>
        <v>区域土地利用方向</v>
      </c>
      <c r="R23" s="714" t="s">
        <v>17</v>
      </c>
      <c r="S23" s="715">
        <f>F23</f>
        <v>100</v>
      </c>
      <c r="T23" s="714" t="s">
        <v>17</v>
      </c>
      <c r="U23" s="715">
        <f>H23</f>
        <v>100</v>
      </c>
      <c r="V23" s="714" t="s">
        <v>17</v>
      </c>
      <c r="W23" s="715">
        <f>J23</f>
        <v>100</v>
      </c>
      <c r="X23" s="1539"/>
      <c r="Y23" s="329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299"/>
      <c r="Q24" s="1536"/>
      <c r="R24" s="714"/>
      <c r="S24" s="715"/>
      <c r="T24" s="714"/>
      <c r="U24" s="715"/>
      <c r="V24" s="714"/>
      <c r="W24" s="715"/>
      <c r="X24" s="1539"/>
      <c r="Y24" s="3299"/>
      <c r="Z24" s="1540"/>
      <c r="AA24" s="1537"/>
      <c r="AB24" s="1537"/>
      <c r="AC24" s="1537"/>
    </row>
    <row r="25" spans="1:29" ht="42.75">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9"/>
      <c r="Q25" s="1536" t="str">
        <f t="shared" si="8"/>
        <v>自然及人文环境状况</v>
      </c>
      <c r="R25" s="714" t="s">
        <v>17</v>
      </c>
      <c r="S25" s="715">
        <f>F25</f>
        <v>100</v>
      </c>
      <c r="T25" s="714" t="s">
        <v>17</v>
      </c>
      <c r="U25" s="715">
        <f>H25</f>
        <v>100</v>
      </c>
      <c r="V25" s="714" t="s">
        <v>17</v>
      </c>
      <c r="W25" s="715">
        <f>J25</f>
        <v>100</v>
      </c>
      <c r="X25" s="1539"/>
      <c r="Y25" s="329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299"/>
      <c r="Q26" s="1536"/>
      <c r="R26" s="714"/>
      <c r="S26" s="715"/>
      <c r="T26" s="714"/>
      <c r="U26" s="715"/>
      <c r="V26" s="714"/>
      <c r="W26" s="715"/>
      <c r="X26" s="1539"/>
      <c r="Y26" s="3299"/>
      <c r="Z26" s="1540"/>
      <c r="AA26" s="1537">
        <v>1</v>
      </c>
      <c r="AB26" s="1537">
        <v>1</v>
      </c>
      <c r="AC26" s="1537">
        <v>1</v>
      </c>
    </row>
    <row r="27" spans="1:29" s="113" customFormat="1" ht="28.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9"/>
      <c r="Q27" s="1527" t="str">
        <f t="shared" si="8"/>
        <v>公共配套设施</v>
      </c>
      <c r="R27" s="710" t="s">
        <v>17</v>
      </c>
      <c r="S27" s="711">
        <f>F27</f>
        <v>100</v>
      </c>
      <c r="T27" s="710" t="s">
        <v>17</v>
      </c>
      <c r="U27" s="711">
        <f>H27</f>
        <v>100</v>
      </c>
      <c r="V27" s="710" t="s">
        <v>17</v>
      </c>
      <c r="W27" s="711">
        <f>J27</f>
        <v>100</v>
      </c>
      <c r="X27" s="712"/>
      <c r="Y27" s="329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299"/>
      <c r="Q28" s="1527"/>
      <c r="R28" s="710"/>
      <c r="S28" s="711"/>
      <c r="T28" s="710"/>
      <c r="U28" s="711"/>
      <c r="V28" s="710"/>
      <c r="W28" s="711"/>
      <c r="X28" s="712"/>
      <c r="Y28" s="3299"/>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9"/>
      <c r="Q29" s="1527" t="str">
        <f t="shared" ref="Q29" si="9">B29</f>
        <v>基础设施水平</v>
      </c>
      <c r="R29" s="710" t="s">
        <v>17</v>
      </c>
      <c r="S29" s="711">
        <f>F29</f>
        <v>100</v>
      </c>
      <c r="T29" s="710" t="s">
        <v>17</v>
      </c>
      <c r="U29" s="711">
        <f>H29</f>
        <v>100</v>
      </c>
      <c r="V29" s="710" t="s">
        <v>17</v>
      </c>
      <c r="W29" s="711">
        <f>J29</f>
        <v>100</v>
      </c>
      <c r="X29" s="712"/>
      <c r="Y29" s="329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299"/>
      <c r="Q30" s="1527"/>
      <c r="R30" s="710"/>
      <c r="S30" s="711"/>
      <c r="T30" s="710"/>
      <c r="U30" s="711"/>
      <c r="V30" s="710"/>
      <c r="W30" s="711"/>
      <c r="X30" s="712"/>
      <c r="Y30" s="329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9"/>
      <c r="Q32" s="1536" t="str">
        <f t="shared" si="8"/>
        <v>毗邻道路的类型与等级</v>
      </c>
      <c r="R32" s="714" t="s">
        <v>17</v>
      </c>
      <c r="S32" s="715">
        <f t="shared" si="10"/>
        <v>100</v>
      </c>
      <c r="T32" s="714" t="s">
        <v>17</v>
      </c>
      <c r="U32" s="715">
        <f t="shared" si="11"/>
        <v>100</v>
      </c>
      <c r="V32" s="714" t="s">
        <v>17</v>
      </c>
      <c r="W32" s="715">
        <f t="shared" si="12"/>
        <v>100</v>
      </c>
      <c r="X32" s="1539"/>
      <c r="Y32" s="329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299"/>
      <c r="Q33" s="1536"/>
      <c r="R33" s="714"/>
      <c r="S33" s="715"/>
      <c r="T33" s="714"/>
      <c r="U33" s="715"/>
      <c r="V33" s="714"/>
      <c r="W33" s="715"/>
      <c r="X33" s="1539"/>
      <c r="Y33" s="329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9"/>
      <c r="Q34" s="1536" t="str">
        <f t="shared" si="8"/>
        <v>土地级别</v>
      </c>
      <c r="R34" s="714" t="s">
        <v>17</v>
      </c>
      <c r="S34" s="715">
        <f t="shared" si="10"/>
        <v>100</v>
      </c>
      <c r="T34" s="714" t="s">
        <v>17</v>
      </c>
      <c r="U34" s="715">
        <f t="shared" si="11"/>
        <v>100</v>
      </c>
      <c r="V34" s="714" t="s">
        <v>17</v>
      </c>
      <c r="W34" s="715">
        <f t="shared" si="12"/>
        <v>100</v>
      </c>
      <c r="X34" s="1539"/>
      <c r="Y34" s="329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9"/>
      <c r="Q35" s="1536">
        <f t="shared" si="8"/>
        <v>111</v>
      </c>
      <c r="R35" s="714" t="s">
        <v>17</v>
      </c>
      <c r="S35" s="715">
        <f t="shared" si="10"/>
        <v>100</v>
      </c>
      <c r="T35" s="714" t="s">
        <v>17</v>
      </c>
      <c r="U35" s="715">
        <f t="shared" si="11"/>
        <v>100</v>
      </c>
      <c r="V35" s="714" t="s">
        <v>17</v>
      </c>
      <c r="W35" s="715">
        <f t="shared" si="12"/>
        <v>100</v>
      </c>
      <c r="X35" s="1539"/>
      <c r="Y35" s="329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54" t="s">
        <v>2385</v>
      </c>
      <c r="Q36" s="1536">
        <f t="shared" si="8"/>
        <v>111</v>
      </c>
      <c r="R36" s="714" t="s">
        <v>17</v>
      </c>
      <c r="S36" s="715">
        <f t="shared" si="10"/>
        <v>100</v>
      </c>
      <c r="T36" s="714" t="s">
        <v>17</v>
      </c>
      <c r="U36" s="715">
        <f t="shared" si="11"/>
        <v>100</v>
      </c>
      <c r="V36" s="714" t="s">
        <v>17</v>
      </c>
      <c r="W36" s="715">
        <f t="shared" si="12"/>
        <v>100</v>
      </c>
      <c r="X36" s="1539"/>
      <c r="Y36" s="330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03"/>
      <c r="Q37" s="1536">
        <f t="shared" si="8"/>
        <v>111</v>
      </c>
      <c r="R37" s="717" t="s">
        <v>17</v>
      </c>
      <c r="S37" s="718">
        <f t="shared" si="10"/>
        <v>100</v>
      </c>
      <c r="T37" s="717" t="s">
        <v>17</v>
      </c>
      <c r="U37" s="718">
        <f t="shared" si="11"/>
        <v>100</v>
      </c>
      <c r="V37" s="717" t="s">
        <v>17</v>
      </c>
      <c r="W37" s="718">
        <f t="shared" si="12"/>
        <v>100</v>
      </c>
      <c r="X37" s="719"/>
      <c r="Y37" s="3303"/>
      <c r="Z37" s="720">
        <f t="shared" si="13"/>
        <v>111</v>
      </c>
      <c r="AA37" s="1537">
        <f t="shared" si="3"/>
        <v>1</v>
      </c>
      <c r="AB37" s="1537">
        <f t="shared" si="4"/>
        <v>1</v>
      </c>
      <c r="AC37" s="1537">
        <f t="shared" si="5"/>
        <v>1</v>
      </c>
    </row>
    <row r="38" spans="1:29" ht="15">
      <c r="A38" s="431" t="s">
        <v>2383</v>
      </c>
      <c r="B38" s="415" t="s">
        <v>2571</v>
      </c>
      <c r="C38" s="635">
        <f>'数据-基础表'!A3</f>
        <v>84549</v>
      </c>
      <c r="D38" s="426">
        <v>100</v>
      </c>
      <c r="E38" s="635">
        <f>土地案例!C7</f>
        <v>125939</v>
      </c>
      <c r="F38" s="426">
        <f>LOOKUP(E38,117:117,118:118)-LOOKUP(C38,117:117,118:118)+100</f>
        <v>101</v>
      </c>
      <c r="G38" s="635">
        <f>土地案例!C19</f>
        <v>80549</v>
      </c>
      <c r="H38" s="426">
        <f>LOOKUP(G38,117:117,118:118)-LOOKUP(C38,117:117,118:118)+100</f>
        <v>100</v>
      </c>
      <c r="I38" s="487">
        <f>土地案例!C20</f>
        <v>83005</v>
      </c>
      <c r="J38" s="426">
        <f>LOOKUP(I38,117:117,118:118)-LOOKUP(C38,117:117,118:118)+100</f>
        <v>100</v>
      </c>
      <c r="K38" s="570"/>
      <c r="L38" s="2950"/>
      <c r="M38" s="2944"/>
      <c r="N38" s="2944"/>
      <c r="O38" s="3002"/>
      <c r="P38" s="3303"/>
      <c r="Q38" s="1536" t="str">
        <f>B38</f>
        <v>宗地面积</v>
      </c>
      <c r="R38" s="714" t="s">
        <v>17</v>
      </c>
      <c r="S38" s="715">
        <f t="shared" si="10"/>
        <v>101</v>
      </c>
      <c r="T38" s="714" t="s">
        <v>17</v>
      </c>
      <c r="U38" s="715">
        <f t="shared" si="11"/>
        <v>100</v>
      </c>
      <c r="V38" s="714" t="s">
        <v>17</v>
      </c>
      <c r="W38" s="715">
        <f t="shared" si="12"/>
        <v>100</v>
      </c>
      <c r="X38" s="1539"/>
      <c r="Y38" s="3303"/>
      <c r="Z38" s="1540" t="str">
        <f t="shared" si="13"/>
        <v>宗地面积</v>
      </c>
      <c r="AA38" s="1537">
        <f t="shared" si="3"/>
        <v>0.99009900990099009</v>
      </c>
      <c r="AB38" s="1537">
        <f t="shared" si="4"/>
        <v>1</v>
      </c>
      <c r="AC38" s="1537">
        <f t="shared" si="5"/>
        <v>1</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03"/>
      <c r="Q39" s="1536" t="str">
        <f t="shared" ref="Q39:Q45" si="14">B39</f>
        <v>宗地形状</v>
      </c>
      <c r="R39" s="714" t="s">
        <v>17</v>
      </c>
      <c r="S39" s="715">
        <f t="shared" si="10"/>
        <v>100</v>
      </c>
      <c r="T39" s="714" t="s">
        <v>17</v>
      </c>
      <c r="U39" s="715">
        <f t="shared" si="11"/>
        <v>100</v>
      </c>
      <c r="V39" s="714" t="s">
        <v>17</v>
      </c>
      <c r="W39" s="715">
        <f t="shared" si="12"/>
        <v>100</v>
      </c>
      <c r="X39" s="1539"/>
      <c r="Y39" s="3303"/>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03"/>
      <c r="Q40" s="1536" t="str">
        <f t="shared" si="14"/>
        <v>临街宽度及深度</v>
      </c>
      <c r="R40" s="714" t="s">
        <v>17</v>
      </c>
      <c r="S40" s="715">
        <f t="shared" si="10"/>
        <v>100</v>
      </c>
      <c r="T40" s="714" t="s">
        <v>17</v>
      </c>
      <c r="U40" s="715">
        <f t="shared" si="11"/>
        <v>100</v>
      </c>
      <c r="V40" s="714" t="s">
        <v>17</v>
      </c>
      <c r="W40" s="715">
        <f t="shared" si="12"/>
        <v>100</v>
      </c>
      <c r="X40" s="1539"/>
      <c r="Y40" s="3303"/>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03"/>
      <c r="Q41" s="1536" t="str">
        <f t="shared" si="14"/>
        <v>宗地开发程度</v>
      </c>
      <c r="R41" s="710" t="s">
        <v>17</v>
      </c>
      <c r="S41" s="711">
        <f t="shared" si="10"/>
        <v>100</v>
      </c>
      <c r="T41" s="710" t="s">
        <v>17</v>
      </c>
      <c r="U41" s="711">
        <f t="shared" si="11"/>
        <v>100</v>
      </c>
      <c r="V41" s="710" t="s">
        <v>17</v>
      </c>
      <c r="W41" s="711">
        <f t="shared" si="12"/>
        <v>100</v>
      </c>
      <c r="X41" s="712"/>
      <c r="Y41" s="3303"/>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03" t="s">
        <v>2385</v>
      </c>
      <c r="Q42" s="1536" t="str">
        <f t="shared" si="14"/>
        <v>工程地质条件</v>
      </c>
      <c r="R42" s="714" t="s">
        <v>17</v>
      </c>
      <c r="S42" s="715">
        <f t="shared" si="10"/>
        <v>100</v>
      </c>
      <c r="T42" s="714" t="s">
        <v>17</v>
      </c>
      <c r="U42" s="715">
        <f t="shared" si="11"/>
        <v>100</v>
      </c>
      <c r="V42" s="714" t="s">
        <v>17</v>
      </c>
      <c r="W42" s="715">
        <f t="shared" si="12"/>
        <v>100</v>
      </c>
      <c r="X42" s="1539"/>
      <c r="Y42" s="330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03"/>
      <c r="Q43" s="1536">
        <f t="shared" si="14"/>
        <v>111</v>
      </c>
      <c r="R43" s="714" t="s">
        <v>17</v>
      </c>
      <c r="S43" s="715">
        <f t="shared" si="10"/>
        <v>100</v>
      </c>
      <c r="T43" s="714" t="s">
        <v>17</v>
      </c>
      <c r="U43" s="715">
        <f t="shared" si="11"/>
        <v>100</v>
      </c>
      <c r="V43" s="714" t="s">
        <v>17</v>
      </c>
      <c r="W43" s="715">
        <f t="shared" si="12"/>
        <v>100</v>
      </c>
      <c r="X43" s="1539"/>
      <c r="Y43" s="330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03"/>
      <c r="Q44" s="1536">
        <f t="shared" si="14"/>
        <v>111</v>
      </c>
      <c r="R44" s="714" t="s">
        <v>17</v>
      </c>
      <c r="S44" s="715">
        <f t="shared" si="10"/>
        <v>100</v>
      </c>
      <c r="T44" s="714" t="s">
        <v>17</v>
      </c>
      <c r="U44" s="715">
        <f t="shared" si="11"/>
        <v>100</v>
      </c>
      <c r="V44" s="714" t="s">
        <v>17</v>
      </c>
      <c r="W44" s="715">
        <f t="shared" si="12"/>
        <v>100</v>
      </c>
      <c r="X44" s="1539"/>
      <c r="Y44" s="330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03"/>
      <c r="Q45" s="1536">
        <f t="shared" si="14"/>
        <v>111</v>
      </c>
      <c r="R45" s="717" t="s">
        <v>17</v>
      </c>
      <c r="S45" s="718">
        <f t="shared" si="10"/>
        <v>100</v>
      </c>
      <c r="T45" s="717" t="s">
        <v>17</v>
      </c>
      <c r="U45" s="718">
        <f t="shared" si="11"/>
        <v>100</v>
      </c>
      <c r="V45" s="717" t="s">
        <v>17</v>
      </c>
      <c r="W45" s="718">
        <f t="shared" si="12"/>
        <v>100</v>
      </c>
      <c r="X45" s="719"/>
      <c r="Y45" s="3303"/>
      <c r="Z45" s="720">
        <f t="shared" si="13"/>
        <v>111</v>
      </c>
      <c r="AA45" s="1537">
        <f t="shared" si="3"/>
        <v>1</v>
      </c>
      <c r="AB45" s="1537">
        <f t="shared" si="4"/>
        <v>1</v>
      </c>
      <c r="AC45" s="1537">
        <f t="shared" si="5"/>
        <v>1</v>
      </c>
    </row>
    <row r="46" spans="1:29" ht="15">
      <c r="A46" s="438" t="s">
        <v>2540</v>
      </c>
      <c r="B46" s="2168" t="s">
        <v>3253</v>
      </c>
      <c r="C46" s="638" t="s">
        <v>1</v>
      </c>
      <c r="D46" s="440"/>
      <c r="E46" s="441">
        <f>土地案例!K7</f>
        <v>2340</v>
      </c>
      <c r="F46" s="442"/>
      <c r="G46" s="443">
        <f>土地案例!K19</f>
        <v>2000</v>
      </c>
      <c r="H46" s="444"/>
      <c r="I46" s="441">
        <f>土地案例!K20</f>
        <v>2000</v>
      </c>
      <c r="J46" s="444"/>
      <c r="K46" s="723"/>
      <c r="L46" s="2952"/>
      <c r="M46" s="2953"/>
      <c r="N46" s="2944"/>
      <c r="O46" s="2953"/>
      <c r="P46" s="3296" t="str">
        <f>A46</f>
        <v>成交单价</v>
      </c>
      <c r="Q46" s="3296"/>
      <c r="R46" s="3327">
        <f>E46</f>
        <v>2340</v>
      </c>
      <c r="S46" s="3327"/>
      <c r="T46" s="3327">
        <f>G46</f>
        <v>2000</v>
      </c>
      <c r="U46" s="3327"/>
      <c r="V46" s="3327">
        <f>I46</f>
        <v>2000</v>
      </c>
      <c r="W46" s="3327"/>
      <c r="X46" s="699"/>
      <c r="Y46" s="721"/>
      <c r="Z46" s="699"/>
      <c r="AA46" s="699"/>
      <c r="AB46" s="699"/>
      <c r="AC46" s="699"/>
    </row>
    <row r="47" spans="1:29" ht="15.75" thickBot="1">
      <c r="A47" s="445" t="s">
        <v>2489</v>
      </c>
      <c r="B47" s="639"/>
      <c r="C47" s="448">
        <f>R48</f>
        <v>1916</v>
      </c>
      <c r="D47" s="2538" t="s">
        <v>2879</v>
      </c>
      <c r="E47" s="448">
        <f>R47</f>
        <v>2074</v>
      </c>
      <c r="F47" s="2539"/>
      <c r="G47" s="447">
        <f>T47</f>
        <v>1837</v>
      </c>
      <c r="H47" s="2539"/>
      <c r="I47" s="448">
        <f>V47</f>
        <v>1837</v>
      </c>
      <c r="J47" s="2539"/>
      <c r="K47" s="2541">
        <f>F47+H47+J47</f>
        <v>0</v>
      </c>
      <c r="L47" s="2952"/>
      <c r="M47" s="2953"/>
      <c r="N47" s="2953"/>
      <c r="O47" s="2953"/>
      <c r="P47" s="3296" t="str">
        <f>A47</f>
        <v>比较价值（元/平方米）</v>
      </c>
      <c r="Q47" s="3296"/>
      <c r="R47" s="3356">
        <f>ROUND(PRODUCT(R46,AA7:AA45),0)</f>
        <v>2074</v>
      </c>
      <c r="S47" s="3356"/>
      <c r="T47" s="3356">
        <f>ROUND(PRODUCT(T46,AB7:AB45),0)</f>
        <v>1837</v>
      </c>
      <c r="U47" s="3356"/>
      <c r="V47" s="3356">
        <f>ROUND(PRODUCT(V46,AC7:AC45),0)</f>
        <v>1837</v>
      </c>
      <c r="W47" s="3356"/>
      <c r="X47" s="699"/>
      <c r="Y47" s="699"/>
      <c r="Z47" s="699"/>
      <c r="AA47" s="699"/>
      <c r="AB47" s="699"/>
      <c r="AC47" s="699"/>
    </row>
    <row r="48" spans="1:29" ht="15.75" thickBot="1">
      <c r="A48" s="449" t="s">
        <v>2576</v>
      </c>
      <c r="B48" s="450"/>
      <c r="C48" s="451">
        <f>R48</f>
        <v>1916</v>
      </c>
      <c r="D48" s="451"/>
      <c r="E48" s="451"/>
      <c r="F48" s="451"/>
      <c r="G48" s="451"/>
      <c r="H48" s="451"/>
      <c r="I48" s="451"/>
      <c r="J48" s="451"/>
      <c r="K48" s="724"/>
      <c r="L48" s="2952"/>
      <c r="M48" s="2953"/>
      <c r="N48" s="2953"/>
      <c r="O48" s="2953"/>
      <c r="P48" s="3293" t="str">
        <f>A48</f>
        <v>估价对象XX用房的比较价值（楼面单价，元/平方米）</v>
      </c>
      <c r="Q48" s="3294"/>
      <c r="R48" s="3357">
        <f>ROUND(IF(D47="简单平均",AVERAGE(R47:W47),R47*F47+T47*H47+V47*J47),0)</f>
        <v>1916</v>
      </c>
      <c r="S48" s="3357"/>
      <c r="T48" s="3357"/>
      <c r="U48" s="3357"/>
      <c r="V48" s="3357"/>
      <c r="W48" s="3357"/>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2491</v>
      </c>
      <c r="D51" s="455"/>
      <c r="E51" s="456">
        <f>IF(E46&lt;E47,E47/E46-1,E46/E47-1)</f>
        <v>0.12825458052073291</v>
      </c>
      <c r="F51" s="457" t="str">
        <f>IF(OR(E51&gt;=0.3,E51&lt;=-0.3),"超过30%","")</f>
        <v/>
      </c>
      <c r="G51" s="456">
        <f>IF(G46&lt;G47,G47/G46-1,G46/G47-1)</f>
        <v>8.8731627653783285E-2</v>
      </c>
      <c r="H51" s="457" t="str">
        <f>IF(OR(G51&gt;=0.3,G51&lt;=-0.3),"超过30%","")</f>
        <v/>
      </c>
      <c r="I51" s="456">
        <f>IF(I46&lt;I47,I47/I46-1,I46/I47-1)</f>
        <v>8.8731627653783285E-2</v>
      </c>
      <c r="J51" s="457"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2492</v>
      </c>
      <c r="D52" s="458"/>
      <c r="E52" s="456">
        <f>IF(E47&lt;G47,G47/E47-1,E47/G47-1)</f>
        <v>0.12901469787697328</v>
      </c>
      <c r="F52" s="457" t="str">
        <f>IF(OR(E52&gt;=0.2,E52&lt;=-0.2),"超过20%","")</f>
        <v/>
      </c>
      <c r="G52" s="456">
        <f>IF(G47&lt;I47,I47/G47-1,G47/I47-1)</f>
        <v>0</v>
      </c>
      <c r="H52" s="457" t="str">
        <f>IF(OR(G52&gt;=0.2,G52&lt;=-0.2),"超过20%","")</f>
        <v/>
      </c>
      <c r="I52" s="456">
        <f>IF(I47&lt;E47,E47/I47-1,I47/E47-1)</f>
        <v>0.12901469787697328</v>
      </c>
      <c r="J52" s="457"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2493</v>
      </c>
      <c r="D53" s="458"/>
      <c r="E53" s="456">
        <f>IF(E46&lt;G46,G46/E46-1,E46/G46-1)</f>
        <v>0.16999999999999993</v>
      </c>
      <c r="F53" s="457" t="str">
        <f>IF(OR(E53&gt;=0.3,E53&lt;=-0.3),"超过30%","")</f>
        <v/>
      </c>
      <c r="G53" s="456">
        <f>IF(G46&lt;I46,I46/G46-1,G46/I46-1)</f>
        <v>0</v>
      </c>
      <c r="H53" s="457" t="str">
        <f>IF(OR(G53&gt;=0.3,G53&lt;=-0.3),"超过30%","")</f>
        <v/>
      </c>
      <c r="I53" s="456">
        <f>IF(I46&lt;E46,E46/I46-1,I46/E46-1)</f>
        <v>0.16999999999999993</v>
      </c>
      <c r="J53" s="457"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2577</v>
      </c>
      <c r="B55" s="641" t="s">
        <v>2578</v>
      </c>
      <c r="C55" s="2169" t="s">
        <v>2579</v>
      </c>
      <c r="D55" s="2170" t="s">
        <v>2580</v>
      </c>
      <c r="E55" s="642" t="s">
        <v>2581</v>
      </c>
      <c r="F55" s="1021" t="s">
        <v>2582</v>
      </c>
      <c r="G55" s="3311" t="s">
        <v>2583</v>
      </c>
      <c r="H55" s="3358"/>
      <c r="I55" s="140" t="s">
        <v>2584</v>
      </c>
      <c r="J55" s="2171" t="str">
        <f>项目基本情况!F35</f>
        <v>山东省威海市</v>
      </c>
      <c r="K55" s="2172" t="s">
        <v>2585</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2586</v>
      </c>
      <c r="B56" s="645">
        <f>C48</f>
        <v>1916</v>
      </c>
      <c r="C56" s="646">
        <v>1</v>
      </c>
      <c r="D56" s="1075">
        <v>1</v>
      </c>
      <c r="E56" s="646">
        <f>'数据-汇总表'!E8+'数据-汇总表'!E9</f>
        <v>49897.21</v>
      </c>
      <c r="F56" s="1017">
        <f t="shared" ref="F56:F65" si="15">ROUND(B56*E56/10000,0)</f>
        <v>9560</v>
      </c>
      <c r="G56" s="3307"/>
      <c r="H56" s="3296"/>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2587</v>
      </c>
      <c r="B57" s="224">
        <f>ROUND($C$48*C57*D57,0)</f>
        <v>0</v>
      </c>
      <c r="C57" s="176">
        <f t="shared" ref="C57:C65" si="16">IF($C$55="北京市系数",I57,J57)</f>
        <v>0</v>
      </c>
      <c r="D57" s="1076">
        <v>0.25</v>
      </c>
      <c r="E57" s="650"/>
      <c r="F57" s="1017">
        <f t="shared" si="15"/>
        <v>0</v>
      </c>
      <c r="G57" s="3359" t="s">
        <v>2588</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2589</v>
      </c>
      <c r="B58" s="224">
        <f t="shared" ref="B58:B65" si="17">ROUND($C$48*C58*D58,0)</f>
        <v>0</v>
      </c>
      <c r="C58" s="176">
        <f t="shared" si="16"/>
        <v>0</v>
      </c>
      <c r="D58" s="1076">
        <v>0.25</v>
      </c>
      <c r="E58" s="650"/>
      <c r="F58" s="1017">
        <f t="shared" si="15"/>
        <v>0</v>
      </c>
      <c r="G58" s="3359"/>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2590</v>
      </c>
      <c r="B59" s="224">
        <f t="shared" si="17"/>
        <v>0</v>
      </c>
      <c r="C59" s="176">
        <f t="shared" si="16"/>
        <v>0</v>
      </c>
      <c r="D59" s="1076">
        <v>0.25</v>
      </c>
      <c r="E59" s="650"/>
      <c r="F59" s="1017">
        <f t="shared" si="15"/>
        <v>0</v>
      </c>
      <c r="G59" s="3359"/>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2591</v>
      </c>
      <c r="B60" s="224">
        <f t="shared" si="17"/>
        <v>0</v>
      </c>
      <c r="C60" s="176">
        <f t="shared" si="16"/>
        <v>0</v>
      </c>
      <c r="D60" s="1076">
        <v>0.25</v>
      </c>
      <c r="E60" s="650"/>
      <c r="F60" s="1017">
        <f t="shared" si="15"/>
        <v>0</v>
      </c>
      <c r="G60" s="3359"/>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2592</v>
      </c>
      <c r="B61" s="224">
        <f t="shared" si="17"/>
        <v>0</v>
      </c>
      <c r="C61" s="176">
        <f t="shared" si="16"/>
        <v>0</v>
      </c>
      <c r="D61" s="1076">
        <v>0.25</v>
      </c>
      <c r="E61" s="223">
        <f>'数据-汇总表'!E11</f>
        <v>0</v>
      </c>
      <c r="F61" s="1017">
        <f t="shared" si="15"/>
        <v>0</v>
      </c>
      <c r="G61" s="2173" t="s">
        <v>2593</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2598</v>
      </c>
      <c r="B64" s="224">
        <f t="shared" si="17"/>
        <v>0</v>
      </c>
      <c r="C64" s="176">
        <f t="shared" si="16"/>
        <v>0</v>
      </c>
      <c r="D64" s="1076">
        <v>0.25</v>
      </c>
      <c r="E64" s="223">
        <f>'数据-汇总表'!E14</f>
        <v>0</v>
      </c>
      <c r="F64" s="1017">
        <f t="shared" si="15"/>
        <v>0</v>
      </c>
      <c r="G64" s="2173" t="s">
        <v>2588</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2599</v>
      </c>
      <c r="B65" s="224">
        <f t="shared" si="17"/>
        <v>0</v>
      </c>
      <c r="C65" s="176">
        <f t="shared" si="16"/>
        <v>0</v>
      </c>
      <c r="D65" s="1076">
        <v>0.25</v>
      </c>
      <c r="E65" s="223">
        <f>'数据-汇总表'!E15</f>
        <v>0</v>
      </c>
      <c r="F65" s="1017">
        <f t="shared" si="15"/>
        <v>0</v>
      </c>
      <c r="G65" s="2174" t="s">
        <v>2593</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2600</v>
      </c>
      <c r="B66" s="652" t="s">
        <v>28</v>
      </c>
      <c r="C66" s="652" t="s">
        <v>29</v>
      </c>
      <c r="D66" s="652" t="s">
        <v>997</v>
      </c>
      <c r="E66" s="652">
        <f>IF(B46="楼面地价",SUM(E56:E65),'数据-汇总表'!D3)</f>
        <v>49897.21</v>
      </c>
      <c r="F66" s="653">
        <f>IF(B46="楼面地价",SUM(F56:F65),ROUND(C48*E66/10000,0))</f>
        <v>9560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53"/>
      <c r="Q68" s="2953"/>
      <c r="R68" s="2953"/>
      <c r="S68" s="2953"/>
      <c r="T68" s="2953"/>
      <c r="U68" s="2953"/>
      <c r="V68" s="2953"/>
      <c r="W68" s="2953"/>
      <c r="X68" s="2953"/>
      <c r="Y68" s="2953"/>
      <c r="Z68" s="2953"/>
      <c r="AA68" s="2953"/>
      <c r="AB68" s="2953"/>
      <c r="AC68" s="2953"/>
    </row>
    <row r="69" spans="1:29" ht="21.75" thickBot="1">
      <c r="A69" s="703" t="s">
        <v>2494</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2601</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6" t="s">
        <v>2602</v>
      </c>
      <c r="B71" s="294" t="str">
        <f>"北京市平均增长率"&amp;TEXT(SUMIF(基准地价修正!N21:N25,A71,基准地价修正!P21:P25),"0.00%")</f>
        <v>北京市平均增长率1.83%</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2405</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2370</v>
      </c>
      <c r="B73" s="467"/>
      <c r="C73" s="479" t="s">
        <v>2472</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2408</v>
      </c>
      <c r="B75" s="485" t="s">
        <v>2374</v>
      </c>
      <c r="C75" s="3072" t="s">
        <v>3255</v>
      </c>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2377</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2378</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v>0</v>
      </c>
      <c r="D80" s="506">
        <v>1</v>
      </c>
      <c r="E80" s="506">
        <v>2</v>
      </c>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2">IF($B$46="单位面积地价",C81+$K11,C81-$K11)</f>
        <v>99</v>
      </c>
      <c r="E81" s="501">
        <f t="shared" si="22"/>
        <v>98</v>
      </c>
      <c r="F81" s="501">
        <f t="shared" si="22"/>
        <v>97</v>
      </c>
      <c r="G81" s="501">
        <f t="shared" si="22"/>
        <v>96</v>
      </c>
      <c r="H81" s="501">
        <f t="shared" si="22"/>
        <v>95</v>
      </c>
      <c r="I81" s="501">
        <f t="shared" si="22"/>
        <v>94</v>
      </c>
      <c r="J81" s="501">
        <f t="shared" si="22"/>
        <v>93</v>
      </c>
      <c r="K81" s="501">
        <f t="shared" si="22"/>
        <v>92</v>
      </c>
      <c r="L81" s="501">
        <f t="shared" si="22"/>
        <v>91</v>
      </c>
      <c r="M81" s="501">
        <f t="shared" si="22"/>
        <v>90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2379</v>
      </c>
      <c r="B88" s="485" t="s">
        <v>2416</v>
      </c>
      <c r="C88" s="530" t="s">
        <v>2417</v>
      </c>
      <c r="D88" s="530" t="s">
        <v>2418</v>
      </c>
      <c r="E88" s="530" t="s">
        <v>2419</v>
      </c>
      <c r="F88" s="530" t="s">
        <v>2420</v>
      </c>
      <c r="G88" s="530" t="s">
        <v>2421</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2603</v>
      </c>
      <c r="C90" s="535" t="s">
        <v>2417</v>
      </c>
      <c r="D90" s="535" t="s">
        <v>2418</v>
      </c>
      <c r="E90" s="535" t="s">
        <v>2419</v>
      </c>
      <c r="F90" s="535" t="s">
        <v>2420</v>
      </c>
      <c r="G90" s="535" t="s">
        <v>2421</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2517</v>
      </c>
      <c r="C92" s="535" t="s">
        <v>2417</v>
      </c>
      <c r="D92" s="535" t="s">
        <v>2418</v>
      </c>
      <c r="E92" s="535" t="s">
        <v>2419</v>
      </c>
      <c r="F92" s="535" t="s">
        <v>2420</v>
      </c>
      <c r="G92" s="535" t="s">
        <v>2421</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2422</v>
      </c>
      <c r="C94" s="535" t="s">
        <v>2417</v>
      </c>
      <c r="D94" s="535" t="s">
        <v>2418</v>
      </c>
      <c r="E94" s="535" t="s">
        <v>2419</v>
      </c>
      <c r="F94" s="535" t="s">
        <v>2420</v>
      </c>
      <c r="G94" s="535" t="s">
        <v>2421</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2604</v>
      </c>
      <c r="C96" s="535" t="s">
        <v>2417</v>
      </c>
      <c r="D96" s="535" t="s">
        <v>2418</v>
      </c>
      <c r="E96" s="535" t="s">
        <v>2419</v>
      </c>
      <c r="F96" s="535" t="s">
        <v>2420</v>
      </c>
      <c r="G96" s="535" t="s">
        <v>2421</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2605</v>
      </c>
      <c r="C98" s="530" t="s">
        <v>2417</v>
      </c>
      <c r="D98" s="530" t="s">
        <v>2418</v>
      </c>
      <c r="E98" s="530" t="s">
        <v>2419</v>
      </c>
      <c r="F98" s="530" t="s">
        <v>2420</v>
      </c>
      <c r="G98" s="530" t="s">
        <v>2421</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2511</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28.5">
      <c r="A116" s="484" t="s">
        <v>2383</v>
      </c>
      <c r="B116" s="485" t="s">
        <v>2610</v>
      </c>
      <c r="C116" s="486" t="str">
        <f>C117&amp;"(含)"&amp;"-"&amp;D117</f>
        <v>0(含)-100000</v>
      </c>
      <c r="D116" s="486" t="str">
        <f t="shared" ref="D116:M116" si="26">D117&amp;"(含)"&amp;"-"&amp;E117</f>
        <v>100000(含)-200000</v>
      </c>
      <c r="E116" s="486" t="str">
        <f t="shared" si="26"/>
        <v>200000(含)-300000</v>
      </c>
      <c r="F116" s="486" t="str">
        <f t="shared" si="26"/>
        <v>300000(含)-400000</v>
      </c>
      <c r="G116" s="486" t="str">
        <f t="shared" si="26"/>
        <v>400000(含)-500000</v>
      </c>
      <c r="H116" s="486" t="str">
        <f t="shared" si="26"/>
        <v>500000(含)-600000</v>
      </c>
      <c r="I116" s="486" t="str">
        <f t="shared" si="26"/>
        <v>600000(含)-700000</v>
      </c>
      <c r="J116" s="486" t="str">
        <f t="shared" si="26"/>
        <v>700000(含)-</v>
      </c>
      <c r="K116" s="486" t="str">
        <f t="shared" si="26"/>
        <v>(含)-</v>
      </c>
      <c r="L116" s="486" t="str">
        <f t="shared" si="26"/>
        <v>(含)-</v>
      </c>
      <c r="M116" s="486"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v>0</v>
      </c>
      <c r="D117" s="552">
        <f>C117+100000</f>
        <v>100000</v>
      </c>
      <c r="E117" s="552">
        <f t="shared" ref="E117:J117" si="27">D117+100000</f>
        <v>200000</v>
      </c>
      <c r="F117" s="552">
        <f t="shared" si="27"/>
        <v>300000</v>
      </c>
      <c r="G117" s="552">
        <f t="shared" si="27"/>
        <v>400000</v>
      </c>
      <c r="H117" s="552">
        <f t="shared" si="27"/>
        <v>500000</v>
      </c>
      <c r="I117" s="552">
        <f t="shared" si="27"/>
        <v>600000</v>
      </c>
      <c r="J117" s="552">
        <f t="shared" si="27"/>
        <v>700000</v>
      </c>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v>100</v>
      </c>
      <c r="D118" s="548">
        <f>C118+1</f>
        <v>101</v>
      </c>
      <c r="E118" s="548">
        <f t="shared" ref="E118:J118" si="28">D118+1</f>
        <v>102</v>
      </c>
      <c r="F118" s="548">
        <f t="shared" si="28"/>
        <v>103</v>
      </c>
      <c r="G118" s="548">
        <f t="shared" si="28"/>
        <v>104</v>
      </c>
      <c r="H118" s="548">
        <f t="shared" si="28"/>
        <v>105</v>
      </c>
      <c r="I118" s="548">
        <f t="shared" si="28"/>
        <v>106</v>
      </c>
      <c r="J118" s="548">
        <f t="shared" si="28"/>
        <v>107</v>
      </c>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2611</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9">C120-$K39</f>
        <v>100</v>
      </c>
      <c r="E120" s="501">
        <f t="shared" si="29"/>
        <v>100</v>
      </c>
      <c r="F120" s="501">
        <f t="shared" si="29"/>
        <v>100</v>
      </c>
      <c r="G120" s="501">
        <f t="shared" si="29"/>
        <v>100</v>
      </c>
      <c r="H120" s="501">
        <f t="shared" si="29"/>
        <v>100</v>
      </c>
      <c r="I120" s="501">
        <f t="shared" si="29"/>
        <v>100</v>
      </c>
      <c r="J120" s="501">
        <f t="shared" si="29"/>
        <v>100</v>
      </c>
      <c r="K120" s="501">
        <f t="shared" si="29"/>
        <v>100</v>
      </c>
      <c r="L120" s="501">
        <f t="shared" si="29"/>
        <v>100</v>
      </c>
      <c r="M120" s="502">
        <f t="shared" si="29"/>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2612</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30">C122-$K40</f>
        <v>100</v>
      </c>
      <c r="E122" s="501">
        <f t="shared" si="30"/>
        <v>100</v>
      </c>
      <c r="F122" s="501">
        <f t="shared" si="30"/>
        <v>100</v>
      </c>
      <c r="G122" s="501">
        <f t="shared" si="30"/>
        <v>100</v>
      </c>
      <c r="H122" s="501">
        <f t="shared" si="30"/>
        <v>100</v>
      </c>
      <c r="I122" s="501">
        <f t="shared" si="30"/>
        <v>100</v>
      </c>
      <c r="J122" s="501">
        <f t="shared" si="30"/>
        <v>100</v>
      </c>
      <c r="K122" s="501">
        <f t="shared" si="30"/>
        <v>100</v>
      </c>
      <c r="L122" s="501">
        <f t="shared" si="30"/>
        <v>100</v>
      </c>
      <c r="M122" s="502">
        <f t="shared" si="30"/>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2613</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31">D124-$K41</f>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2614</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32">C126-$K42</f>
        <v>100</v>
      </c>
      <c r="E126" s="501">
        <f t="shared" si="32"/>
        <v>100</v>
      </c>
      <c r="F126" s="501">
        <f t="shared" si="32"/>
        <v>100</v>
      </c>
      <c r="G126" s="501">
        <f t="shared" si="32"/>
        <v>100</v>
      </c>
      <c r="H126" s="501">
        <f t="shared" si="32"/>
        <v>100</v>
      </c>
      <c r="I126" s="501">
        <f t="shared" si="32"/>
        <v>100</v>
      </c>
      <c r="J126" s="501">
        <f t="shared" si="32"/>
        <v>100</v>
      </c>
      <c r="K126" s="501">
        <f t="shared" si="32"/>
        <v>100</v>
      </c>
      <c r="L126" s="501">
        <f t="shared" si="32"/>
        <v>100</v>
      </c>
      <c r="M126" s="502">
        <f t="shared" si="32"/>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7" sqref="L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2465</v>
      </c>
      <c r="B4" s="362"/>
      <c r="C4" s="3311" t="s">
        <v>2466</v>
      </c>
      <c r="D4" s="3312"/>
      <c r="E4" s="3313" t="s">
        <v>2467</v>
      </c>
      <c r="F4" s="3314"/>
      <c r="G4" s="3311" t="s">
        <v>2468</v>
      </c>
      <c r="H4" s="3312"/>
      <c r="I4" s="3311" t="s">
        <v>2469</v>
      </c>
      <c r="J4" s="3312"/>
      <c r="K4" s="567" t="s">
        <v>2470</v>
      </c>
      <c r="L4" s="2943"/>
      <c r="M4" s="2944"/>
      <c r="N4" s="2944"/>
      <c r="O4" s="2944"/>
      <c r="P4" s="3315" t="s">
        <v>2471</v>
      </c>
      <c r="Q4" s="3316"/>
      <c r="R4" s="3321" t="s">
        <v>2467</v>
      </c>
      <c r="S4" s="3322"/>
      <c r="T4" s="3321" t="s">
        <v>2468</v>
      </c>
      <c r="U4" s="3322"/>
      <c r="V4" s="3327" t="s">
        <v>2469</v>
      </c>
      <c r="W4" s="3327"/>
      <c r="X4" s="1539"/>
      <c r="Y4" s="3321" t="s">
        <v>2471</v>
      </c>
      <c r="Z4" s="3322"/>
      <c r="AA4" s="3308" t="s">
        <v>2467</v>
      </c>
      <c r="AB4" s="3309" t="s">
        <v>2468</v>
      </c>
      <c r="AC4" s="3308" t="s">
        <v>2469</v>
      </c>
    </row>
    <row r="5" spans="1:29" ht="15">
      <c r="A5" s="364"/>
      <c r="B5" s="365"/>
      <c r="C5" s="3330" t="s">
        <v>2362</v>
      </c>
      <c r="D5" s="3331"/>
      <c r="E5" s="3337" t="s">
        <v>2363</v>
      </c>
      <c r="F5" s="3338"/>
      <c r="G5" s="3330" t="s">
        <v>2364</v>
      </c>
      <c r="H5" s="3331"/>
      <c r="I5" s="3330" t="s">
        <v>2365</v>
      </c>
      <c r="J5" s="3331"/>
      <c r="K5" s="567"/>
      <c r="L5" s="2943"/>
      <c r="M5" s="2944"/>
      <c r="N5" s="2944"/>
      <c r="O5" s="2944"/>
      <c r="P5" s="3317"/>
      <c r="Q5" s="3318"/>
      <c r="R5" s="3323"/>
      <c r="S5" s="3324"/>
      <c r="T5" s="3323"/>
      <c r="U5" s="3324"/>
      <c r="V5" s="3327"/>
      <c r="W5" s="3327"/>
      <c r="X5" s="1539"/>
      <c r="Y5" s="3323"/>
      <c r="Z5" s="3324"/>
      <c r="AA5" s="3309"/>
      <c r="AB5" s="3309"/>
      <c r="AC5" s="3309"/>
    </row>
    <row r="6" spans="1:29" ht="15.75" thickBot="1">
      <c r="A6" s="366"/>
      <c r="B6" s="367"/>
      <c r="C6" s="3360" t="s">
        <v>2616</v>
      </c>
      <c r="D6" s="3361"/>
      <c r="E6" s="3362" t="s">
        <v>2616</v>
      </c>
      <c r="F6" s="3363"/>
      <c r="G6" s="3360" t="s">
        <v>2616</v>
      </c>
      <c r="H6" s="3361"/>
      <c r="I6" s="3360" t="s">
        <v>2616</v>
      </c>
      <c r="J6" s="3361"/>
      <c r="K6" s="567" t="s">
        <v>2367</v>
      </c>
      <c r="L6" s="2943"/>
      <c r="M6" s="2944"/>
      <c r="N6" s="2944"/>
      <c r="O6" s="2944"/>
      <c r="P6" s="3319"/>
      <c r="Q6" s="3320"/>
      <c r="R6" s="3323"/>
      <c r="S6" s="3324"/>
      <c r="T6" s="3325"/>
      <c r="U6" s="3326"/>
      <c r="V6" s="3327"/>
      <c r="W6" s="3327"/>
      <c r="X6" s="1539"/>
      <c r="Y6" s="3325"/>
      <c r="Z6" s="3326"/>
      <c r="AA6" s="3310"/>
      <c r="AB6" s="3310"/>
      <c r="AC6" s="3310"/>
    </row>
    <row r="7" spans="1:29" s="113" customFormat="1" ht="15.75" thickBot="1">
      <c r="A7" s="368" t="s">
        <v>2368</v>
      </c>
      <c r="B7" s="369"/>
      <c r="C7" s="370">
        <f>'数据-取费表'!B2</f>
        <v>44525</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32" t="s">
        <v>2369</v>
      </c>
      <c r="Q7" s="3334"/>
      <c r="R7" s="710" t="s">
        <v>17</v>
      </c>
      <c r="S7" s="711">
        <f t="shared" ref="S7:S15" si="0">F7</f>
        <v>0</v>
      </c>
      <c r="T7" s="710" t="s">
        <v>17</v>
      </c>
      <c r="U7" s="711">
        <f t="shared" ref="U7:U15" si="1">H7</f>
        <v>0</v>
      </c>
      <c r="V7" s="710" t="s">
        <v>17</v>
      </c>
      <c r="W7" s="711">
        <f t="shared" ref="W7:W15" si="2">J7</f>
        <v>0</v>
      </c>
      <c r="X7" s="712"/>
      <c r="Y7" s="3332" t="s">
        <v>2369</v>
      </c>
      <c r="Z7" s="3333"/>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32" t="s">
        <v>2372</v>
      </c>
      <c r="Q8" s="3333"/>
      <c r="R8" s="710" t="s">
        <v>17</v>
      </c>
      <c r="S8" s="711">
        <f t="shared" si="0"/>
        <v>0</v>
      </c>
      <c r="T8" s="710" t="s">
        <v>17</v>
      </c>
      <c r="U8" s="711">
        <f t="shared" si="1"/>
        <v>0</v>
      </c>
      <c r="V8" s="710" t="s">
        <v>17</v>
      </c>
      <c r="W8" s="711">
        <f t="shared" si="2"/>
        <v>0</v>
      </c>
      <c r="X8" s="712"/>
      <c r="Y8" s="3332" t="s">
        <v>2372</v>
      </c>
      <c r="Z8" s="3333"/>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296" t="s">
        <v>2375</v>
      </c>
      <c r="Q9" s="1527" t="str">
        <f t="shared" ref="Q9:Q15" si="6">B9</f>
        <v>用途</v>
      </c>
      <c r="R9" s="710" t="s">
        <v>17</v>
      </c>
      <c r="S9" s="711">
        <f t="shared" si="0"/>
        <v>100</v>
      </c>
      <c r="T9" s="710" t="s">
        <v>17</v>
      </c>
      <c r="U9" s="711">
        <f t="shared" si="1"/>
        <v>100</v>
      </c>
      <c r="V9" s="710" t="s">
        <v>17</v>
      </c>
      <c r="W9" s="711">
        <f t="shared" si="2"/>
        <v>100</v>
      </c>
      <c r="X9" s="712"/>
      <c r="Y9" s="3166"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114</v>
      </c>
      <c r="G10" s="391"/>
      <c r="H10" s="132">
        <f>ROUND(100/'数据-取费表'!G16,0)</f>
        <v>114</v>
      </c>
      <c r="I10" s="391"/>
      <c r="J10" s="132">
        <f>ROUND(100/'数据-取费表'!G16,0)</f>
        <v>114</v>
      </c>
      <c r="K10" s="628"/>
      <c r="L10" s="2947"/>
      <c r="M10" s="2948"/>
      <c r="N10" s="2948"/>
      <c r="O10" s="3001"/>
      <c r="P10" s="3296"/>
      <c r="Q10" s="1527" t="str">
        <f t="shared" si="6"/>
        <v>土地使用年限（年）</v>
      </c>
      <c r="R10" s="710" t="s">
        <v>17</v>
      </c>
      <c r="S10" s="711">
        <f t="shared" si="0"/>
        <v>114</v>
      </c>
      <c r="T10" s="710" t="s">
        <v>17</v>
      </c>
      <c r="U10" s="711">
        <f t="shared" si="1"/>
        <v>114</v>
      </c>
      <c r="V10" s="710" t="s">
        <v>17</v>
      </c>
      <c r="W10" s="711">
        <f t="shared" si="2"/>
        <v>114</v>
      </c>
      <c r="X10" s="712"/>
      <c r="Y10" s="3166"/>
      <c r="Z10" s="55" t="str">
        <f t="shared" si="7"/>
        <v>土地使用年限（年）</v>
      </c>
      <c r="AA10" s="713">
        <f t="shared" si="3"/>
        <v>0.8771929824561403</v>
      </c>
      <c r="AB10" s="713">
        <f t="shared" si="4"/>
        <v>0.8771929824561403</v>
      </c>
      <c r="AC10" s="713">
        <f t="shared" si="5"/>
        <v>0.8771929824561403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96"/>
      <c r="Q11" s="1527" t="str">
        <f t="shared" si="6"/>
        <v>容积率</v>
      </c>
      <c r="R11" s="710" t="s">
        <v>17</v>
      </c>
      <c r="S11" s="711" t="e">
        <f t="shared" si="0"/>
        <v>#N/A</v>
      </c>
      <c r="T11" s="710" t="s">
        <v>17</v>
      </c>
      <c r="U11" s="711" t="e">
        <f t="shared" si="1"/>
        <v>#N/A</v>
      </c>
      <c r="V11" s="710" t="s">
        <v>17</v>
      </c>
      <c r="W11" s="711" t="e">
        <f t="shared" si="2"/>
        <v>#N/A</v>
      </c>
      <c r="X11" s="712"/>
      <c r="Y11" s="316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6"/>
      <c r="Q12" s="1527">
        <f t="shared" si="6"/>
        <v>111</v>
      </c>
      <c r="R12" s="710" t="s">
        <v>17</v>
      </c>
      <c r="S12" s="711">
        <f t="shared" si="0"/>
        <v>100</v>
      </c>
      <c r="T12" s="710" t="s">
        <v>17</v>
      </c>
      <c r="U12" s="711">
        <f t="shared" si="1"/>
        <v>100</v>
      </c>
      <c r="V12" s="710" t="s">
        <v>17</v>
      </c>
      <c r="W12" s="711">
        <f t="shared" si="2"/>
        <v>100</v>
      </c>
      <c r="X12" s="712"/>
      <c r="Y12" s="316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6"/>
      <c r="Q13" s="1527">
        <f t="shared" si="6"/>
        <v>111</v>
      </c>
      <c r="R13" s="710" t="s">
        <v>17</v>
      </c>
      <c r="S13" s="711">
        <f t="shared" si="0"/>
        <v>100</v>
      </c>
      <c r="T13" s="710" t="s">
        <v>17</v>
      </c>
      <c r="U13" s="711">
        <f t="shared" si="1"/>
        <v>100</v>
      </c>
      <c r="V13" s="710" t="s">
        <v>17</v>
      </c>
      <c r="W13" s="711">
        <f t="shared" si="2"/>
        <v>100</v>
      </c>
      <c r="X13" s="712"/>
      <c r="Y13" s="316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6"/>
      <c r="Q14" s="1527">
        <f t="shared" si="6"/>
        <v>111</v>
      </c>
      <c r="R14" s="710" t="s">
        <v>17</v>
      </c>
      <c r="S14" s="711">
        <f t="shared" si="0"/>
        <v>100</v>
      </c>
      <c r="T14" s="710" t="s">
        <v>17</v>
      </c>
      <c r="U14" s="711">
        <f t="shared" si="1"/>
        <v>100</v>
      </c>
      <c r="V14" s="710" t="s">
        <v>17</v>
      </c>
      <c r="W14" s="711">
        <f t="shared" si="2"/>
        <v>100</v>
      </c>
      <c r="X14" s="712"/>
      <c r="Y14" s="3166"/>
      <c r="Z14" s="55">
        <f t="shared" si="7"/>
        <v>111</v>
      </c>
      <c r="AA14" s="713">
        <f t="shared" si="3"/>
        <v>1</v>
      </c>
      <c r="AB14" s="713">
        <f t="shared" si="4"/>
        <v>1</v>
      </c>
      <c r="AC14" s="713">
        <f t="shared" si="5"/>
        <v>1</v>
      </c>
    </row>
    <row r="15" spans="1:29" ht="57">
      <c r="A15" s="399" t="s">
        <v>2379</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98" t="s">
        <v>2380</v>
      </c>
      <c r="Q15" s="1536" t="str">
        <f t="shared" si="6"/>
        <v>产业集聚程度</v>
      </c>
      <c r="R15" s="714" t="s">
        <v>17</v>
      </c>
      <c r="S15" s="715">
        <f t="shared" si="0"/>
        <v>100</v>
      </c>
      <c r="T15" s="714" t="s">
        <v>17</v>
      </c>
      <c r="U15" s="715">
        <f t="shared" si="1"/>
        <v>100</v>
      </c>
      <c r="V15" s="714" t="s">
        <v>17</v>
      </c>
      <c r="W15" s="715">
        <f t="shared" si="2"/>
        <v>100</v>
      </c>
      <c r="X15" s="1539"/>
      <c r="Y15" s="3298"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299"/>
      <c r="Q16" s="1536"/>
      <c r="R16" s="714"/>
      <c r="S16" s="715"/>
      <c r="T16" s="714"/>
      <c r="U16" s="715"/>
      <c r="V16" s="714"/>
      <c r="W16" s="715"/>
      <c r="X16" s="1539"/>
      <c r="Y16" s="3299"/>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99"/>
      <c r="Q17" s="1536" t="str">
        <f>B17</f>
        <v>交通便捷度</v>
      </c>
      <c r="R17" s="714" t="s">
        <v>17</v>
      </c>
      <c r="S17" s="715">
        <f>F17</f>
        <v>100</v>
      </c>
      <c r="T17" s="714" t="s">
        <v>17</v>
      </c>
      <c r="U17" s="715">
        <f>H17</f>
        <v>100</v>
      </c>
      <c r="V17" s="714" t="s">
        <v>17</v>
      </c>
      <c r="W17" s="715">
        <f>J17</f>
        <v>100</v>
      </c>
      <c r="X17" s="1539"/>
      <c r="Y17" s="329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299"/>
      <c r="Q18" s="1536"/>
      <c r="R18" s="714"/>
      <c r="S18" s="715"/>
      <c r="T18" s="714"/>
      <c r="U18" s="715"/>
      <c r="V18" s="714"/>
      <c r="W18" s="715"/>
      <c r="X18" s="1539"/>
      <c r="Y18" s="3299"/>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99"/>
      <c r="Q19" s="1536" t="str">
        <f t="shared" ref="Q19:Q33" si="8">B19</f>
        <v>区域土地利用方向</v>
      </c>
      <c r="R19" s="714" t="s">
        <v>17</v>
      </c>
      <c r="S19" s="715">
        <f>F19</f>
        <v>100</v>
      </c>
      <c r="T19" s="714" t="s">
        <v>17</v>
      </c>
      <c r="U19" s="715">
        <f>H19</f>
        <v>100</v>
      </c>
      <c r="V19" s="714" t="s">
        <v>17</v>
      </c>
      <c r="W19" s="715">
        <f>J19</f>
        <v>100</v>
      </c>
      <c r="X19" s="1539"/>
      <c r="Y19" s="329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299"/>
      <c r="Q20" s="1536"/>
      <c r="R20" s="714"/>
      <c r="S20" s="715"/>
      <c r="T20" s="714"/>
      <c r="U20" s="715"/>
      <c r="V20" s="714"/>
      <c r="W20" s="715"/>
      <c r="X20" s="1539"/>
      <c r="Y20" s="3299"/>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99"/>
      <c r="Q21" s="1536" t="str">
        <f t="shared" si="8"/>
        <v>环境状况</v>
      </c>
      <c r="R21" s="714" t="s">
        <v>17</v>
      </c>
      <c r="S21" s="715">
        <f>F21</f>
        <v>100</v>
      </c>
      <c r="T21" s="714" t="s">
        <v>17</v>
      </c>
      <c r="U21" s="715">
        <f>H21</f>
        <v>100</v>
      </c>
      <c r="V21" s="714" t="s">
        <v>17</v>
      </c>
      <c r="W21" s="715">
        <f>J21</f>
        <v>100</v>
      </c>
      <c r="X21" s="1539"/>
      <c r="Y21" s="329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299"/>
      <c r="Q22" s="1536"/>
      <c r="R22" s="714"/>
      <c r="S22" s="715"/>
      <c r="T22" s="714"/>
      <c r="U22" s="715"/>
      <c r="V22" s="714"/>
      <c r="W22" s="715"/>
      <c r="X22" s="1539"/>
      <c r="Y22" s="3299"/>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99"/>
      <c r="Q23" s="1527" t="str">
        <f t="shared" si="8"/>
        <v>公共配套设施</v>
      </c>
      <c r="R23" s="710" t="s">
        <v>17</v>
      </c>
      <c r="S23" s="711">
        <f>F23</f>
        <v>100</v>
      </c>
      <c r="T23" s="710" t="s">
        <v>17</v>
      </c>
      <c r="U23" s="711">
        <f>H23</f>
        <v>100</v>
      </c>
      <c r="V23" s="710" t="s">
        <v>17</v>
      </c>
      <c r="W23" s="711">
        <f>J23</f>
        <v>100</v>
      </c>
      <c r="X23" s="712"/>
      <c r="Y23" s="329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299"/>
      <c r="Q24" s="1527"/>
      <c r="R24" s="710"/>
      <c r="S24" s="711"/>
      <c r="T24" s="710"/>
      <c r="U24" s="711"/>
      <c r="V24" s="710"/>
      <c r="W24" s="711"/>
      <c r="X24" s="712"/>
      <c r="Y24" s="3299"/>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99"/>
      <c r="Q25" s="1527" t="str">
        <f t="shared" ref="Q25" si="9">B25</f>
        <v>基础设施水平</v>
      </c>
      <c r="R25" s="710" t="s">
        <v>17</v>
      </c>
      <c r="S25" s="711">
        <f>F25</f>
        <v>100</v>
      </c>
      <c r="T25" s="710" t="s">
        <v>17</v>
      </c>
      <c r="U25" s="711">
        <f>H25</f>
        <v>100</v>
      </c>
      <c r="V25" s="710" t="s">
        <v>17</v>
      </c>
      <c r="W25" s="711">
        <f>J25</f>
        <v>100</v>
      </c>
      <c r="X25" s="712"/>
      <c r="Y25" s="329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299"/>
      <c r="Q26" s="1527"/>
      <c r="R26" s="710"/>
      <c r="S26" s="711"/>
      <c r="T26" s="710"/>
      <c r="U26" s="711"/>
      <c r="V26" s="710"/>
      <c r="W26" s="711"/>
      <c r="X26" s="712"/>
      <c r="Y26" s="329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9"/>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9"/>
      <c r="Q28" s="1536" t="str">
        <f t="shared" si="8"/>
        <v>毗邻道路的类型与等级</v>
      </c>
      <c r="R28" s="714" t="s">
        <v>17</v>
      </c>
      <c r="S28" s="715">
        <f t="shared" si="10"/>
        <v>100</v>
      </c>
      <c r="T28" s="714" t="s">
        <v>17</v>
      </c>
      <c r="U28" s="715">
        <f t="shared" si="11"/>
        <v>100</v>
      </c>
      <c r="V28" s="714" t="s">
        <v>17</v>
      </c>
      <c r="W28" s="715">
        <f t="shared" si="12"/>
        <v>100</v>
      </c>
      <c r="X28" s="1539"/>
      <c r="Y28" s="329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299"/>
      <c r="Q29" s="1536"/>
      <c r="R29" s="714"/>
      <c r="S29" s="715"/>
      <c r="T29" s="714"/>
      <c r="U29" s="715"/>
      <c r="V29" s="714"/>
      <c r="W29" s="715"/>
      <c r="X29" s="1539"/>
      <c r="Y29" s="329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9"/>
      <c r="Q30" s="1536" t="str">
        <f t="shared" si="8"/>
        <v>土地级别</v>
      </c>
      <c r="R30" s="714" t="s">
        <v>17</v>
      </c>
      <c r="S30" s="715">
        <f t="shared" si="10"/>
        <v>100</v>
      </c>
      <c r="T30" s="714" t="s">
        <v>17</v>
      </c>
      <c r="U30" s="715">
        <f t="shared" si="11"/>
        <v>100</v>
      </c>
      <c r="V30" s="714" t="s">
        <v>17</v>
      </c>
      <c r="W30" s="715">
        <f t="shared" si="12"/>
        <v>100</v>
      </c>
      <c r="X30" s="1539"/>
      <c r="Y30" s="329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9"/>
      <c r="Q31" s="1536">
        <f t="shared" si="8"/>
        <v>111</v>
      </c>
      <c r="R31" s="714" t="s">
        <v>17</v>
      </c>
      <c r="S31" s="715">
        <f t="shared" si="10"/>
        <v>100</v>
      </c>
      <c r="T31" s="714" t="s">
        <v>17</v>
      </c>
      <c r="U31" s="715">
        <f t="shared" si="11"/>
        <v>100</v>
      </c>
      <c r="V31" s="714" t="s">
        <v>17</v>
      </c>
      <c r="W31" s="715">
        <f t="shared" si="12"/>
        <v>100</v>
      </c>
      <c r="X31" s="1539"/>
      <c r="Y31" s="329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54" t="s">
        <v>2385</v>
      </c>
      <c r="Q32" s="1536">
        <f t="shared" si="8"/>
        <v>111</v>
      </c>
      <c r="R32" s="714" t="s">
        <v>17</v>
      </c>
      <c r="S32" s="715">
        <f t="shared" si="10"/>
        <v>100</v>
      </c>
      <c r="T32" s="714" t="s">
        <v>17</v>
      </c>
      <c r="U32" s="715">
        <f t="shared" si="11"/>
        <v>100</v>
      </c>
      <c r="V32" s="714" t="s">
        <v>17</v>
      </c>
      <c r="W32" s="715">
        <f t="shared" si="12"/>
        <v>100</v>
      </c>
      <c r="X32" s="1539"/>
      <c r="Y32" s="3303"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03"/>
      <c r="Q33" s="1536">
        <f t="shared" si="8"/>
        <v>111</v>
      </c>
      <c r="R33" s="717" t="s">
        <v>17</v>
      </c>
      <c r="S33" s="718">
        <f t="shared" si="10"/>
        <v>100</v>
      </c>
      <c r="T33" s="717" t="s">
        <v>17</v>
      </c>
      <c r="U33" s="718">
        <f t="shared" si="11"/>
        <v>100</v>
      </c>
      <c r="V33" s="717" t="s">
        <v>17</v>
      </c>
      <c r="W33" s="718">
        <f t="shared" si="12"/>
        <v>100</v>
      </c>
      <c r="X33" s="719"/>
      <c r="Y33" s="330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03"/>
      <c r="Q34" s="1536" t="str">
        <f>B34</f>
        <v>宗地面积</v>
      </c>
      <c r="R34" s="714" t="s">
        <v>17</v>
      </c>
      <c r="S34" s="715" t="e">
        <f t="shared" si="10"/>
        <v>#N/A</v>
      </c>
      <c r="T34" s="714" t="s">
        <v>17</v>
      </c>
      <c r="U34" s="715" t="e">
        <f t="shared" si="11"/>
        <v>#N/A</v>
      </c>
      <c r="V34" s="714" t="s">
        <v>17</v>
      </c>
      <c r="W34" s="715" t="e">
        <f t="shared" si="12"/>
        <v>#N/A</v>
      </c>
      <c r="X34" s="1539"/>
      <c r="Y34" s="3303"/>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03"/>
      <c r="Q35" s="1536" t="str">
        <f t="shared" ref="Q35:Q40" si="14">B35</f>
        <v>宗地形状</v>
      </c>
      <c r="R35" s="714" t="s">
        <v>17</v>
      </c>
      <c r="S35" s="715">
        <f t="shared" si="10"/>
        <v>100</v>
      </c>
      <c r="T35" s="714" t="s">
        <v>17</v>
      </c>
      <c r="U35" s="715">
        <f t="shared" si="11"/>
        <v>100</v>
      </c>
      <c r="V35" s="714" t="s">
        <v>17</v>
      </c>
      <c r="W35" s="715">
        <f t="shared" si="12"/>
        <v>100</v>
      </c>
      <c r="X35" s="1539"/>
      <c r="Y35" s="3303"/>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03"/>
      <c r="Q36" s="1536" t="str">
        <f t="shared" si="14"/>
        <v>宗地开发程度</v>
      </c>
      <c r="R36" s="710" t="s">
        <v>17</v>
      </c>
      <c r="S36" s="711">
        <f t="shared" si="10"/>
        <v>100</v>
      </c>
      <c r="T36" s="710" t="s">
        <v>17</v>
      </c>
      <c r="U36" s="711">
        <f t="shared" si="11"/>
        <v>100</v>
      </c>
      <c r="V36" s="710" t="s">
        <v>17</v>
      </c>
      <c r="W36" s="711">
        <f t="shared" si="12"/>
        <v>100</v>
      </c>
      <c r="X36" s="712"/>
      <c r="Y36" s="3303"/>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03" t="s">
        <v>2385</v>
      </c>
      <c r="Q37" s="1536" t="str">
        <f t="shared" si="14"/>
        <v>工程地质条件</v>
      </c>
      <c r="R37" s="714" t="s">
        <v>17</v>
      </c>
      <c r="S37" s="715">
        <f t="shared" si="10"/>
        <v>100</v>
      </c>
      <c r="T37" s="714" t="s">
        <v>17</v>
      </c>
      <c r="U37" s="715">
        <f t="shared" si="11"/>
        <v>100</v>
      </c>
      <c r="V37" s="714" t="s">
        <v>17</v>
      </c>
      <c r="W37" s="715">
        <f t="shared" si="12"/>
        <v>100</v>
      </c>
      <c r="X37" s="1539"/>
      <c r="Y37" s="330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03"/>
      <c r="Q38" s="1536">
        <f t="shared" si="14"/>
        <v>111</v>
      </c>
      <c r="R38" s="714" t="s">
        <v>17</v>
      </c>
      <c r="S38" s="715">
        <f t="shared" si="10"/>
        <v>100</v>
      </c>
      <c r="T38" s="714" t="s">
        <v>17</v>
      </c>
      <c r="U38" s="715">
        <f t="shared" si="11"/>
        <v>100</v>
      </c>
      <c r="V38" s="714" t="s">
        <v>17</v>
      </c>
      <c r="W38" s="715">
        <f t="shared" si="12"/>
        <v>100</v>
      </c>
      <c r="X38" s="1539"/>
      <c r="Y38" s="330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03"/>
      <c r="Q39" s="1536">
        <f t="shared" si="14"/>
        <v>111</v>
      </c>
      <c r="R39" s="714" t="s">
        <v>17</v>
      </c>
      <c r="S39" s="715">
        <f t="shared" si="10"/>
        <v>100</v>
      </c>
      <c r="T39" s="714" t="s">
        <v>17</v>
      </c>
      <c r="U39" s="715">
        <f t="shared" si="11"/>
        <v>100</v>
      </c>
      <c r="V39" s="714" t="s">
        <v>17</v>
      </c>
      <c r="W39" s="715">
        <f t="shared" si="12"/>
        <v>100</v>
      </c>
      <c r="X39" s="1539"/>
      <c r="Y39" s="330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03"/>
      <c r="Q40" s="1536">
        <f t="shared" si="14"/>
        <v>111</v>
      </c>
      <c r="R40" s="717" t="s">
        <v>17</v>
      </c>
      <c r="S40" s="718">
        <f t="shared" si="10"/>
        <v>100</v>
      </c>
      <c r="T40" s="717" t="s">
        <v>17</v>
      </c>
      <c r="U40" s="718">
        <f t="shared" si="11"/>
        <v>100</v>
      </c>
      <c r="V40" s="717" t="s">
        <v>17</v>
      </c>
      <c r="W40" s="718">
        <f t="shared" si="12"/>
        <v>100</v>
      </c>
      <c r="X40" s="719"/>
      <c r="Y40" s="3303"/>
      <c r="Z40" s="720">
        <f t="shared" si="13"/>
        <v>111</v>
      </c>
      <c r="AA40" s="1537">
        <f t="shared" si="3"/>
        <v>1</v>
      </c>
      <c r="AB40" s="1537">
        <f t="shared" si="4"/>
        <v>1</v>
      </c>
      <c r="AC40" s="1537">
        <f t="shared" si="5"/>
        <v>1</v>
      </c>
    </row>
    <row r="41" spans="1:31" ht="15">
      <c r="A41" s="438" t="s">
        <v>2540</v>
      </c>
      <c r="B41" s="2168" t="s">
        <v>2619</v>
      </c>
      <c r="C41" s="638" t="s">
        <v>1</v>
      </c>
      <c r="D41" s="440"/>
      <c r="E41" s="441"/>
      <c r="F41" s="442"/>
      <c r="G41" s="443"/>
      <c r="H41" s="444"/>
      <c r="I41" s="441"/>
      <c r="J41" s="444"/>
      <c r="K41" s="723"/>
      <c r="L41" s="2952"/>
      <c r="M41" s="2944"/>
      <c r="N41" s="2944"/>
      <c r="O41" s="2953"/>
      <c r="P41" s="3296" t="str">
        <f>A41</f>
        <v>成交单价</v>
      </c>
      <c r="Q41" s="3296"/>
      <c r="R41" s="3327">
        <f>E41</f>
        <v>0</v>
      </c>
      <c r="S41" s="3327"/>
      <c r="T41" s="3327">
        <f>G41</f>
        <v>0</v>
      </c>
      <c r="U41" s="3327"/>
      <c r="V41" s="3327">
        <f>I41</f>
        <v>0</v>
      </c>
      <c r="W41" s="3327"/>
      <c r="X41" s="699"/>
      <c r="Y41" s="721"/>
      <c r="Z41" s="699"/>
      <c r="AA41" s="699"/>
      <c r="AB41" s="699"/>
      <c r="AC41" s="699"/>
    </row>
    <row r="42" spans="1:31" ht="15.75" thickBot="1">
      <c r="A42" s="445" t="s">
        <v>2489</v>
      </c>
      <c r="B42" s="639"/>
      <c r="C42" s="448" t="e">
        <f>R43</f>
        <v>#DIV/0!</v>
      </c>
      <c r="D42" s="2538" t="s">
        <v>2879</v>
      </c>
      <c r="E42" s="448" t="e">
        <f>R42</f>
        <v>#DIV/0!</v>
      </c>
      <c r="F42" s="2539"/>
      <c r="G42" s="447" t="e">
        <f>T42</f>
        <v>#DIV/0!</v>
      </c>
      <c r="H42" s="2539"/>
      <c r="I42" s="448" t="e">
        <f>V42</f>
        <v>#DIV/0!</v>
      </c>
      <c r="J42" s="2539"/>
      <c r="K42" s="2541">
        <f>F42+H42+J42</f>
        <v>0</v>
      </c>
      <c r="L42" s="2952"/>
      <c r="M42" s="2944"/>
      <c r="N42" s="2944"/>
      <c r="O42" s="2953"/>
      <c r="P42" s="3296" t="str">
        <f>A42</f>
        <v>比较价值（元/平方米）</v>
      </c>
      <c r="Q42" s="3296"/>
      <c r="R42" s="3356" t="e">
        <f>ROUND(PRODUCT(R41,AA7:AA40),0)</f>
        <v>#DIV/0!</v>
      </c>
      <c r="S42" s="3356"/>
      <c r="T42" s="3356" t="e">
        <f>ROUND(PRODUCT(T41,AB7:AB40),0)</f>
        <v>#DIV/0!</v>
      </c>
      <c r="U42" s="3356"/>
      <c r="V42" s="3356" t="e">
        <f>ROUND(PRODUCT(V41,AC7:AC40),0)</f>
        <v>#DIV/0!</v>
      </c>
      <c r="W42" s="3356"/>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2"/>
      <c r="M43" s="2944"/>
      <c r="N43" s="2944"/>
      <c r="O43" s="2953"/>
      <c r="P43" s="3293" t="str">
        <f>A43</f>
        <v>估价对象XX用房的比较价值（楼面单价，元/平方米）</v>
      </c>
      <c r="Q43" s="3294"/>
      <c r="R43" s="3357" t="e">
        <f>ROUND(IF(D42="简单平均",AVERAGE(R42:W42),R42*F42+T42*H42+V42*J42),0)</f>
        <v>#DIV/0!</v>
      </c>
      <c r="S43" s="3357"/>
      <c r="T43" s="3357"/>
      <c r="U43" s="3357"/>
      <c r="V43" s="3357"/>
      <c r="W43" s="3357"/>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2577</v>
      </c>
      <c r="B50" s="641" t="s">
        <v>2578</v>
      </c>
      <c r="C50" s="2169" t="s">
        <v>2579</v>
      </c>
      <c r="D50" s="2170" t="s">
        <v>2580</v>
      </c>
      <c r="E50" s="642" t="s">
        <v>2581</v>
      </c>
      <c r="F50" s="643" t="s">
        <v>2582</v>
      </c>
      <c r="G50" s="3311" t="s">
        <v>2583</v>
      </c>
      <c r="H50" s="3358"/>
      <c r="I50" s="1540" t="s">
        <v>2620</v>
      </c>
      <c r="J50" s="1540" t="str">
        <f>项目基本情况!F35</f>
        <v>山东省威海市</v>
      </c>
      <c r="K50" s="2172" t="s">
        <v>2585</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2586</v>
      </c>
      <c r="B51" s="645" t="e">
        <f>C43</f>
        <v>#DIV/0!</v>
      </c>
      <c r="C51" s="646">
        <v>1</v>
      </c>
      <c r="D51" s="1075">
        <v>1</v>
      </c>
      <c r="E51" s="646">
        <f>'数据-汇总表'!E8+'数据-汇总表'!E9</f>
        <v>49897.21</v>
      </c>
      <c r="F51" s="647" t="e">
        <f t="shared" ref="F51:F60" si="15">ROUND(B51*E51/10000,0)</f>
        <v>#DIV/0!</v>
      </c>
      <c r="G51" s="3307"/>
      <c r="H51" s="3296"/>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2587</v>
      </c>
      <c r="B52" s="224" t="e">
        <f>ROUND($C$43*C52*D52,0)</f>
        <v>#DIV/0!</v>
      </c>
      <c r="C52" s="176">
        <f t="shared" ref="C52:C60" si="16">IF($C$50="北京市系数",I52,J52)</f>
        <v>0</v>
      </c>
      <c r="D52" s="1076">
        <v>0.25</v>
      </c>
      <c r="E52" s="650"/>
      <c r="F52" s="647" t="e">
        <f t="shared" si="15"/>
        <v>#DIV/0!</v>
      </c>
      <c r="G52" s="3359" t="s">
        <v>2588</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2589</v>
      </c>
      <c r="B53" s="224" t="e">
        <f t="shared" ref="B53:B60" si="17">ROUND($C$43*C53*D53,0)</f>
        <v>#DIV/0!</v>
      </c>
      <c r="C53" s="176">
        <f t="shared" si="16"/>
        <v>0</v>
      </c>
      <c r="D53" s="1076">
        <v>0.25</v>
      </c>
      <c r="E53" s="650"/>
      <c r="F53" s="647" t="e">
        <f t="shared" si="15"/>
        <v>#DIV/0!</v>
      </c>
      <c r="G53" s="3359"/>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2590</v>
      </c>
      <c r="B54" s="224" t="e">
        <f t="shared" si="17"/>
        <v>#DIV/0!</v>
      </c>
      <c r="C54" s="176">
        <f t="shared" si="16"/>
        <v>0</v>
      </c>
      <c r="D54" s="1076">
        <v>0.25</v>
      </c>
      <c r="E54" s="650"/>
      <c r="F54" s="647" t="e">
        <f t="shared" si="15"/>
        <v>#DIV/0!</v>
      </c>
      <c r="G54" s="3359"/>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2591</v>
      </c>
      <c r="B55" s="224" t="e">
        <f t="shared" si="17"/>
        <v>#DIV/0!</v>
      </c>
      <c r="C55" s="176">
        <f t="shared" si="16"/>
        <v>0</v>
      </c>
      <c r="D55" s="1076">
        <v>0.25</v>
      </c>
      <c r="E55" s="650"/>
      <c r="F55" s="647" t="e">
        <f t="shared" si="15"/>
        <v>#DIV/0!</v>
      </c>
      <c r="G55" s="3359"/>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2600</v>
      </c>
      <c r="B61" s="652" t="s">
        <v>28</v>
      </c>
      <c r="C61" s="652" t="s">
        <v>29</v>
      </c>
      <c r="D61" s="652" t="s">
        <v>997</v>
      </c>
      <c r="E61" s="652">
        <f>IF(B41="楼面地价",SUM(E51:E60),'数据-汇总表'!D3)</f>
        <v>84549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53"/>
      <c r="Q63" s="2953"/>
      <c r="R63" s="2953"/>
      <c r="S63" s="2953"/>
      <c r="T63" s="2953"/>
      <c r="U63" s="2953"/>
      <c r="V63" s="2953"/>
      <c r="W63" s="2953"/>
      <c r="X63" s="2953"/>
      <c r="Y63" s="2953"/>
      <c r="Z63" s="2953"/>
      <c r="AA63" s="2953"/>
      <c r="AB63" s="2953"/>
      <c r="AC63" s="2953"/>
      <c r="AD63" s="2953"/>
      <c r="AE63" s="2953"/>
    </row>
    <row r="64" spans="1:31" ht="21.75" thickBot="1">
      <c r="A64" s="703" t="s">
        <v>2494</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2601</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2621</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2405</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2370</v>
      </c>
      <c r="B68" s="467"/>
      <c r="C68" s="479" t="s">
        <v>2472</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2408</v>
      </c>
      <c r="B70" s="485" t="s">
        <v>2374</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2377</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2379</v>
      </c>
      <c r="B83" s="485" t="s">
        <v>2525</v>
      </c>
      <c r="C83" s="530" t="s">
        <v>2417</v>
      </c>
      <c r="D83" s="530" t="s">
        <v>2418</v>
      </c>
      <c r="E83" s="530" t="s">
        <v>2419</v>
      </c>
      <c r="F83" s="530" t="s">
        <v>2420</v>
      </c>
      <c r="G83" s="530" t="s">
        <v>2421</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2422</v>
      </c>
      <c r="C85" s="535" t="s">
        <v>2417</v>
      </c>
      <c r="D85" s="535" t="s">
        <v>2418</v>
      </c>
      <c r="E85" s="535" t="s">
        <v>2419</v>
      </c>
      <c r="F85" s="535" t="s">
        <v>2420</v>
      </c>
      <c r="G85" s="535" t="s">
        <v>2421</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2604</v>
      </c>
      <c r="C87" s="530" t="s">
        <v>2417</v>
      </c>
      <c r="D87" s="530" t="s">
        <v>2418</v>
      </c>
      <c r="E87" s="530" t="s">
        <v>2419</v>
      </c>
      <c r="F87" s="530" t="s">
        <v>2420</v>
      </c>
      <c r="G87" s="530" t="s">
        <v>2421</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2605</v>
      </c>
      <c r="C89" s="530" t="s">
        <v>2417</v>
      </c>
      <c r="D89" s="530" t="s">
        <v>2418</v>
      </c>
      <c r="E89" s="530" t="s">
        <v>2419</v>
      </c>
      <c r="F89" s="530" t="s">
        <v>2420</v>
      </c>
      <c r="G89" s="530" t="s">
        <v>2421</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2622</v>
      </c>
      <c r="C93" s="616" t="s">
        <v>2495</v>
      </c>
      <c r="D93" s="616" t="s">
        <v>2496</v>
      </c>
      <c r="E93" s="616" t="s">
        <v>2497</v>
      </c>
      <c r="F93" s="616" t="s">
        <v>2498</v>
      </c>
      <c r="G93" s="616" t="s">
        <v>2499</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2511</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2611</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2613</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2614</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L7" sqref="L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0</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5" t="s">
        <v>2632</v>
      </c>
      <c r="D2" s="2186" t="s">
        <v>2633</v>
      </c>
      <c r="E2" s="2187"/>
      <c r="F2" s="2186" t="s">
        <v>2634</v>
      </c>
      <c r="G2" s="2188">
        <f>IF(E2="商业",项目基本情况!B37,IF(E2="办公",项目基本情况!C37,IF(E2="住宅",项目基本情况!D37,项目基本情况!E37)))</f>
        <v>0</v>
      </c>
      <c r="H2" s="2186" t="s">
        <v>2635</v>
      </c>
      <c r="I2" s="2188">
        <f>IF(E2="商业",项目基本情况!B38,IF(E2="办公",项目基本情况!C38,IF(E2="住宅",项目基本情况!D38,项目基本情况!E38)))</f>
        <v>0</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5" t="s">
        <v>2638</v>
      </c>
      <c r="D3" s="2186" t="s">
        <v>2639</v>
      </c>
      <c r="E3" s="2191"/>
      <c r="F3" s="2192" t="s">
        <v>2640</v>
      </c>
      <c r="G3" s="855">
        <f>IF(F3="宗地容积率",'数据-汇总表'!I4,IF(F3="估价对象容积率",'数据-汇总表'!I6,'数据-汇总表'!I7))</f>
        <v>0.59</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67"/>
      <c r="B4" s="3368"/>
      <c r="C4" s="3368"/>
      <c r="D4" s="3369"/>
      <c r="E4" s="3369"/>
      <c r="F4" s="3369"/>
      <c r="G4" s="3369"/>
      <c r="H4" s="3369"/>
      <c r="I4" s="3369"/>
      <c r="J4" s="3370"/>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t="e">
        <f>ROUND(IF(E2="商业",C6*C7+C16,(IF(E2="住宅",C6*C12+C16,C6+C16))),0)</f>
        <v>#DIV/0!</v>
      </c>
      <c r="D5" s="1523" t="e">
        <f>ROUND(C6+C16,0)</f>
        <v>#DIV/0!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1"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0.59</v>
      </c>
      <c r="AA7" s="1378"/>
      <c r="AB7" s="1378"/>
      <c r="AC7" s="1379"/>
      <c r="AD7" s="1380"/>
      <c r="AE7" s="1380"/>
      <c r="AF7" s="1380"/>
      <c r="AG7" s="1380"/>
      <c r="AH7" s="1380"/>
      <c r="AI7" s="1380"/>
      <c r="AJ7" s="1381"/>
    </row>
    <row r="8" spans="1:36" ht="15">
      <c r="A8" s="3372"/>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64" t="s">
        <v>2659</v>
      </c>
      <c r="X8" s="3365"/>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72"/>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66"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2"/>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6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2"/>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66" t="s">
        <v>2683</v>
      </c>
      <c r="X11" s="1386" t="s">
        <v>2684</v>
      </c>
      <c r="Y11" s="1387">
        <f>$G$3</f>
        <v>0.59</v>
      </c>
      <c r="Z11" s="1387">
        <f t="shared" ref="Z11:AJ11" si="3">$G$3</f>
        <v>0.59</v>
      </c>
      <c r="AA11" s="1387">
        <f t="shared" si="3"/>
        <v>0.59</v>
      </c>
      <c r="AB11" s="1387">
        <f t="shared" si="3"/>
        <v>0.59</v>
      </c>
      <c r="AC11" s="1387">
        <f t="shared" si="3"/>
        <v>0.59</v>
      </c>
      <c r="AD11" s="1387">
        <f t="shared" si="3"/>
        <v>0.59</v>
      </c>
      <c r="AE11" s="1387">
        <f t="shared" si="3"/>
        <v>0.59</v>
      </c>
      <c r="AF11" s="1387">
        <f t="shared" si="3"/>
        <v>0.59</v>
      </c>
      <c r="AG11" s="1387">
        <f t="shared" si="3"/>
        <v>0.59</v>
      </c>
      <c r="AH11" s="1387">
        <f t="shared" si="3"/>
        <v>0.59</v>
      </c>
      <c r="AI11" s="1387">
        <f t="shared" si="3"/>
        <v>0.59</v>
      </c>
      <c r="AJ11" s="1387">
        <f t="shared" si="3"/>
        <v>0.59</v>
      </c>
    </row>
    <row r="12" spans="1:36" ht="25.5" thickBot="1">
      <c r="A12" s="3371"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66"/>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3"/>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t="e">
        <f t="shared" si="0"/>
        <v>#DIV/0!</v>
      </c>
      <c r="U13" s="1375"/>
      <c r="V13" s="1374" t="e">
        <f t="shared" si="1"/>
        <v>#DIV/0!</v>
      </c>
      <c r="W13" s="3366"/>
      <c r="X13" s="1388"/>
      <c r="Y13" s="1385">
        <f>(-0.163*(Y12^2)-0.59*Y12+7617)*(10^(-4))/Y11</f>
        <v>1.2910169491525425</v>
      </c>
      <c r="Z13" s="1385">
        <f t="shared" ref="Z13:AJ13" si="5">(-0.163*(Z12^2)-0.59*Z12+7617)*(10^(-4))/Z11</f>
        <v>1.2910169491525425</v>
      </c>
      <c r="AA13" s="1385">
        <f t="shared" si="5"/>
        <v>1.2910169491525425</v>
      </c>
      <c r="AB13" s="1385">
        <f t="shared" si="5"/>
        <v>1.2910169491525425</v>
      </c>
      <c r="AC13" s="1385">
        <f t="shared" si="5"/>
        <v>1.2910169491525425</v>
      </c>
      <c r="AD13" s="1385">
        <f t="shared" si="5"/>
        <v>1.2910169491525425</v>
      </c>
      <c r="AE13" s="1385">
        <f t="shared" si="5"/>
        <v>1.2910169491525425</v>
      </c>
      <c r="AF13" s="1385">
        <f t="shared" si="5"/>
        <v>1.2910169491525425</v>
      </c>
      <c r="AG13" s="1385">
        <f t="shared" si="5"/>
        <v>1.2910169491525425</v>
      </c>
      <c r="AH13" s="1385">
        <f t="shared" si="5"/>
        <v>1.2910169491525425</v>
      </c>
      <c r="AI13" s="1385">
        <f t="shared" si="5"/>
        <v>1.2910169491525425</v>
      </c>
      <c r="AJ13" s="1385">
        <f t="shared" si="5"/>
        <v>1.2910169491525425</v>
      </c>
    </row>
    <row r="14" spans="1:36" ht="15">
      <c r="A14" s="3373"/>
      <c r="B14" s="2232"/>
      <c r="C14" s="2233"/>
      <c r="D14" s="2234"/>
      <c r="E14" s="2234"/>
      <c r="F14" s="2235"/>
      <c r="G14" s="2236" t="s">
        <v>2696</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374"/>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71" t="s">
        <v>2702</v>
      </c>
      <c r="B16" s="2209" t="s">
        <v>2703</v>
      </c>
      <c r="C16" s="2371" t="e">
        <f>ROUND(IF(F17="与级别开发程度一致",0,(G17-E17)/C17),0)</f>
        <v>#DIV/0!</v>
      </c>
      <c r="D16" s="3387" t="s">
        <v>2707</v>
      </c>
      <c r="E16" s="3388"/>
      <c r="F16" s="3387" t="s">
        <v>2704</v>
      </c>
      <c r="G16" s="3388"/>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75"/>
      <c r="B17" s="2382" t="s">
        <v>2706</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0</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7.75" thickBot="1">
      <c r="A19" s="2246" t="s">
        <v>809</v>
      </c>
      <c r="B19" s="2247" t="s">
        <v>2710</v>
      </c>
      <c r="C19" s="863" t="e">
        <f>ROUND(IF(H19="按公示增长率计算",SUMPRODUCT((地价!A3:A36=YEAR(G19)&amp;"-"&amp;ROUNDUP(MONTH(G19)/3,0))*(地价!X2:AB2=E2)*(地价!X3:AB36)),IF(H19="地价指数",M20/M19,(1+I19)^O19)),4)</f>
        <v>#VALUE!</v>
      </c>
      <c r="D19" s="2251" t="s">
        <v>2711</v>
      </c>
      <c r="E19" s="864">
        <v>41640</v>
      </c>
      <c r="F19" s="2251" t="s">
        <v>2712</v>
      </c>
      <c r="G19" s="865">
        <f>'数据-取费表'!B2</f>
        <v>44525</v>
      </c>
      <c r="H19" s="2252"/>
      <c r="I19" s="866" t="str">
        <f>IF(H19="季度增幅（自定义）",SUMIF(N21:N24,E2,O21:O24),"")</f>
        <v/>
      </c>
      <c r="J19" s="2249"/>
      <c r="K19" s="1287"/>
      <c r="L19" s="2253" t="s">
        <v>2713</v>
      </c>
      <c r="M19" s="1496">
        <f>ROUND(SUMIF(地价!B2:F2,E2,地价!B36:F36),0)</f>
        <v>0</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2715</v>
      </c>
      <c r="C20" s="868" t="e">
        <f>ROUND(POWER(1+G20,J20-I20)*(POWER(1+G20,I20)-1)/(POWER(1+G20,J20)-1),4)</f>
        <v>#DIV/0!</v>
      </c>
      <c r="D20" s="2258" t="s">
        <v>2716</v>
      </c>
      <c r="E20" s="1505">
        <f>存贷款利率!E18/100</f>
        <v>4.3499999999999997E-2</v>
      </c>
      <c r="F20" s="2258" t="s">
        <v>2708</v>
      </c>
      <c r="G20" s="873">
        <f>SUMIF(M26:P26,E2,M28:P28)</f>
        <v>0</v>
      </c>
      <c r="H20" s="2258" t="s">
        <v>2717</v>
      </c>
      <c r="I20" s="874" t="e">
        <f>SUMIF('数据-取费表'!C6:C15,E2,'数据-取费表'!F6:F15)/COUNTIF('数据-取费表'!C6:C15,E2)</f>
        <v>#DIV/0!</v>
      </c>
      <c r="J20" s="875">
        <f>IF(E2="住宅",70,IF(E2="商业",40,50))</f>
        <v>50</v>
      </c>
      <c r="K20" s="1287"/>
      <c r="L20" s="2259" t="s">
        <v>2718</v>
      </c>
      <c r="M20" s="1497">
        <f>ROUND(SUMPRODUCT((地价!A4:A36=YEAR(G19)&amp;"-"&amp;ROUNDUP(MONTH(G19)/3,0))*(地价!B2:F2=E2)*(地价!B4:F36)),0)</f>
        <v>0</v>
      </c>
      <c r="N20" s="2260" t="s">
        <v>2719</v>
      </c>
      <c r="O20" s="2261" t="s">
        <v>2720</v>
      </c>
      <c r="P20" s="2262" t="s">
        <v>2721</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2722</v>
      </c>
      <c r="C21" s="876">
        <f>IF(B21="容积率修正",IF(G3&lt;=10,D22,J22),C23)</f>
        <v>0</v>
      </c>
      <c r="D21" s="2265"/>
      <c r="E21" s="2265"/>
      <c r="F21" s="2265"/>
      <c r="G21" s="2265"/>
      <c r="H21" s="2265"/>
      <c r="I21" s="2265"/>
      <c r="J21" s="2266"/>
      <c r="K21" s="1287"/>
      <c r="L21" s="3018"/>
      <c r="M21" s="3018"/>
      <c r="N21" s="2267" t="s">
        <v>2723</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2724</v>
      </c>
      <c r="B22" s="2268" t="s">
        <v>2725</v>
      </c>
      <c r="C22" s="1536" t="s">
        <v>2726</v>
      </c>
      <c r="D22" s="1536">
        <f>IF(E22=G22,F22,IF(G3&lt;=10,ROUND(F22+(H22-F22)*(G3-E22)/(G22-E22),4),"——"))</f>
        <v>0</v>
      </c>
      <c r="E22" s="855">
        <f>ROUNDDOWN(G3,1)</f>
        <v>0.5</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8"/>
      <c r="M22" s="3018"/>
      <c r="N22" s="2267" t="s">
        <v>2727</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0</v>
      </c>
      <c r="D24" s="2248"/>
      <c r="E24" s="2275"/>
      <c r="F24" s="2275"/>
      <c r="G24" s="2275"/>
      <c r="H24" s="2275"/>
      <c r="I24" s="2275"/>
      <c r="J24" s="2276"/>
      <c r="K24" s="1287"/>
      <c r="L24" s="3018"/>
      <c r="M24" s="3018"/>
      <c r="N24" s="2277" t="s">
        <v>2732</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2733</v>
      </c>
      <c r="C25" s="869"/>
      <c r="D25" s="2212"/>
      <c r="E25" s="2212"/>
      <c r="F25" s="2279"/>
      <c r="G25" s="2212"/>
      <c r="H25" s="2212"/>
      <c r="I25" s="2212"/>
      <c r="J25" s="2213"/>
      <c r="K25" s="1280"/>
      <c r="L25" s="2183"/>
      <c r="M25" s="2183"/>
      <c r="N25" s="3013" t="s">
        <v>2734</v>
      </c>
      <c r="O25" s="3014"/>
      <c r="P25" s="3015">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t="e">
        <f>IF(B21="容积率修正",E29+SUM(E33:E39),SUM(V2:V16)+SUM(E33:E39))</f>
        <v>#DIV/0!</v>
      </c>
      <c r="D26" s="2281"/>
      <c r="E26" s="2237"/>
      <c r="F26" s="2282"/>
      <c r="G26" s="2237"/>
      <c r="H26" s="2237"/>
      <c r="I26" s="2237"/>
      <c r="J26" s="2283"/>
      <c r="K26" s="1280"/>
      <c r="L26" s="3016" t="s">
        <v>2633</v>
      </c>
      <c r="M26" s="2210" t="s">
        <v>2698</v>
      </c>
      <c r="N26" s="2210" t="s">
        <v>2699</v>
      </c>
      <c r="O26" s="2210" t="s">
        <v>2700</v>
      </c>
      <c r="P26" s="3017"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t="e">
        <f>E30+SUM(I33:I39)</f>
        <v>#DIV/0!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t="e">
        <f>ROUND(C5*C18*C19*C20*C21*C24,0)</f>
        <v>#DIV/0!</v>
      </c>
      <c r="D29" s="2296"/>
      <c r="E29" s="879" t="e">
        <f>ROUND(C29*D29/10000,0)</f>
        <v>#DIV/0!</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t="e">
        <f>ROUND(IF(E2="工业",C29*M39,C29*M38),0)</f>
        <v>#DIV/0!</v>
      </c>
      <c r="D30" s="2302"/>
      <c r="E30" s="879" t="e">
        <f>ROUND(C30*D30/10000,0)</f>
        <v>#DIV/0!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4"/>
      <c r="B33" s="2312" t="s">
        <v>2749</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9"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5"/>
      <c r="B34" s="2229" t="s">
        <v>2750</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5"/>
      <c r="B35" s="2229" t="s">
        <v>2751</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8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6"/>
      <c r="B36" s="2229" t="s">
        <v>2752</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8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t="e">
        <f>ROUND(POWER(1+E41,H41-G41)*(POWER(1+E41,G41)-1)/(POWER(1+E41,H41)-1),4)</f>
        <v>#DIV/0!</v>
      </c>
      <c r="D41" s="176" t="s">
        <v>2708</v>
      </c>
      <c r="E41" s="2369">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2417</v>
      </c>
      <c r="K80" s="560" t="s">
        <v>2418</v>
      </c>
      <c r="L80" s="560" t="s">
        <v>2419</v>
      </c>
      <c r="M80" s="560" t="s">
        <v>2420</v>
      </c>
      <c r="N80" s="560" t="s">
        <v>2421</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76" t="s">
        <v>2790</v>
      </c>
      <c r="B90" s="3376"/>
      <c r="C90" s="3376"/>
      <c r="D90" s="3376"/>
      <c r="E90" s="3376"/>
      <c r="F90" s="3376"/>
      <c r="G90" s="3376"/>
      <c r="H90" s="3376"/>
      <c r="I90" s="3376"/>
      <c r="J90" s="3376"/>
      <c r="K90" s="2343"/>
      <c r="L90" s="2343"/>
      <c r="M90" s="2343"/>
      <c r="N90" s="2343"/>
    </row>
    <row r="91" spans="1:37">
      <c r="A91" s="3378" t="s">
        <v>2791</v>
      </c>
      <c r="B91" s="3378" t="s">
        <v>2792</v>
      </c>
      <c r="C91" s="2297" t="s">
        <v>2793</v>
      </c>
      <c r="D91" s="2298"/>
      <c r="E91" s="2298"/>
      <c r="F91" s="2298"/>
      <c r="G91" s="2298"/>
      <c r="H91" s="2298"/>
      <c r="I91" s="2298"/>
      <c r="J91" s="2344"/>
      <c r="K91" s="2345"/>
      <c r="L91" s="2345"/>
      <c r="M91" s="2345"/>
      <c r="N91" s="2345"/>
    </row>
    <row r="92" spans="1:37">
      <c r="A92" s="3378"/>
      <c r="B92" s="3378"/>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79"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0"/>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1"/>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9" t="s">
        <v>2795</v>
      </c>
      <c r="B101" s="2350" t="s">
        <v>2796</v>
      </c>
      <c r="C101" s="2351">
        <f>$G$3</f>
        <v>0.59</v>
      </c>
      <c r="D101" s="2351">
        <f t="shared" ref="D101:N101" si="31">$G$3</f>
        <v>0.59</v>
      </c>
      <c r="E101" s="2351">
        <f t="shared" si="31"/>
        <v>0.59</v>
      </c>
      <c r="F101" s="2351">
        <f t="shared" si="31"/>
        <v>0.59</v>
      </c>
      <c r="G101" s="2351">
        <f t="shared" si="31"/>
        <v>0.59</v>
      </c>
      <c r="H101" s="2351">
        <f t="shared" si="31"/>
        <v>0.59</v>
      </c>
      <c r="I101" s="2351">
        <f t="shared" si="31"/>
        <v>0.59</v>
      </c>
      <c r="J101" s="2351">
        <f t="shared" si="31"/>
        <v>0.59</v>
      </c>
      <c r="K101" s="2351">
        <f t="shared" si="31"/>
        <v>0.59</v>
      </c>
      <c r="L101" s="2351">
        <f t="shared" si="31"/>
        <v>0.59</v>
      </c>
      <c r="M101" s="2351">
        <f t="shared" si="31"/>
        <v>0.59</v>
      </c>
      <c r="N101" s="2351">
        <f t="shared" si="31"/>
        <v>0.59</v>
      </c>
    </row>
    <row r="102" spans="1:14">
      <c r="A102" s="3380"/>
      <c r="B102" s="2346">
        <v>1</v>
      </c>
      <c r="C102" s="2347">
        <f>1.9362/C101</f>
        <v>3.2816949152542372</v>
      </c>
      <c r="D102" s="2347">
        <f>1.9362/D101</f>
        <v>3.2816949152542372</v>
      </c>
      <c r="E102" s="2347">
        <f>1.8629/E101</f>
        <v>3.1574576271186441</v>
      </c>
      <c r="F102" s="2347">
        <f>1.8629/F101</f>
        <v>3.1574576271186441</v>
      </c>
      <c r="G102" s="2347">
        <f>1.8629/G101</f>
        <v>3.1574576271186441</v>
      </c>
      <c r="H102" s="2347">
        <f>1.8629/H101</f>
        <v>3.1574576271186441</v>
      </c>
      <c r="I102" s="2347">
        <f>1.8629/I101</f>
        <v>3.1574576271186441</v>
      </c>
      <c r="J102" s="2347">
        <f>1.942/J101</f>
        <v>3.2915254237288138</v>
      </c>
      <c r="K102" s="2347">
        <f>1.942/K101</f>
        <v>3.2915254237288138</v>
      </c>
      <c r="L102" s="2347">
        <f>1.942/L101</f>
        <v>3.2915254237288138</v>
      </c>
      <c r="M102" s="2347">
        <f>1.942/M101</f>
        <v>3.2915254237288138</v>
      </c>
      <c r="N102" s="2347">
        <f>1.942/N101</f>
        <v>3.2915254237288138</v>
      </c>
    </row>
    <row r="103" spans="1:14">
      <c r="A103" s="3380"/>
      <c r="B103" s="2346">
        <v>2</v>
      </c>
      <c r="C103" s="2347">
        <f>1.4198/C101</f>
        <v>2.4064406779661018</v>
      </c>
      <c r="D103" s="2347">
        <f>1.4198/D101</f>
        <v>2.4064406779661018</v>
      </c>
      <c r="E103" s="2347">
        <f>1.3372/E101</f>
        <v>2.2664406779661017</v>
      </c>
      <c r="F103" s="2347">
        <f>1.3372/F101</f>
        <v>2.2664406779661017</v>
      </c>
      <c r="G103" s="2347">
        <f>1.3372/G101</f>
        <v>2.2664406779661017</v>
      </c>
      <c r="H103" s="2347">
        <f>1.3372/H101</f>
        <v>2.2664406779661017</v>
      </c>
      <c r="I103" s="2347">
        <f>1.3372/I101</f>
        <v>2.2664406779661017</v>
      </c>
      <c r="J103" s="2347">
        <f>1.2799/J101</f>
        <v>2.1693220338983052</v>
      </c>
      <c r="K103" s="2347">
        <f>1.2799/K101</f>
        <v>2.1693220338983052</v>
      </c>
      <c r="L103" s="2347">
        <f>1.2799/L101</f>
        <v>2.1693220338983052</v>
      </c>
      <c r="M103" s="2347">
        <f>1.2799/M101</f>
        <v>2.1693220338983052</v>
      </c>
      <c r="N103" s="2347">
        <f>1.2799/N101</f>
        <v>2.1693220338983052</v>
      </c>
    </row>
    <row r="104" spans="1:14">
      <c r="A104" s="3380"/>
      <c r="B104" s="2346">
        <v>3</v>
      </c>
      <c r="C104" s="2347">
        <f>1.1594/C101</f>
        <v>1.9650847457627119</v>
      </c>
      <c r="D104" s="2347">
        <f>1.1594/D101</f>
        <v>1.9650847457627119</v>
      </c>
      <c r="E104" s="2347">
        <f>1.0788/E101</f>
        <v>1.8284745762711865</v>
      </c>
      <c r="F104" s="2347">
        <f>1.0788/F101</f>
        <v>1.8284745762711865</v>
      </c>
      <c r="G104" s="2347">
        <f>1.0788/G101</f>
        <v>1.8284745762711865</v>
      </c>
      <c r="H104" s="2347">
        <f>1.0788/H101</f>
        <v>1.8284745762711865</v>
      </c>
      <c r="I104" s="2347">
        <f>1.0788/I101</f>
        <v>1.8284745762711865</v>
      </c>
      <c r="J104" s="2347">
        <f>1.0072/J101</f>
        <v>1.7071186440677968</v>
      </c>
      <c r="K104" s="2347">
        <f>1.0072/K101</f>
        <v>1.7071186440677968</v>
      </c>
      <c r="L104" s="2347">
        <f>1.0072/L101</f>
        <v>1.7071186440677968</v>
      </c>
      <c r="M104" s="2347">
        <f>1.0072/M101</f>
        <v>1.7071186440677968</v>
      </c>
      <c r="N104" s="2347">
        <f>1.0072/N101</f>
        <v>1.7071186440677968</v>
      </c>
    </row>
    <row r="105" spans="1:14">
      <c r="A105" s="3380"/>
      <c r="B105" s="2346">
        <v>4</v>
      </c>
      <c r="C105" s="2347">
        <f>0.9622/C101</f>
        <v>1.6308474576271188</v>
      </c>
      <c r="D105" s="2347">
        <f>0.9622/D101</f>
        <v>1.6308474576271188</v>
      </c>
      <c r="E105" s="2347">
        <f>0.8656/E101</f>
        <v>1.4671186440677968</v>
      </c>
      <c r="F105" s="2347">
        <f>0.8656/F101</f>
        <v>1.4671186440677968</v>
      </c>
      <c r="G105" s="2347">
        <f>0.8656/G101</f>
        <v>1.4671186440677968</v>
      </c>
      <c r="H105" s="2347">
        <f>0.8656/H101</f>
        <v>1.4671186440677968</v>
      </c>
      <c r="I105" s="2347">
        <f>0.8656/I101</f>
        <v>1.4671186440677968</v>
      </c>
      <c r="J105" s="2347">
        <f>0.7525/J101</f>
        <v>1.2754237288135593</v>
      </c>
      <c r="K105" s="2347">
        <f>0.7525/K101</f>
        <v>1.2754237288135593</v>
      </c>
      <c r="L105" s="2347">
        <f>0.7525/L101</f>
        <v>1.2754237288135593</v>
      </c>
      <c r="M105" s="2347">
        <f>0.7525/M101</f>
        <v>1.2754237288135593</v>
      </c>
      <c r="N105" s="2347">
        <f>0.7525/N101</f>
        <v>1.2754237288135593</v>
      </c>
    </row>
    <row r="106" spans="1:14">
      <c r="A106" s="3380"/>
      <c r="B106" s="2346">
        <v>5</v>
      </c>
      <c r="C106" s="2347">
        <f>0.8417/C101</f>
        <v>1.4266101694915254</v>
      </c>
      <c r="D106" s="2347">
        <f>0.8417/D101</f>
        <v>1.4266101694915254</v>
      </c>
      <c r="E106" s="2347">
        <f>0.7371/E101</f>
        <v>1.2493220338983051</v>
      </c>
      <c r="F106" s="2347">
        <f>0.7371/F101</f>
        <v>1.2493220338983051</v>
      </c>
      <c r="G106" s="2347">
        <f>0.7371/G101</f>
        <v>1.2493220338983051</v>
      </c>
      <c r="H106" s="2347">
        <f>0.7371/H101</f>
        <v>1.2493220338983051</v>
      </c>
      <c r="I106" s="2347">
        <f>0.7371/I101</f>
        <v>1.2493220338983051</v>
      </c>
      <c r="J106" s="2347">
        <f>0.5659/J101</f>
        <v>0.95915254237288139</v>
      </c>
      <c r="K106" s="2347">
        <f>0.5659/K101</f>
        <v>0.95915254237288139</v>
      </c>
      <c r="L106" s="2347">
        <f>0.5659/L101</f>
        <v>0.95915254237288139</v>
      </c>
      <c r="M106" s="2347">
        <f>0.5659/M101</f>
        <v>0.95915254237288139</v>
      </c>
      <c r="N106" s="2347">
        <f>0.5659/N101</f>
        <v>0.95915254237288139</v>
      </c>
    </row>
    <row r="107" spans="1:14">
      <c r="A107" s="3380"/>
      <c r="B107" s="2346">
        <v>6</v>
      </c>
      <c r="C107" s="2347">
        <f>0.7608/C101</f>
        <v>1.2894915254237289</v>
      </c>
      <c r="D107" s="2347">
        <f>0.7608/D101</f>
        <v>1.2894915254237289</v>
      </c>
      <c r="E107" s="2347">
        <f>0.6482/E101</f>
        <v>1.0986440677966103</v>
      </c>
      <c r="F107" s="2347">
        <f>0.6482/F101</f>
        <v>1.0986440677966103</v>
      </c>
      <c r="G107" s="2347">
        <f>0.6482/G101</f>
        <v>1.0986440677966103</v>
      </c>
      <c r="H107" s="2347">
        <f>0.6482/H101</f>
        <v>1.0986440677966103</v>
      </c>
      <c r="I107" s="2347">
        <f>0.6482/I101</f>
        <v>1.0986440677966103</v>
      </c>
      <c r="J107" s="2347">
        <f>0.4525/J101</f>
        <v>0.76694915254237295</v>
      </c>
      <c r="K107" s="2347">
        <f>0.4525/K101</f>
        <v>0.76694915254237295</v>
      </c>
      <c r="L107" s="2347">
        <f>0.4525/L101</f>
        <v>0.76694915254237295</v>
      </c>
      <c r="M107" s="2347">
        <f>0.4525/M101</f>
        <v>0.76694915254237295</v>
      </c>
      <c r="N107" s="2347">
        <f>0.4525/N101</f>
        <v>0.76694915254237295</v>
      </c>
    </row>
    <row r="108" spans="1:14">
      <c r="A108" s="3380"/>
      <c r="B108" s="3382"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1"/>
      <c r="B109" s="3383"/>
      <c r="C109" s="2349">
        <f>(-0.163*(C108^2)-0.59*C108+7617)*(10^(-4))/C101</f>
        <v>1.2910169491525425</v>
      </c>
      <c r="D109" s="2349">
        <f>(-0.163*(D108^2)-0.59*D108+7617)*(10^(-4))/D101</f>
        <v>1.2910169491525425</v>
      </c>
      <c r="E109" s="2349">
        <f>(-0.161*(E108^2)-7.509*E108+6533)*(10^(-4))/E101</f>
        <v>1.1072881355932205</v>
      </c>
      <c r="F109" s="2349">
        <f>(-0.161*(F108^2)-7.509*F108+6533)*(10^(-4))/F101</f>
        <v>1.1072881355932205</v>
      </c>
      <c r="G109" s="2349">
        <f>(-0.161*(G108^2)-7.509*G108+6533)*(10^(-4))/G101</f>
        <v>1.1072881355932205</v>
      </c>
      <c r="H109" s="2349">
        <f>(-0.161*(H108^2)-7.509*H108+6533)*(10^(-4))/H101</f>
        <v>1.1072881355932205</v>
      </c>
      <c r="I109" s="2349">
        <f>(-0.161*(I108^2)-7.509*I108+6533)*(10^(-4))/I101</f>
        <v>1.1072881355932205</v>
      </c>
      <c r="J109" s="2349">
        <f>(-0.214*(J108^2)-21.991*J108+4665)*(10^(-4))/J101</f>
        <v>0.79067796610169505</v>
      </c>
      <c r="K109" s="2349">
        <f>(-0.214*(K108^2)-21.991*K108+4665)*(10^(-4))/K101</f>
        <v>0.79067796610169505</v>
      </c>
      <c r="L109" s="2349">
        <f>(-0.214*(L108^2)-21.991*L108+4665)*(10^(-4))/L101</f>
        <v>0.79067796610169505</v>
      </c>
      <c r="M109" s="2349">
        <f>(-0.214*(M108^2)-21.991*M108+4665)*(10^(-4))/M101</f>
        <v>0.79067796610169505</v>
      </c>
      <c r="N109" s="2349">
        <f>(-0.214*(N108^2)-21.991*N108+4665)*(10^(-4))/N101</f>
        <v>0.79067796610169505</v>
      </c>
    </row>
    <row r="110" spans="1:14">
      <c r="A110" s="3377" t="s">
        <v>2798</v>
      </c>
      <c r="B110" s="3377"/>
      <c r="C110" s="3377"/>
      <c r="D110" s="3377"/>
      <c r="E110" s="3377"/>
      <c r="F110" s="3377"/>
      <c r="G110" s="3377"/>
      <c r="H110" s="3377"/>
      <c r="I110" s="3377"/>
      <c r="J110" s="3377"/>
      <c r="K110" s="2352"/>
      <c r="L110" s="2352"/>
      <c r="M110" s="2352"/>
      <c r="N110" s="2352"/>
    </row>
    <row r="112" spans="1:14" ht="13.5" thickBot="1"/>
    <row r="113" spans="1:13" ht="25.5" thickBot="1">
      <c r="A113" s="842" t="s">
        <v>2799</v>
      </c>
      <c r="B113" s="1197">
        <f>G3</f>
        <v>0.59</v>
      </c>
      <c r="C113" s="843" t="s">
        <v>2800</v>
      </c>
      <c r="D113" s="844">
        <f>SUMPRODUCT((A115:A118=F113)*(B114:M114=H113)*B115:M118)</f>
        <v>0</v>
      </c>
      <c r="E113" s="2188" t="s">
        <v>2633</v>
      </c>
      <c r="F113" s="2354">
        <f>E2</f>
        <v>0</v>
      </c>
      <c r="G113" s="2188" t="s">
        <v>2634</v>
      </c>
      <c r="H113" s="2354">
        <f>G2</f>
        <v>0</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2698</v>
      </c>
      <c r="B115" s="849">
        <f>ROUND(0.9335-0.0094*B113,4)</f>
        <v>0.92800000000000005</v>
      </c>
      <c r="C115" s="849">
        <f>B115</f>
        <v>0.92800000000000005</v>
      </c>
      <c r="D115" s="849">
        <f>ROUND(0.8331-0.0109*B113,4)</f>
        <v>0.82669999999999999</v>
      </c>
      <c r="E115" s="849">
        <f>D115</f>
        <v>0.82669999999999999</v>
      </c>
      <c r="F115" s="849">
        <f>E115</f>
        <v>0.82669999999999999</v>
      </c>
      <c r="G115" s="849">
        <f>F115</f>
        <v>0.82669999999999999</v>
      </c>
      <c r="H115" s="849">
        <f>G115</f>
        <v>0.82669999999999999</v>
      </c>
      <c r="I115" s="849">
        <f>ROUND(0.689-0.0155*B113,4)</f>
        <v>0.67989999999999995</v>
      </c>
      <c r="J115" s="849">
        <f t="shared" ref="J115:M118" si="33">I115</f>
        <v>0.67989999999999995</v>
      </c>
      <c r="K115" s="849">
        <f t="shared" si="33"/>
        <v>0.67989999999999995</v>
      </c>
      <c r="L115" s="849">
        <f t="shared" si="33"/>
        <v>0.67989999999999995</v>
      </c>
      <c r="M115" s="850">
        <f t="shared" si="33"/>
        <v>0.67989999999999995</v>
      </c>
    </row>
    <row r="116" spans="1:13">
      <c r="A116" s="848" t="s">
        <v>2699</v>
      </c>
      <c r="B116" s="849">
        <f>ROUND(0.949-0.012*B113,4)</f>
        <v>0.94189999999999996</v>
      </c>
      <c r="C116" s="849">
        <f>B116</f>
        <v>0.94189999999999996</v>
      </c>
      <c r="D116" s="849">
        <f>ROUND(0.8567-0.013*B113,4)</f>
        <v>0.84899999999999998</v>
      </c>
      <c r="E116" s="849">
        <f t="shared" ref="E116:H117" si="34">D116</f>
        <v>0.84899999999999998</v>
      </c>
      <c r="F116" s="849">
        <f t="shared" si="34"/>
        <v>0.84899999999999998</v>
      </c>
      <c r="G116" s="849">
        <f t="shared" si="34"/>
        <v>0.84899999999999998</v>
      </c>
      <c r="H116" s="849">
        <f t="shared" si="34"/>
        <v>0.84899999999999998</v>
      </c>
      <c r="I116" s="849">
        <f>ROUND(0.7694-0.014*B113,4)</f>
        <v>0.7611</v>
      </c>
      <c r="J116" s="849">
        <f t="shared" si="33"/>
        <v>0.7611</v>
      </c>
      <c r="K116" s="849">
        <f t="shared" si="33"/>
        <v>0.7611</v>
      </c>
      <c r="L116" s="849">
        <f t="shared" si="33"/>
        <v>0.7611</v>
      </c>
      <c r="M116" s="850">
        <f t="shared" si="33"/>
        <v>0.7611</v>
      </c>
    </row>
    <row r="117" spans="1:13">
      <c r="A117" s="848" t="s">
        <v>2700</v>
      </c>
      <c r="B117" s="849">
        <f>ROUND(0.8808-0.006*B113,4)</f>
        <v>0.87729999999999997</v>
      </c>
      <c r="C117" s="849">
        <f>B117</f>
        <v>0.87729999999999997</v>
      </c>
      <c r="D117" s="849">
        <f>ROUND(0.8748-0.008*B113,4)</f>
        <v>0.87009999999999998</v>
      </c>
      <c r="E117" s="849">
        <f t="shared" si="34"/>
        <v>0.87009999999999998</v>
      </c>
      <c r="F117" s="849">
        <f t="shared" si="34"/>
        <v>0.87009999999999998</v>
      </c>
      <c r="G117" s="849">
        <f t="shared" si="34"/>
        <v>0.87009999999999998</v>
      </c>
      <c r="H117" s="849">
        <f t="shared" si="34"/>
        <v>0.87009999999999998</v>
      </c>
      <c r="I117" s="849">
        <f>ROUND(0.7412-0.0095*B113,4)</f>
        <v>0.73560000000000003</v>
      </c>
      <c r="J117" s="849">
        <f t="shared" si="33"/>
        <v>0.73560000000000003</v>
      </c>
      <c r="K117" s="849">
        <f t="shared" si="33"/>
        <v>0.73560000000000003</v>
      </c>
      <c r="L117" s="849">
        <f t="shared" si="33"/>
        <v>0.73560000000000003</v>
      </c>
      <c r="M117" s="850">
        <f t="shared" si="33"/>
        <v>0.73560000000000003</v>
      </c>
    </row>
    <row r="118" spans="1:13" ht="13.5" thickBot="1">
      <c r="A118" s="670" t="s">
        <v>2701</v>
      </c>
      <c r="B118" s="851">
        <f>ROUND(0.7275-0.01*B113,4)</f>
        <v>0.72160000000000002</v>
      </c>
      <c r="C118" s="851">
        <f>B118</f>
        <v>0.72160000000000002</v>
      </c>
      <c r="D118" s="851">
        <f>ROUND(0.7043-0.012*B113,4)</f>
        <v>0.69720000000000004</v>
      </c>
      <c r="E118" s="851">
        <f>D118</f>
        <v>0.69720000000000004</v>
      </c>
      <c r="F118" s="851">
        <f>E118</f>
        <v>0.69720000000000004</v>
      </c>
      <c r="G118" s="851">
        <f>ROUND(0.6299-0.0122*B113,4)</f>
        <v>0.62270000000000003</v>
      </c>
      <c r="H118" s="851">
        <f>G118</f>
        <v>0.62270000000000003</v>
      </c>
      <c r="I118" s="851">
        <f>ROUND(0.5667-0.0136*B113,4)</f>
        <v>0.55869999999999997</v>
      </c>
      <c r="J118" s="851">
        <f t="shared" si="33"/>
        <v>0.55869999999999997</v>
      </c>
      <c r="K118" s="851">
        <f t="shared" si="33"/>
        <v>0.55869999999999997</v>
      </c>
      <c r="L118" s="851">
        <f t="shared" si="33"/>
        <v>0.55869999999999997</v>
      </c>
      <c r="M118" s="852">
        <f t="shared" si="33"/>
        <v>0.55869999999999997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0" t="s">
        <v>183</v>
      </c>
      <c r="B18" s="821" t="s">
        <v>560</v>
      </c>
      <c r="C18" s="822" t="s">
        <v>561</v>
      </c>
      <c r="D18" s="823"/>
      <c r="E18" s="821">
        <v>1</v>
      </c>
      <c r="F18" s="824" t="s">
        <v>562</v>
      </c>
      <c r="G18" s="825"/>
      <c r="H18" s="817"/>
      <c r="I18" s="817"/>
    </row>
    <row r="19" spans="1:9" s="826" customFormat="1" ht="19.5" customHeight="1">
      <c r="A19" s="3390"/>
      <c r="B19" s="3390" t="s">
        <v>563</v>
      </c>
      <c r="C19" s="822" t="s">
        <v>564</v>
      </c>
      <c r="D19" s="823"/>
      <c r="E19" s="821">
        <v>0.9</v>
      </c>
      <c r="F19" s="824" t="s">
        <v>565</v>
      </c>
      <c r="G19" s="825"/>
      <c r="H19" s="817"/>
      <c r="I19" s="817"/>
    </row>
    <row r="20" spans="1:9" s="826" customFormat="1" ht="19.5" customHeight="1">
      <c r="A20" s="3390"/>
      <c r="B20" s="3390"/>
      <c r="C20" s="822" t="s">
        <v>566</v>
      </c>
      <c r="D20" s="823"/>
      <c r="E20" s="821">
        <v>1.1000000000000001</v>
      </c>
      <c r="F20" s="824" t="s">
        <v>567</v>
      </c>
      <c r="G20" s="825"/>
      <c r="H20" s="817"/>
      <c r="I20" s="817"/>
    </row>
    <row r="21" spans="1:9" s="826" customFormat="1" ht="19.5" customHeight="1">
      <c r="A21" s="3390"/>
      <c r="B21" s="3390"/>
      <c r="C21" s="822" t="s">
        <v>568</v>
      </c>
      <c r="D21" s="823"/>
      <c r="E21" s="821">
        <v>0.8</v>
      </c>
      <c r="F21" s="824" t="s">
        <v>569</v>
      </c>
      <c r="G21" s="825"/>
      <c r="H21" s="817"/>
      <c r="I21" s="817"/>
    </row>
    <row r="22" spans="1:9" s="826" customFormat="1" ht="19.5" customHeight="1">
      <c r="A22" s="3390"/>
      <c r="B22" s="3390"/>
      <c r="C22" s="822" t="s">
        <v>570</v>
      </c>
      <c r="D22" s="823"/>
      <c r="E22" s="821">
        <v>0.5</v>
      </c>
      <c r="F22" s="824"/>
      <c r="G22" s="825"/>
      <c r="H22" s="817"/>
      <c r="I22" s="817"/>
    </row>
    <row r="23" spans="1:9" s="826" customFormat="1" ht="19.5" customHeight="1">
      <c r="A23" s="3390" t="s">
        <v>184</v>
      </c>
      <c r="B23" s="821" t="s">
        <v>560</v>
      </c>
      <c r="C23" s="822" t="s">
        <v>571</v>
      </c>
      <c r="D23" s="823"/>
      <c r="E23" s="821">
        <v>1</v>
      </c>
      <c r="F23" s="824" t="s">
        <v>572</v>
      </c>
      <c r="G23" s="825"/>
      <c r="H23" s="817"/>
      <c r="I23" s="817"/>
    </row>
    <row r="24" spans="1:9" s="826" customFormat="1" ht="19.5" customHeight="1">
      <c r="A24" s="3390"/>
      <c r="B24" s="3390" t="s">
        <v>563</v>
      </c>
      <c r="C24" s="822" t="s">
        <v>573</v>
      </c>
      <c r="D24" s="823"/>
      <c r="E24" s="821">
        <v>0.5</v>
      </c>
      <c r="F24" s="824"/>
      <c r="G24" s="825"/>
      <c r="H24" s="817"/>
      <c r="I24" s="817"/>
    </row>
    <row r="25" spans="1:9" s="826" customFormat="1" ht="19.5" customHeight="1">
      <c r="A25" s="3390"/>
      <c r="B25" s="3390"/>
      <c r="C25" s="822" t="s">
        <v>574</v>
      </c>
      <c r="D25" s="823"/>
      <c r="E25" s="821">
        <v>1.1000000000000001</v>
      </c>
      <c r="F25" s="824"/>
      <c r="G25" s="825"/>
      <c r="H25" s="817"/>
      <c r="I25" s="817"/>
    </row>
    <row r="26" spans="1:9" s="826" customFormat="1" ht="19.5" customHeight="1">
      <c r="A26" s="3390"/>
      <c r="B26" s="3390"/>
      <c r="C26" s="822" t="s">
        <v>575</v>
      </c>
      <c r="D26" s="823"/>
      <c r="E26" s="821">
        <v>1.1000000000000001</v>
      </c>
      <c r="F26" s="824"/>
      <c r="G26" s="825"/>
      <c r="H26" s="817"/>
      <c r="I26" s="817"/>
    </row>
    <row r="27" spans="1:9" s="826" customFormat="1" ht="19.5" customHeight="1">
      <c r="A27" s="3390"/>
      <c r="B27" s="3390"/>
      <c r="C27" s="822" t="s">
        <v>576</v>
      </c>
      <c r="D27" s="823"/>
      <c r="E27" s="821">
        <v>0.9</v>
      </c>
      <c r="F27" s="824" t="s">
        <v>577</v>
      </c>
      <c r="G27" s="825"/>
      <c r="H27" s="817"/>
      <c r="I27" s="817"/>
    </row>
    <row r="28" spans="1:9" s="826" customFormat="1" ht="19.5" customHeight="1">
      <c r="A28" s="3390"/>
      <c r="B28" s="3390"/>
      <c r="C28" s="822" t="s">
        <v>578</v>
      </c>
      <c r="D28" s="823"/>
      <c r="E28" s="821">
        <v>0.9</v>
      </c>
      <c r="F28" s="824" t="s">
        <v>579</v>
      </c>
      <c r="G28" s="825"/>
      <c r="H28" s="817"/>
      <c r="I28" s="817"/>
    </row>
    <row r="29" spans="1:9" s="826" customFormat="1" ht="19.5" customHeight="1">
      <c r="A29" s="3390"/>
      <c r="B29" s="3390"/>
      <c r="C29" s="822" t="s">
        <v>580</v>
      </c>
      <c r="D29" s="823"/>
      <c r="E29" s="821">
        <v>0.9</v>
      </c>
      <c r="F29" s="824" t="s">
        <v>581</v>
      </c>
      <c r="G29" s="825"/>
      <c r="H29" s="817"/>
      <c r="I29" s="817"/>
    </row>
    <row r="30" spans="1:9" s="826" customFormat="1" ht="19.5" customHeight="1">
      <c r="A30" s="3390"/>
      <c r="B30" s="3390"/>
      <c r="C30" s="822" t="s">
        <v>582</v>
      </c>
      <c r="D30" s="823"/>
      <c r="E30" s="821">
        <v>0.9</v>
      </c>
      <c r="F30" s="824" t="s">
        <v>583</v>
      </c>
      <c r="G30" s="825"/>
      <c r="H30" s="817"/>
      <c r="I30" s="817"/>
    </row>
    <row r="31" spans="1:9" s="826" customFormat="1" ht="19.5" customHeight="1">
      <c r="A31" s="3390"/>
      <c r="B31" s="3390"/>
      <c r="C31" s="822" t="s">
        <v>584</v>
      </c>
      <c r="D31" s="823"/>
      <c r="E31" s="821">
        <v>0.8</v>
      </c>
      <c r="F31" s="824" t="s">
        <v>585</v>
      </c>
      <c r="G31" s="825"/>
      <c r="H31" s="817"/>
      <c r="I31" s="817"/>
    </row>
    <row r="32" spans="1:9" s="826" customFormat="1" ht="19.5" customHeight="1">
      <c r="A32" s="3390"/>
      <c r="B32" s="3390"/>
      <c r="C32" s="822" t="s">
        <v>586</v>
      </c>
      <c r="D32" s="823"/>
      <c r="E32" s="821">
        <v>0.8</v>
      </c>
      <c r="F32" s="824" t="s">
        <v>587</v>
      </c>
      <c r="G32" s="825"/>
      <c r="H32" s="817"/>
      <c r="I32" s="817"/>
    </row>
    <row r="33" spans="1:9" s="826" customFormat="1" ht="19.5" customHeight="1">
      <c r="A33" s="3390" t="s">
        <v>185</v>
      </c>
      <c r="B33" s="821" t="s">
        <v>560</v>
      </c>
      <c r="C33" s="822" t="s">
        <v>588</v>
      </c>
      <c r="D33" s="823"/>
      <c r="E33" s="821">
        <v>1</v>
      </c>
      <c r="F33" s="824" t="s">
        <v>589</v>
      </c>
      <c r="G33" s="825"/>
      <c r="H33" s="817"/>
      <c r="I33" s="817"/>
    </row>
    <row r="34" spans="1:9" s="826" customFormat="1" ht="19.5" customHeight="1">
      <c r="A34" s="3390"/>
      <c r="B34" s="821" t="s">
        <v>563</v>
      </c>
      <c r="C34" s="822" t="s">
        <v>590</v>
      </c>
      <c r="D34" s="823"/>
      <c r="E34" s="821">
        <v>1.5</v>
      </c>
      <c r="F34" s="824" t="s">
        <v>591</v>
      </c>
      <c r="G34" s="825"/>
      <c r="H34" s="817"/>
      <c r="I34" s="817"/>
    </row>
    <row r="35" spans="1:9" s="826" customFormat="1" ht="19.5" customHeight="1">
      <c r="A35" s="3390" t="s">
        <v>186</v>
      </c>
      <c r="B35" s="821" t="s">
        <v>560</v>
      </c>
      <c r="C35" s="822" t="s">
        <v>592</v>
      </c>
      <c r="D35" s="823"/>
      <c r="E35" s="821">
        <v>1</v>
      </c>
      <c r="F35" s="824" t="s">
        <v>593</v>
      </c>
      <c r="G35" s="825"/>
      <c r="H35" s="817"/>
      <c r="I35" s="817"/>
    </row>
    <row r="36" spans="1:9" s="826" customFormat="1" ht="19.5" customHeight="1">
      <c r="A36" s="3390"/>
      <c r="B36" s="3390" t="s">
        <v>563</v>
      </c>
      <c r="C36" s="822" t="s">
        <v>594</v>
      </c>
      <c r="D36" s="823"/>
      <c r="E36" s="821">
        <v>1</v>
      </c>
      <c r="F36" s="824" t="s">
        <v>595</v>
      </c>
      <c r="G36" s="825"/>
      <c r="H36" s="817"/>
      <c r="I36" s="817"/>
    </row>
    <row r="37" spans="1:9" s="826" customFormat="1" ht="19.5" customHeight="1">
      <c r="A37" s="3390"/>
      <c r="B37" s="3390"/>
      <c r="C37" s="822" t="s">
        <v>596</v>
      </c>
      <c r="D37" s="823"/>
      <c r="E37" s="821">
        <v>1.5</v>
      </c>
      <c r="F37" s="824" t="s">
        <v>597</v>
      </c>
      <c r="G37" s="825"/>
      <c r="H37" s="817"/>
      <c r="I37" s="817"/>
    </row>
    <row r="38" spans="1:9" s="826" customFormat="1" ht="19.5" customHeight="1">
      <c r="A38" s="3390"/>
      <c r="B38" s="3390"/>
      <c r="C38" s="822" t="s">
        <v>598</v>
      </c>
      <c r="D38" s="823"/>
      <c r="E38" s="821">
        <v>1</v>
      </c>
      <c r="F38" s="824" t="s">
        <v>599</v>
      </c>
      <c r="G38" s="825"/>
      <c r="H38" s="817"/>
      <c r="I38" s="817"/>
    </row>
    <row r="39" spans="1:9" s="826" customFormat="1" ht="19.5" customHeight="1">
      <c r="A39" s="3390"/>
      <c r="B39" s="339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0" t="s">
        <v>614</v>
      </c>
      <c r="C61" s="757" t="s">
        <v>615</v>
      </c>
      <c r="D61" s="757" t="s">
        <v>616</v>
      </c>
      <c r="E61" s="834">
        <v>0.5</v>
      </c>
      <c r="F61" s="821">
        <v>80</v>
      </c>
    </row>
    <row r="62" spans="1:8" s="817" customFormat="1" ht="24">
      <c r="A62" s="821">
        <v>2</v>
      </c>
      <c r="B62" s="3390"/>
      <c r="C62" s="757" t="s">
        <v>617</v>
      </c>
      <c r="D62" s="757" t="s">
        <v>618</v>
      </c>
      <c r="E62" s="834">
        <v>0.5</v>
      </c>
      <c r="F62" s="821">
        <v>80</v>
      </c>
    </row>
    <row r="63" spans="1:8" s="817" customFormat="1" ht="36">
      <c r="A63" s="821">
        <v>3</v>
      </c>
      <c r="B63" s="3390"/>
      <c r="C63" s="757" t="s">
        <v>619</v>
      </c>
      <c r="D63" s="757" t="s">
        <v>620</v>
      </c>
      <c r="E63" s="834">
        <v>0.5</v>
      </c>
      <c r="F63" s="821">
        <v>80</v>
      </c>
    </row>
    <row r="64" spans="1:8" s="817" customFormat="1" ht="36">
      <c r="A64" s="821">
        <v>4</v>
      </c>
      <c r="B64" s="3390"/>
      <c r="C64" s="757" t="s">
        <v>621</v>
      </c>
      <c r="D64" s="757" t="s">
        <v>622</v>
      </c>
      <c r="E64" s="834">
        <v>0.4</v>
      </c>
      <c r="F64" s="821">
        <v>60</v>
      </c>
    </row>
    <row r="65" spans="1:6" s="817" customFormat="1" ht="36">
      <c r="A65" s="821">
        <v>5</v>
      </c>
      <c r="B65" s="3390"/>
      <c r="C65" s="757" t="s">
        <v>623</v>
      </c>
      <c r="D65" s="757" t="s">
        <v>624</v>
      </c>
      <c r="E65" s="834">
        <v>0.2</v>
      </c>
      <c r="F65" s="821">
        <v>30</v>
      </c>
    </row>
    <row r="66" spans="1:6" s="817" customFormat="1" ht="36">
      <c r="A66" s="821">
        <v>6</v>
      </c>
      <c r="B66" s="3390"/>
      <c r="C66" s="757" t="s">
        <v>625</v>
      </c>
      <c r="D66" s="757" t="s">
        <v>626</v>
      </c>
      <c r="E66" s="834">
        <v>0.3</v>
      </c>
      <c r="F66" s="821">
        <v>50</v>
      </c>
    </row>
    <row r="67" spans="1:6" s="817" customFormat="1" ht="36">
      <c r="A67" s="821">
        <v>7</v>
      </c>
      <c r="B67" s="3390"/>
      <c r="C67" s="757" t="s">
        <v>627</v>
      </c>
      <c r="D67" s="757" t="s">
        <v>628</v>
      </c>
      <c r="E67" s="834">
        <v>0.2</v>
      </c>
      <c r="F67" s="821">
        <v>30</v>
      </c>
    </row>
    <row r="68" spans="1:6" s="817" customFormat="1" ht="36">
      <c r="A68" s="821">
        <v>8</v>
      </c>
      <c r="B68" s="3390"/>
      <c r="C68" s="757" t="s">
        <v>629</v>
      </c>
      <c r="D68" s="757" t="s">
        <v>630</v>
      </c>
      <c r="E68" s="834">
        <v>0.2</v>
      </c>
      <c r="F68" s="821">
        <v>30</v>
      </c>
    </row>
    <row r="69" spans="1:6" s="817" customFormat="1" ht="36">
      <c r="A69" s="821">
        <v>9</v>
      </c>
      <c r="B69" s="3390"/>
      <c r="C69" s="757" t="s">
        <v>631</v>
      </c>
      <c r="D69" s="757" t="s">
        <v>632</v>
      </c>
      <c r="E69" s="834">
        <v>0.2</v>
      </c>
      <c r="F69" s="821">
        <v>30</v>
      </c>
    </row>
    <row r="70" spans="1:6" s="817" customFormat="1" ht="48">
      <c r="A70" s="821">
        <v>10</v>
      </c>
      <c r="B70" s="3390"/>
      <c r="C70" s="757" t="s">
        <v>633</v>
      </c>
      <c r="D70" s="757" t="s">
        <v>634</v>
      </c>
      <c r="E70" s="834">
        <v>0.2</v>
      </c>
      <c r="F70" s="821">
        <v>30</v>
      </c>
    </row>
    <row r="71" spans="1:6" s="817" customFormat="1" ht="48">
      <c r="A71" s="821">
        <v>11</v>
      </c>
      <c r="B71" s="3390"/>
      <c r="C71" s="757" t="s">
        <v>635</v>
      </c>
      <c r="D71" s="757" t="s">
        <v>636</v>
      </c>
      <c r="E71" s="834">
        <v>0.2</v>
      </c>
      <c r="F71" s="821">
        <v>30</v>
      </c>
    </row>
    <row r="72" spans="1:6" s="817" customFormat="1" ht="36">
      <c r="A72" s="821">
        <v>12</v>
      </c>
      <c r="B72" s="3390"/>
      <c r="C72" s="757" t="s">
        <v>637</v>
      </c>
      <c r="D72" s="757" t="s">
        <v>638</v>
      </c>
      <c r="E72" s="834">
        <v>0.5</v>
      </c>
      <c r="F72" s="821">
        <v>80</v>
      </c>
    </row>
    <row r="73" spans="1:6" s="817" customFormat="1" ht="24">
      <c r="A73" s="821">
        <v>13</v>
      </c>
      <c r="B73" s="3390"/>
      <c r="C73" s="757" t="s">
        <v>639</v>
      </c>
      <c r="D73" s="757" t="s">
        <v>640</v>
      </c>
      <c r="E73" s="834">
        <v>0.4</v>
      </c>
      <c r="F73" s="821">
        <v>60</v>
      </c>
    </row>
    <row r="74" spans="1:6" s="817" customFormat="1" ht="24">
      <c r="A74" s="821">
        <v>14</v>
      </c>
      <c r="B74" s="3390"/>
      <c r="C74" s="757" t="s">
        <v>641</v>
      </c>
      <c r="D74" s="757" t="s">
        <v>642</v>
      </c>
      <c r="E74" s="834">
        <v>0.2</v>
      </c>
      <c r="F74" s="821">
        <v>30</v>
      </c>
    </row>
    <row r="75" spans="1:6" s="817" customFormat="1" ht="24">
      <c r="A75" s="821">
        <v>15</v>
      </c>
      <c r="B75" s="3390"/>
      <c r="C75" s="757" t="s">
        <v>643</v>
      </c>
      <c r="D75" s="757" t="s">
        <v>644</v>
      </c>
      <c r="E75" s="834">
        <v>0.2</v>
      </c>
      <c r="F75" s="821">
        <v>30</v>
      </c>
    </row>
    <row r="76" spans="1:6" s="817" customFormat="1" ht="24">
      <c r="A76" s="821">
        <v>16</v>
      </c>
      <c r="B76" s="3390" t="s">
        <v>645</v>
      </c>
      <c r="C76" s="757" t="s">
        <v>646</v>
      </c>
      <c r="D76" s="757" t="s">
        <v>647</v>
      </c>
      <c r="E76" s="834">
        <v>0.5</v>
      </c>
      <c r="F76" s="821">
        <v>80</v>
      </c>
    </row>
    <row r="77" spans="1:6" s="817" customFormat="1" ht="24">
      <c r="A77" s="821">
        <v>17</v>
      </c>
      <c r="B77" s="3390"/>
      <c r="C77" s="757" t="s">
        <v>648</v>
      </c>
      <c r="D77" s="757" t="s">
        <v>649</v>
      </c>
      <c r="E77" s="834">
        <v>0.5</v>
      </c>
      <c r="F77" s="821">
        <v>80</v>
      </c>
    </row>
    <row r="78" spans="1:6" s="817" customFormat="1" ht="24">
      <c r="A78" s="821">
        <v>18</v>
      </c>
      <c r="B78" s="3390"/>
      <c r="C78" s="757" t="s">
        <v>650</v>
      </c>
      <c r="D78" s="757" t="s">
        <v>651</v>
      </c>
      <c r="E78" s="834">
        <v>0.2</v>
      </c>
      <c r="F78" s="821">
        <v>30</v>
      </c>
    </row>
    <row r="79" spans="1:6" s="817" customFormat="1" ht="24">
      <c r="A79" s="821">
        <v>19</v>
      </c>
      <c r="B79" s="3390"/>
      <c r="C79" s="757" t="s">
        <v>652</v>
      </c>
      <c r="D79" s="757" t="s">
        <v>653</v>
      </c>
      <c r="E79" s="834">
        <v>0.5</v>
      </c>
      <c r="F79" s="821">
        <v>80</v>
      </c>
    </row>
    <row r="80" spans="1:6" s="817" customFormat="1" ht="36">
      <c r="A80" s="821">
        <v>20</v>
      </c>
      <c r="B80" s="3390"/>
      <c r="C80" s="757" t="s">
        <v>654</v>
      </c>
      <c r="D80" s="757" t="s">
        <v>655</v>
      </c>
      <c r="E80" s="834">
        <v>0.2</v>
      </c>
      <c r="F80" s="821">
        <v>30</v>
      </c>
    </row>
    <row r="81" spans="1:6" s="817" customFormat="1" ht="36">
      <c r="A81" s="821">
        <v>21</v>
      </c>
      <c r="B81" s="3390"/>
      <c r="C81" s="757" t="s">
        <v>656</v>
      </c>
      <c r="D81" s="757" t="s">
        <v>657</v>
      </c>
      <c r="E81" s="834">
        <v>0.2</v>
      </c>
      <c r="F81" s="821">
        <v>30</v>
      </c>
    </row>
    <row r="82" spans="1:6" s="817" customFormat="1" ht="48">
      <c r="A82" s="821">
        <v>22</v>
      </c>
      <c r="B82" s="3390"/>
      <c r="C82" s="757" t="s">
        <v>658</v>
      </c>
      <c r="D82" s="757" t="s">
        <v>659</v>
      </c>
      <c r="E82" s="834">
        <v>0.2</v>
      </c>
      <c r="F82" s="821">
        <v>30</v>
      </c>
    </row>
    <row r="83" spans="1:6" s="817" customFormat="1" ht="48">
      <c r="A83" s="821">
        <v>23</v>
      </c>
      <c r="B83" s="3390"/>
      <c r="C83" s="757" t="s">
        <v>660</v>
      </c>
      <c r="D83" s="757" t="s">
        <v>661</v>
      </c>
      <c r="E83" s="834">
        <v>0.2</v>
      </c>
      <c r="F83" s="821">
        <v>30</v>
      </c>
    </row>
    <row r="84" spans="1:6" s="817" customFormat="1" ht="36">
      <c r="A84" s="821">
        <v>24</v>
      </c>
      <c r="B84" s="3390"/>
      <c r="C84" s="757" t="s">
        <v>662</v>
      </c>
      <c r="D84" s="757" t="s">
        <v>663</v>
      </c>
      <c r="E84" s="834">
        <v>0.2</v>
      </c>
      <c r="F84" s="821">
        <v>30</v>
      </c>
    </row>
    <row r="85" spans="1:6" s="817" customFormat="1" ht="36">
      <c r="A85" s="821">
        <v>25</v>
      </c>
      <c r="B85" s="3390"/>
      <c r="C85" s="757" t="s">
        <v>664</v>
      </c>
      <c r="D85" s="757" t="s">
        <v>665</v>
      </c>
      <c r="E85" s="834">
        <v>0.5</v>
      </c>
      <c r="F85" s="821">
        <v>80</v>
      </c>
    </row>
    <row r="86" spans="1:6" s="817" customFormat="1" ht="36">
      <c r="A86" s="821">
        <v>26</v>
      </c>
      <c r="B86" s="3390"/>
      <c r="C86" s="757" t="s">
        <v>666</v>
      </c>
      <c r="D86" s="757" t="s">
        <v>667</v>
      </c>
      <c r="E86" s="834">
        <v>0.2</v>
      </c>
      <c r="F86" s="821">
        <v>30</v>
      </c>
    </row>
    <row r="87" spans="1:6" s="817" customFormat="1" ht="36">
      <c r="A87" s="821">
        <v>27</v>
      </c>
      <c r="B87" s="3390"/>
      <c r="C87" s="757" t="s">
        <v>668</v>
      </c>
      <c r="D87" s="757" t="s">
        <v>669</v>
      </c>
      <c r="E87" s="834">
        <v>0.2</v>
      </c>
      <c r="F87" s="821">
        <v>30</v>
      </c>
    </row>
    <row r="88" spans="1:6" s="817" customFormat="1" ht="36">
      <c r="A88" s="821">
        <v>28</v>
      </c>
      <c r="B88" s="3390"/>
      <c r="C88" s="757" t="s">
        <v>670</v>
      </c>
      <c r="D88" s="757" t="s">
        <v>671</v>
      </c>
      <c r="E88" s="834">
        <v>0.2</v>
      </c>
      <c r="F88" s="821">
        <v>30</v>
      </c>
    </row>
    <row r="89" spans="1:6" s="817" customFormat="1" ht="24">
      <c r="A89" s="821">
        <v>29</v>
      </c>
      <c r="B89" s="3390"/>
      <c r="C89" s="757" t="s">
        <v>672</v>
      </c>
      <c r="D89" s="757" t="s">
        <v>673</v>
      </c>
      <c r="E89" s="834">
        <v>0.2</v>
      </c>
      <c r="F89" s="821">
        <v>30</v>
      </c>
    </row>
    <row r="90" spans="1:6" s="817" customFormat="1" ht="24">
      <c r="A90" s="821">
        <v>30</v>
      </c>
      <c r="B90" s="3390"/>
      <c r="C90" s="757" t="s">
        <v>674</v>
      </c>
      <c r="D90" s="757" t="s">
        <v>675</v>
      </c>
      <c r="E90" s="834">
        <v>0.2</v>
      </c>
      <c r="F90" s="821">
        <v>30</v>
      </c>
    </row>
    <row r="91" spans="1:6" s="817" customFormat="1" ht="36">
      <c r="A91" s="821">
        <v>31</v>
      </c>
      <c r="B91" s="3390"/>
      <c r="C91" s="757" t="s">
        <v>676</v>
      </c>
      <c r="D91" s="757" t="s">
        <v>677</v>
      </c>
      <c r="E91" s="834">
        <v>0.2</v>
      </c>
      <c r="F91" s="821">
        <v>30</v>
      </c>
    </row>
    <row r="92" spans="1:6" s="817" customFormat="1" ht="24">
      <c r="A92" s="821">
        <v>32</v>
      </c>
      <c r="B92" s="3390" t="s">
        <v>678</v>
      </c>
      <c r="C92" s="821" t="s">
        <v>679</v>
      </c>
      <c r="D92" s="757" t="s">
        <v>680</v>
      </c>
      <c r="E92" s="834">
        <v>0.2</v>
      </c>
      <c r="F92" s="821">
        <v>30</v>
      </c>
    </row>
    <row r="93" spans="1:6" s="817" customFormat="1" ht="36">
      <c r="A93" s="821">
        <v>33</v>
      </c>
      <c r="B93" s="3390"/>
      <c r="C93" s="821" t="s">
        <v>681</v>
      </c>
      <c r="D93" s="757" t="s">
        <v>682</v>
      </c>
      <c r="E93" s="834">
        <v>0.2</v>
      </c>
      <c r="F93" s="821">
        <v>30</v>
      </c>
    </row>
    <row r="94" spans="1:6" s="817" customFormat="1" ht="48">
      <c r="A94" s="821">
        <v>34</v>
      </c>
      <c r="B94" s="3390"/>
      <c r="C94" s="821" t="s">
        <v>683</v>
      </c>
      <c r="D94" s="757" t="s">
        <v>684</v>
      </c>
      <c r="E94" s="834">
        <v>0.2</v>
      </c>
      <c r="F94" s="821">
        <v>30</v>
      </c>
    </row>
    <row r="95" spans="1:6" s="817" customFormat="1" ht="36">
      <c r="A95" s="821">
        <v>35</v>
      </c>
      <c r="B95" s="3390"/>
      <c r="C95" s="821" t="s">
        <v>685</v>
      </c>
      <c r="D95" s="757" t="s">
        <v>686</v>
      </c>
      <c r="E95" s="834">
        <v>0.2</v>
      </c>
      <c r="F95" s="821">
        <v>30</v>
      </c>
    </row>
    <row r="96" spans="1:6" s="817" customFormat="1" ht="48">
      <c r="A96" s="821">
        <v>36</v>
      </c>
      <c r="B96" s="3390"/>
      <c r="C96" s="757" t="s">
        <v>687</v>
      </c>
      <c r="D96" s="757" t="s">
        <v>688</v>
      </c>
      <c r="E96" s="834">
        <v>0.2</v>
      </c>
      <c r="F96" s="821">
        <v>30</v>
      </c>
    </row>
    <row r="97" spans="1:6" s="817" customFormat="1" ht="36">
      <c r="A97" s="821">
        <v>37</v>
      </c>
      <c r="B97" s="3390"/>
      <c r="C97" s="821" t="s">
        <v>689</v>
      </c>
      <c r="D97" s="757" t="s">
        <v>690</v>
      </c>
      <c r="E97" s="834">
        <v>0.2</v>
      </c>
      <c r="F97" s="821">
        <v>30</v>
      </c>
    </row>
    <row r="98" spans="1:6" s="817" customFormat="1" ht="36">
      <c r="A98" s="821">
        <v>38</v>
      </c>
      <c r="B98" s="3390"/>
      <c r="C98" s="821" t="s">
        <v>691</v>
      </c>
      <c r="D98" s="757" t="s">
        <v>692</v>
      </c>
      <c r="E98" s="834">
        <v>0.2</v>
      </c>
      <c r="F98" s="821">
        <v>30</v>
      </c>
    </row>
    <row r="99" spans="1:6" s="817" customFormat="1" ht="36">
      <c r="A99" s="821">
        <v>39</v>
      </c>
      <c r="B99" s="3390" t="s">
        <v>693</v>
      </c>
      <c r="C99" s="821" t="s">
        <v>694</v>
      </c>
      <c r="D99" s="757" t="s">
        <v>695</v>
      </c>
      <c r="E99" s="834">
        <v>0.3</v>
      </c>
      <c r="F99" s="821">
        <v>50</v>
      </c>
    </row>
    <row r="100" spans="1:6" s="817" customFormat="1" ht="24">
      <c r="A100" s="821">
        <v>40</v>
      </c>
      <c r="B100" s="3390"/>
      <c r="C100" s="821" t="s">
        <v>696</v>
      </c>
      <c r="D100" s="757" t="s">
        <v>697</v>
      </c>
      <c r="E100" s="834">
        <v>0.2</v>
      </c>
      <c r="F100" s="821">
        <v>30</v>
      </c>
    </row>
    <row r="101" spans="1:6" s="817" customFormat="1" ht="36">
      <c r="A101" s="821">
        <v>41</v>
      </c>
      <c r="B101" s="339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0" t="s">
        <v>708</v>
      </c>
      <c r="C105" s="821" t="s">
        <v>709</v>
      </c>
      <c r="D105" s="757" t="s">
        <v>710</v>
      </c>
      <c r="E105" s="834">
        <v>0.2</v>
      </c>
      <c r="F105" s="821">
        <v>30</v>
      </c>
    </row>
    <row r="106" spans="1:6" s="817" customFormat="1" ht="36">
      <c r="A106" s="821">
        <v>46</v>
      </c>
      <c r="B106" s="3390"/>
      <c r="C106" s="821" t="s">
        <v>711</v>
      </c>
      <c r="D106" s="757" t="s">
        <v>712</v>
      </c>
      <c r="E106" s="834">
        <v>0.2</v>
      </c>
      <c r="F106" s="821">
        <v>30</v>
      </c>
    </row>
    <row r="107" spans="1:6" s="817" customFormat="1" ht="36">
      <c r="A107" s="821">
        <v>47</v>
      </c>
      <c r="B107" s="3390" t="s">
        <v>713</v>
      </c>
      <c r="C107" s="821" t="s">
        <v>714</v>
      </c>
      <c r="D107" s="757" t="s">
        <v>715</v>
      </c>
      <c r="E107" s="834">
        <v>0.3</v>
      </c>
      <c r="F107" s="821">
        <v>50</v>
      </c>
    </row>
    <row r="108" spans="1:6" s="817" customFormat="1" ht="36">
      <c r="A108" s="821">
        <v>48</v>
      </c>
      <c r="B108" s="339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0" t="s">
        <v>724</v>
      </c>
      <c r="C111" s="821" t="s">
        <v>725</v>
      </c>
      <c r="D111" s="757" t="s">
        <v>726</v>
      </c>
      <c r="E111" s="834">
        <v>0.2</v>
      </c>
      <c r="F111" s="821">
        <v>30</v>
      </c>
    </row>
    <row r="112" spans="1:6" s="817" customFormat="1" ht="24">
      <c r="A112" s="821">
        <v>52</v>
      </c>
      <c r="B112" s="3390"/>
      <c r="C112" s="821" t="s">
        <v>727</v>
      </c>
      <c r="D112" s="757" t="s">
        <v>728</v>
      </c>
      <c r="E112" s="834">
        <v>0.2</v>
      </c>
      <c r="F112" s="821">
        <v>30</v>
      </c>
    </row>
    <row r="113" spans="1:6" s="817" customFormat="1" ht="24">
      <c r="A113" s="821">
        <v>53</v>
      </c>
      <c r="B113" s="339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0" t="s">
        <v>737</v>
      </c>
      <c r="C116" s="821" t="s">
        <v>738</v>
      </c>
      <c r="D116" s="757" t="s">
        <v>739</v>
      </c>
      <c r="E116" s="834">
        <v>0.2</v>
      </c>
      <c r="F116" s="821">
        <v>30</v>
      </c>
    </row>
    <row r="117" spans="1:6" ht="36">
      <c r="A117" s="821">
        <v>57</v>
      </c>
      <c r="B117" s="339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3"/>
      <c r="G1" s="3023"/>
      <c r="H1" s="3023"/>
      <c r="I1" s="3023"/>
      <c r="J1" s="3023"/>
      <c r="K1" s="3023"/>
      <c r="L1" s="3023"/>
      <c r="M1" s="3023"/>
      <c r="N1" s="3023"/>
      <c r="O1" s="3023"/>
      <c r="P1" s="3023"/>
    </row>
    <row r="2" spans="1:16" ht="15.75">
      <c r="A2" s="2361" t="s">
        <v>2813</v>
      </c>
      <c r="B2" s="2827" t="e">
        <f ca="1">SUMIF(B6:B13,"&lt;&gt;#ref!",B6:B13)</f>
        <v>#DIV/0!</v>
      </c>
      <c r="C2" s="2361" t="s">
        <v>2814</v>
      </c>
      <c r="D2" s="2361" t="s">
        <v>2815</v>
      </c>
      <c r="E2" s="2837">
        <f ca="1">SUMIF(E6:E13,"&lt;&gt;#ref!",E6:E13)</f>
        <v>0</v>
      </c>
      <c r="F2" s="3023"/>
      <c r="G2" s="3023"/>
      <c r="H2" s="3023"/>
      <c r="I2" s="3023"/>
      <c r="J2" s="3023"/>
      <c r="K2" s="3023"/>
      <c r="L2" s="3023"/>
      <c r="M2" s="3023"/>
      <c r="N2" s="3023"/>
      <c r="O2" s="3023"/>
      <c r="P2" s="3023"/>
    </row>
    <row r="3" spans="1:16" ht="15.75">
      <c r="A3" s="2361" t="s">
        <v>2816</v>
      </c>
      <c r="B3" s="2827" t="e">
        <f ca="1">ROUND(B2*10000/E2,0)</f>
        <v>#DIV/0!</v>
      </c>
      <c r="C3" s="2361"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2"/>
      <c r="D5" s="3023"/>
      <c r="E5" s="2836" t="s">
        <v>2819</v>
      </c>
      <c r="F5" s="3023"/>
      <c r="G5" s="3023"/>
      <c r="H5" s="3023"/>
      <c r="I5" s="3023"/>
      <c r="J5" s="3023"/>
      <c r="K5" s="3023"/>
      <c r="L5" s="3023"/>
      <c r="M5" s="3023"/>
      <c r="N5" s="3023"/>
      <c r="O5" s="3023"/>
      <c r="P5" s="3023"/>
    </row>
    <row r="6" spans="1:16" ht="15.75">
      <c r="A6" s="2834" t="s">
        <v>2820</v>
      </c>
      <c r="B6" s="2827" t="e">
        <f ca="1">SUMIF(INDIRECT("'"&amp;A6&amp;"'"&amp;"!A:A"),"总价",INDIRECT("'"&amp;A6&amp;"'"&amp;"!B:B"))</f>
        <v>#DIV/0!</v>
      </c>
      <c r="C6" s="2361" t="s">
        <v>2814</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1"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6" t="s">
        <v>1117</v>
      </c>
      <c r="C1" s="3396"/>
      <c r="D1" s="3396"/>
      <c r="E1" s="3396"/>
      <c r="F1" s="3396"/>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0">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3062</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0">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3061</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9">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3060</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3">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3058</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2">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3057</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9">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2871</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2869</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2868</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2867</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2865</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2863</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2866</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92">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2861</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92"/>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2860</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92"/>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2853</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01"/>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2851</v>
      </c>
      <c r="B21" s="2438">
        <v>439</v>
      </c>
      <c r="C21" s="2438">
        <v>327</v>
      </c>
      <c r="D21" s="2438">
        <f>C21</f>
        <v>327</v>
      </c>
      <c r="E21" s="2438">
        <v>627</v>
      </c>
      <c r="F21" s="2439">
        <v>283</v>
      </c>
      <c r="G21" s="3397">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2852</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92"/>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92"/>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01"/>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97">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92"/>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92"/>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93"/>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91">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92"/>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92"/>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93"/>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91">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92"/>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92"/>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93"/>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98">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99"/>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99"/>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00"/>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91">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92"/>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92"/>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93"/>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91">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92">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92">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93">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91">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92">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92">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93">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91">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92">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92">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93">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91">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92">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92">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93">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91">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92">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92">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93">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91">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92">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92">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93">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91">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92">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92">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93">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91">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92">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92">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93">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91">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92">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92">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93">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91">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92">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92">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93">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7" sqref="L7"/>
      <selection pane="bottomLeft" activeCell="L7" sqref="L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05" t="s">
        <v>2824</v>
      </c>
      <c r="D1" s="3406"/>
      <c r="E1" s="3406"/>
      <c r="F1" s="3406"/>
      <c r="G1" s="3406"/>
      <c r="H1" s="3406"/>
      <c r="I1" s="3406"/>
      <c r="J1" s="3406"/>
      <c r="K1" s="3406"/>
      <c r="L1" s="3406"/>
      <c r="M1" s="3406"/>
      <c r="N1" s="3406"/>
      <c r="O1" s="3406"/>
      <c r="P1" s="3406"/>
      <c r="Q1" s="3406"/>
      <c r="R1" s="3406"/>
      <c r="S1" s="340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2" t="s">
        <v>33</v>
      </c>
      <c r="D22" s="3403"/>
      <c r="E22" s="3403"/>
      <c r="F22" s="3403"/>
      <c r="G22" s="3403"/>
      <c r="H22" s="3403"/>
      <c r="I22" s="3403"/>
      <c r="J22" s="3403"/>
      <c r="K22" s="3403"/>
      <c r="L22" s="3403"/>
      <c r="M22" s="3403"/>
      <c r="N22" s="3403"/>
      <c r="O22" s="3403"/>
      <c r="P22" s="3403"/>
      <c r="Q22" s="340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678"/>
      <c r="B4" s="3077" t="s">
        <v>1595</v>
      </c>
      <c r="C4" s="3077"/>
      <c r="D4" s="3077"/>
      <c r="E4" s="1678"/>
    </row>
    <row r="5" spans="1:5" ht="16.5" thickTop="1">
      <c r="A5" s="1676"/>
      <c r="B5" s="3075" t="s">
        <v>1587</v>
      </c>
      <c r="C5" s="1679" t="s">
        <v>1588</v>
      </c>
      <c r="D5" s="959">
        <f ca="1">结果表!H101</f>
        <v>52627</v>
      </c>
      <c r="E5" s="1676"/>
    </row>
    <row r="6" spans="1:5" ht="15.75">
      <c r="A6" s="1676"/>
      <c r="B6" s="3075"/>
      <c r="C6" s="1679" t="s">
        <v>1589</v>
      </c>
      <c r="D6" s="959" t="str">
        <f ca="1">NUMBERSTRING(INT(D5*10000),2)&amp;"元整"</f>
        <v>伍亿贰仟陆佰贰拾柒万元整</v>
      </c>
      <c r="E6" s="1676"/>
    </row>
    <row r="7" spans="1:5" ht="15.75">
      <c r="A7" s="1676"/>
      <c r="B7" s="3080"/>
      <c r="C7" s="1680" t="s">
        <v>1590</v>
      </c>
      <c r="D7" s="960">
        <f ca="1">结果表!H102</f>
        <v>10547</v>
      </c>
      <c r="E7" s="1676"/>
    </row>
    <row r="8" spans="1:5" ht="15.75">
      <c r="A8" s="1676"/>
      <c r="B8" s="3081" t="str">
        <f>结果表!E103</f>
        <v>2.估价师知悉的法定优先受偿款</v>
      </c>
      <c r="C8" s="1681" t="s">
        <v>1591</v>
      </c>
      <c r="D8" s="960">
        <f>结果表!H103</f>
        <v>0</v>
      </c>
      <c r="E8" s="1676"/>
    </row>
    <row r="9" spans="1:5" ht="15.75">
      <c r="A9" s="1676"/>
      <c r="B9" s="308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4" t="str">
        <f>结果表!E107</f>
        <v>3.房地产抵押价值</v>
      </c>
      <c r="C13" s="1684" t="s">
        <v>1588</v>
      </c>
      <c r="D13" s="962">
        <f ca="1">结果表!H107</f>
        <v>52627</v>
      </c>
      <c r="E13" s="1676"/>
    </row>
    <row r="14" spans="1:5" ht="15.75">
      <c r="A14" s="1676"/>
      <c r="B14" s="3075"/>
      <c r="C14" s="1679" t="s">
        <v>1589</v>
      </c>
      <c r="D14" s="959" t="str">
        <f ca="1">NUMBERSTRING(INT(D13*10000),2)&amp;"元整"</f>
        <v>伍亿贰仟陆佰贰拾柒万元整</v>
      </c>
      <c r="E14" s="1676"/>
    </row>
    <row r="15" spans="1:5" ht="15">
      <c r="A15" s="1676"/>
      <c r="B15" s="3080"/>
      <c r="C15" s="1680" t="s">
        <v>1599</v>
      </c>
      <c r="D15" s="968">
        <f ca="1">结果表!H108</f>
        <v>10547</v>
      </c>
      <c r="E15" s="1676"/>
    </row>
    <row r="16" spans="1:5" ht="15">
      <c r="A16" s="1676"/>
      <c r="B16" s="3081" t="str">
        <f>结果表!E109</f>
        <v>——</v>
      </c>
      <c r="C16" s="1684" t="s">
        <v>1600</v>
      </c>
      <c r="D16" s="1685" t="str">
        <f>结果表!H109</f>
        <v>——</v>
      </c>
      <c r="E16" s="1676"/>
    </row>
    <row r="17" spans="1:5" ht="15.75">
      <c r="A17" s="1676"/>
      <c r="B17" s="3082"/>
      <c r="C17" s="1679" t="s">
        <v>1601</v>
      </c>
      <c r="D17" s="959" t="e">
        <f>NUMBERSTRING(INT(D16*10000),2)&amp;"元整"</f>
        <v>#VALUE!</v>
      </c>
      <c r="E17" s="1676"/>
    </row>
    <row r="18" spans="1:5" ht="15">
      <c r="A18" s="1676"/>
      <c r="B18" s="3083"/>
      <c r="C18" s="1680" t="s">
        <v>1590</v>
      </c>
      <c r="D18" s="968" t="str">
        <f>结果表!H110</f>
        <v>——</v>
      </c>
      <c r="E18" s="1676"/>
    </row>
    <row r="19" spans="1:5" ht="15.75">
      <c r="A19" s="1676"/>
      <c r="B19" s="3074" t="str">
        <f>结果表!E111</f>
        <v>——</v>
      </c>
      <c r="C19" s="1684" t="s">
        <v>1588</v>
      </c>
      <c r="D19" s="960" t="str">
        <f>结果表!H111</f>
        <v>——</v>
      </c>
      <c r="E19" s="1676"/>
    </row>
    <row r="20" spans="1:5" ht="15.75">
      <c r="A20" s="1676"/>
      <c r="B20" s="3075"/>
      <c r="C20" s="1679" t="s">
        <v>1601</v>
      </c>
      <c r="D20" s="959" t="e">
        <f>NUMBERSTRING(INT(D19*10000),2)&amp;"元整"</f>
        <v>#VALUE!</v>
      </c>
      <c r="E20" s="1676"/>
    </row>
    <row r="21" spans="1:5" ht="15.75" thickBot="1">
      <c r="A21" s="1676"/>
      <c r="B21" s="307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65551</v>
      </c>
      <c r="C2" s="2" t="s">
        <v>133</v>
      </c>
      <c r="D2" s="205"/>
      <c r="E2" s="205"/>
      <c r="F2" s="205"/>
      <c r="G2" s="205"/>
    </row>
    <row r="3" spans="1:7" s="206" customFormat="1" ht="18" customHeight="1" thickBot="1">
      <c r="A3" s="209" t="s">
        <v>85</v>
      </c>
      <c r="B3" s="210">
        <f ca="1">ROUND(B2*10000/'数据-汇总表'!E3,0)</f>
        <v>13137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1272</v>
      </c>
      <c r="D10" s="954">
        <f>'数据-汇总表'!E6</f>
        <v>49897.21</v>
      </c>
      <c r="E10" s="231">
        <f>'数据-取费表'!B28</f>
        <v>255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998</v>
      </c>
      <c r="D19" s="958">
        <f>'数据-汇总表'!E3</f>
        <v>49897.21</v>
      </c>
      <c r="E19" s="217">
        <f>'数据-取费表'!B31</f>
        <v>200</v>
      </c>
      <c r="F19" s="237"/>
      <c r="G19" s="1" t="s">
        <v>1042</v>
      </c>
    </row>
    <row r="20" spans="1:7" s="220" customFormat="1" ht="13.5" customHeight="1">
      <c r="A20" s="885" t="s">
        <v>1025</v>
      </c>
      <c r="B20" s="216" t="s">
        <v>104</v>
      </c>
      <c r="C20" s="238">
        <f>ROUND((C5+C19)*F20,0)</f>
        <v>432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1940</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89</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661</v>
      </c>
      <c r="D27" s="241">
        <f>C29</f>
        <v>5.9999999999999995E-4</v>
      </c>
      <c r="E27" s="242" t="s">
        <v>126</v>
      </c>
      <c r="F27" s="252">
        <f>'数据-取费表'!Q16</f>
        <v>0.03</v>
      </c>
      <c r="G27" s="253" t="s">
        <v>1037</v>
      </c>
    </row>
    <row r="28" spans="1:7" s="220" customFormat="1" ht="13.5" customHeight="1">
      <c r="A28" s="888" t="s">
        <v>794</v>
      </c>
      <c r="B28" s="254" t="s">
        <v>1030</v>
      </c>
      <c r="C28" s="255">
        <f>ROUND((C5+C19+C20)*F27*'数据-取费表'!B21/'数据-取费表'!B20,0)</f>
        <v>661</v>
      </c>
      <c r="D28" s="241"/>
      <c r="E28" s="242"/>
      <c r="F28" s="252"/>
      <c r="G28" s="253"/>
    </row>
    <row r="29" spans="1:7" s="220" customFormat="1" ht="13.5" customHeight="1">
      <c r="A29" s="888" t="s">
        <v>792</v>
      </c>
      <c r="B29" s="254" t="s">
        <v>1031</v>
      </c>
      <c r="C29" s="244">
        <f>ROUND(C21*F27*'数据-取费表'!B21/'数据-取费表'!B20,4)</f>
        <v>5.9999999999999995E-4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32882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29938</v>
      </c>
      <c r="D34" s="223"/>
      <c r="E34" s="226"/>
      <c r="F34" s="263">
        <f>IF('数据-取费表'!B24=0,1,'数据-取费表'!N16)</f>
        <v>1</v>
      </c>
      <c r="G34" s="225" t="s">
        <v>116</v>
      </c>
    </row>
    <row r="35" spans="1:7" ht="13.5" customHeight="1">
      <c r="A35" s="888" t="s">
        <v>796</v>
      </c>
      <c r="B35" s="221" t="s">
        <v>60</v>
      </c>
      <c r="C35" s="226">
        <f>ROUND(C34*F35,0)</f>
        <v>1497</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998</v>
      </c>
      <c r="D37" s="223">
        <f>'数据-汇总表'!E3</f>
        <v>49897.21</v>
      </c>
      <c r="E37" s="255">
        <f>'数据-取费表'!B35</f>
        <v>200</v>
      </c>
      <c r="F37" s="265"/>
      <c r="G37" s="267" t="s">
        <v>119</v>
      </c>
    </row>
    <row r="38" spans="1:7" ht="13.5" customHeight="1">
      <c r="A38" s="888" t="s">
        <v>799</v>
      </c>
      <c r="B38" s="221" t="s">
        <v>63</v>
      </c>
      <c r="C38" s="226">
        <f>ROUND(C34*F38,0)</f>
        <v>449</v>
      </c>
      <c r="D38" s="226"/>
      <c r="E38" s="226"/>
      <c r="F38" s="265">
        <f>'数据-取费表'!B36</f>
        <v>1.4999999999999999E-2</v>
      </c>
      <c r="G38" s="225" t="s">
        <v>117</v>
      </c>
    </row>
    <row r="39" spans="1:7" s="220" customFormat="1" ht="13.5" customHeight="1">
      <c r="A39" s="885" t="s">
        <v>783</v>
      </c>
      <c r="B39" s="216" t="s">
        <v>104</v>
      </c>
      <c r="C39" s="238">
        <f>ROUND(C33*F20,0)</f>
        <v>658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1430</v>
      </c>
      <c r="D42" s="244"/>
      <c r="E42" s="244"/>
      <c r="F42" s="245"/>
      <c r="G42" s="3262" t="s">
        <v>121</v>
      </c>
    </row>
    <row r="43" spans="1:7" ht="13.5" customHeight="1">
      <c r="A43" s="888" t="s">
        <v>792</v>
      </c>
      <c r="B43" s="221" t="s">
        <v>1032</v>
      </c>
      <c r="C43" s="244">
        <f ca="1">ROUND(IF('数据-取费表'!B22&lt;=1,C39*F22*'数据-取费表'!B21/2,C39*(POWER((1+F22),'数据-取费表'!B21/2)-1)),0)</f>
        <v>29</v>
      </c>
      <c r="D43" s="244"/>
      <c r="E43" s="244"/>
      <c r="F43" s="245"/>
      <c r="G43" s="3263"/>
    </row>
    <row r="44" spans="1:7" ht="13.5" customHeight="1">
      <c r="A44" s="888" t="s">
        <v>793</v>
      </c>
      <c r="B44" s="221" t="s">
        <v>1034</v>
      </c>
      <c r="C44" s="244">
        <f ca="1">ROUND(IF('数据-取费表'!B22&lt;=1,C40*F22*'数据-取费表'!B21/2,C40*(POWER((1+F22),'数据-取费表'!B21/2)-1)),4)</f>
        <v>8.9999999999999998E-4</v>
      </c>
      <c r="D44" s="244"/>
      <c r="E44" s="244"/>
      <c r="F44" s="245"/>
      <c r="G44" s="3264"/>
    </row>
    <row r="45" spans="1:7" s="220" customFormat="1" ht="13.5" customHeight="1">
      <c r="A45" s="885" t="s">
        <v>786</v>
      </c>
      <c r="B45" s="250" t="s">
        <v>112</v>
      </c>
      <c r="C45" s="251">
        <f>C46</f>
        <v>1006</v>
      </c>
      <c r="D45" s="241">
        <f>C47</f>
        <v>5.9999999999999995E-4</v>
      </c>
      <c r="E45" s="242" t="s">
        <v>129</v>
      </c>
      <c r="F45" s="252"/>
      <c r="G45" s="253" t="s">
        <v>1040</v>
      </c>
    </row>
    <row r="46" spans="1:7" s="220" customFormat="1" ht="13.5" customHeight="1">
      <c r="A46" s="888" t="s">
        <v>794</v>
      </c>
      <c r="B46" s="254" t="s">
        <v>1033</v>
      </c>
      <c r="C46" s="255">
        <f>ROUND((C33+C39)*F27,0)</f>
        <v>1006</v>
      </c>
      <c r="D46" s="269"/>
      <c r="E46" s="242"/>
      <c r="F46" s="252"/>
      <c r="G46" s="253"/>
    </row>
    <row r="47" spans="1:7" s="220" customFormat="1" ht="13.5" customHeight="1">
      <c r="A47" s="888" t="s">
        <v>792</v>
      </c>
      <c r="B47" s="254" t="s">
        <v>1035</v>
      </c>
      <c r="C47" s="244">
        <f>ROUND(C40*F27,4)</f>
        <v>5.9999999999999995E-4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38917</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38917</v>
      </c>
      <c r="D51" s="238"/>
      <c r="E51" s="238"/>
      <c r="F51" s="270"/>
      <c r="G51" s="240" t="s">
        <v>64</v>
      </c>
    </row>
    <row r="52" spans="1:7" s="214" customFormat="1" ht="16.5" thickBot="1">
      <c r="A52" s="271" t="s">
        <v>65</v>
      </c>
      <c r="B52" s="272"/>
      <c r="C52" s="273">
        <f ca="1">C31+C51</f>
        <v>65551</v>
      </c>
      <c r="D52" s="272"/>
      <c r="E52" s="272"/>
      <c r="F52" s="272"/>
      <c r="G52" s="274"/>
    </row>
    <row r="55" spans="1:7" ht="15">
      <c r="B55" s="276" t="s">
        <v>66</v>
      </c>
      <c r="C55" s="277"/>
    </row>
    <row r="56" spans="1:7">
      <c r="B56" s="279" t="s">
        <v>67</v>
      </c>
      <c r="C56" s="280">
        <f ca="1">ROUND(C51/C52,3)</f>
        <v>0.59399999999999997</v>
      </c>
    </row>
    <row r="57" spans="1:7">
      <c r="B57" s="279" t="s">
        <v>68</v>
      </c>
      <c r="C57" s="281">
        <f ca="1">1-C56</f>
        <v>0.40600000000000003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8" t="s">
        <v>156</v>
      </c>
      <c r="B1" s="3408"/>
      <c r="C1" s="3408"/>
      <c r="D1" s="3408"/>
      <c r="E1" s="3408"/>
      <c r="F1" s="34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9" t="s">
        <v>169</v>
      </c>
      <c r="B2" s="3409"/>
      <c r="C2" s="3409"/>
      <c r="D2" s="3409"/>
      <c r="E2" s="3409"/>
      <c r="F2" s="34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8" t="s">
        <v>839</v>
      </c>
      <c r="B1" s="340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44525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3059</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K7" sqref="K7"/>
    </sheetView>
  </sheetViews>
  <sheetFormatPr defaultRowHeight="12"/>
  <cols>
    <col min="1" max="1" width="30.25" style="3064" customWidth="1"/>
    <col min="2" max="2" width="16.75" style="3064" customWidth="1"/>
    <col min="3" max="3" width="11.875" style="3064" customWidth="1"/>
    <col min="4" max="4" width="9" style="3064" customWidth="1"/>
    <col min="5" max="8" width="20" style="3064" customWidth="1"/>
    <col min="9" max="10" width="10.75" style="3064" customWidth="1"/>
    <col min="11" max="11" width="9.375" style="3064" customWidth="1"/>
    <col min="12" max="12" width="8.75" style="3064" customWidth="1"/>
    <col min="13" max="13" width="10.75" style="3064" customWidth="1"/>
    <col min="14" max="14" width="20" style="3064" customWidth="1"/>
    <col min="15" max="16384" width="9" style="3064"/>
  </cols>
  <sheetData>
    <row r="1" spans="1:13">
      <c r="A1" s="3063" t="s">
        <v>3077</v>
      </c>
      <c r="B1" s="3063" t="s">
        <v>3078</v>
      </c>
      <c r="C1" s="3063" t="s">
        <v>3079</v>
      </c>
      <c r="D1" s="3063" t="s">
        <v>3080</v>
      </c>
      <c r="E1" s="3063" t="s">
        <v>3081</v>
      </c>
      <c r="F1" s="3063" t="s">
        <v>3082</v>
      </c>
      <c r="G1" s="3063" t="s">
        <v>3083</v>
      </c>
      <c r="H1" s="3063" t="s">
        <v>3084</v>
      </c>
      <c r="I1" s="3063" t="s">
        <v>3085</v>
      </c>
      <c r="J1" s="3063" t="s">
        <v>3086</v>
      </c>
      <c r="K1" s="3063" t="s">
        <v>3087</v>
      </c>
      <c r="L1" s="3063" t="s">
        <v>3088</v>
      </c>
      <c r="M1" s="3063" t="s">
        <v>3089</v>
      </c>
    </row>
    <row r="2" spans="1:13" s="3067" customFormat="1">
      <c r="A2" s="3065" t="s">
        <v>3090</v>
      </c>
      <c r="B2" s="3065" t="s">
        <v>3091</v>
      </c>
      <c r="C2" s="3065">
        <v>21755</v>
      </c>
      <c r="D2" s="3065">
        <v>10877.5</v>
      </c>
      <c r="E2" s="3065">
        <v>0.5</v>
      </c>
      <c r="F2" s="3065" t="s">
        <v>3092</v>
      </c>
      <c r="G2" s="3066">
        <v>44466.000497685185</v>
      </c>
      <c r="H2" s="3065" t="s">
        <v>3093</v>
      </c>
      <c r="I2" s="3065">
        <v>5122.8999999999996</v>
      </c>
      <c r="J2" s="3065">
        <v>156.99</v>
      </c>
      <c r="K2" s="3065">
        <v>4710</v>
      </c>
      <c r="L2" s="3065">
        <v>0</v>
      </c>
      <c r="M2" s="3065" t="s">
        <v>3094</v>
      </c>
    </row>
    <row r="3" spans="1:13">
      <c r="A3" s="3063" t="s">
        <v>3095</v>
      </c>
      <c r="B3" s="3063" t="s">
        <v>3096</v>
      </c>
      <c r="C3" s="3063">
        <v>12124</v>
      </c>
      <c r="D3" s="3063">
        <v>18186</v>
      </c>
      <c r="E3" s="3063">
        <v>1.5</v>
      </c>
      <c r="F3" s="3063" t="s">
        <v>3097</v>
      </c>
      <c r="G3" s="3068">
        <v>44439.000497685185</v>
      </c>
      <c r="H3" s="3063" t="s">
        <v>3098</v>
      </c>
      <c r="I3" s="3063">
        <v>1582.52</v>
      </c>
      <c r="J3" s="3063">
        <v>87.02</v>
      </c>
      <c r="K3" s="3063">
        <v>870</v>
      </c>
      <c r="L3" s="3063">
        <v>0</v>
      </c>
      <c r="M3" s="3063" t="s">
        <v>3099</v>
      </c>
    </row>
    <row r="4" spans="1:13">
      <c r="A4" s="3063" t="s">
        <v>3100</v>
      </c>
      <c r="B4" s="3063" t="s">
        <v>3091</v>
      </c>
      <c r="C4" s="3063">
        <v>2250</v>
      </c>
      <c r="D4" s="3063">
        <v>2475</v>
      </c>
      <c r="E4" s="3063" t="s">
        <v>3101</v>
      </c>
      <c r="F4" s="3063" t="s">
        <v>3102</v>
      </c>
      <c r="G4" s="3068">
        <v>44278.000497685185</v>
      </c>
      <c r="H4" s="3063" t="s">
        <v>3103</v>
      </c>
      <c r="I4" s="3063">
        <v>5374</v>
      </c>
      <c r="J4" s="3063">
        <v>1592.3</v>
      </c>
      <c r="K4" s="3063">
        <v>21713</v>
      </c>
      <c r="L4" s="3063">
        <v>429.98</v>
      </c>
      <c r="M4" s="3063" t="s">
        <v>3104</v>
      </c>
    </row>
    <row r="5" spans="1:13" s="3067" customFormat="1">
      <c r="A5" s="3065" t="s">
        <v>3105</v>
      </c>
      <c r="B5" s="3065" t="s">
        <v>3106</v>
      </c>
      <c r="C5" s="3065">
        <v>5689</v>
      </c>
      <c r="D5" s="3065">
        <v>1991.15</v>
      </c>
      <c r="E5" s="3065" t="s">
        <v>3107</v>
      </c>
      <c r="F5" s="3065" t="s">
        <v>3108</v>
      </c>
      <c r="G5" s="3066">
        <v>44221.000497685185</v>
      </c>
      <c r="H5" s="3065" t="s">
        <v>3109</v>
      </c>
      <c r="I5" s="3065">
        <v>1300.97</v>
      </c>
      <c r="J5" s="3065">
        <v>152.44999999999999</v>
      </c>
      <c r="K5" s="3065">
        <v>6534</v>
      </c>
      <c r="L5" s="3065">
        <v>2.36</v>
      </c>
      <c r="M5" s="3065" t="s">
        <v>3110</v>
      </c>
    </row>
    <row r="6" spans="1:13">
      <c r="A6" s="3063" t="s">
        <v>3111</v>
      </c>
      <c r="B6" s="3063" t="s">
        <v>3112</v>
      </c>
      <c r="C6" s="3063">
        <v>3992</v>
      </c>
      <c r="D6" s="3063">
        <v>17964</v>
      </c>
      <c r="E6" s="3063" t="s">
        <v>3113</v>
      </c>
      <c r="F6" s="3063" t="s">
        <v>3114</v>
      </c>
      <c r="G6" s="3068">
        <v>44165.000497685185</v>
      </c>
      <c r="H6" s="3063" t="s">
        <v>3115</v>
      </c>
      <c r="I6" s="3063">
        <v>2054.5700000000002</v>
      </c>
      <c r="J6" s="3063">
        <v>343.11</v>
      </c>
      <c r="K6" s="3063">
        <v>1144</v>
      </c>
      <c r="L6" s="3063">
        <v>0</v>
      </c>
      <c r="M6" s="3063" t="s">
        <v>3104</v>
      </c>
    </row>
    <row r="7" spans="1:13" s="3071" customFormat="1">
      <c r="A7" s="3069" t="s">
        <v>3116</v>
      </c>
      <c r="B7" s="3069" t="s">
        <v>3117</v>
      </c>
      <c r="C7" s="3069">
        <v>125939</v>
      </c>
      <c r="D7" s="3069">
        <v>62969.5</v>
      </c>
      <c r="E7" s="3069" t="s">
        <v>3118</v>
      </c>
      <c r="F7" s="3069" t="s">
        <v>3119</v>
      </c>
      <c r="G7" s="3070">
        <v>44155.000497685185</v>
      </c>
      <c r="H7" s="3069" t="s">
        <v>3120</v>
      </c>
      <c r="I7" s="3069">
        <v>14734.97</v>
      </c>
      <c r="J7" s="3069">
        <v>78</v>
      </c>
      <c r="K7" s="3069">
        <v>2340</v>
      </c>
      <c r="L7" s="3069">
        <v>0</v>
      </c>
      <c r="M7" s="3069" t="s">
        <v>3104</v>
      </c>
    </row>
    <row r="8" spans="1:13">
      <c r="A8" s="3063" t="s">
        <v>3121</v>
      </c>
      <c r="B8" s="3063" t="s">
        <v>3096</v>
      </c>
      <c r="C8" s="3063">
        <v>7808</v>
      </c>
      <c r="D8" s="3063">
        <v>15225.6</v>
      </c>
      <c r="E8" s="3063" t="s">
        <v>3122</v>
      </c>
      <c r="F8" s="3063" t="s">
        <v>3114</v>
      </c>
      <c r="G8" s="3068">
        <v>44123.000497685185</v>
      </c>
      <c r="H8" s="3063" t="s">
        <v>3123</v>
      </c>
      <c r="I8" s="3063">
        <v>1134.1600000000001</v>
      </c>
      <c r="J8" s="3063">
        <v>96.84</v>
      </c>
      <c r="K8" s="3063">
        <v>745</v>
      </c>
      <c r="L8" s="3063">
        <v>0.89</v>
      </c>
      <c r="M8" s="3063" t="s">
        <v>3104</v>
      </c>
    </row>
    <row r="9" spans="1:13">
      <c r="A9" s="3063" t="s">
        <v>3124</v>
      </c>
      <c r="B9" s="3063" t="s">
        <v>3125</v>
      </c>
      <c r="C9" s="3063">
        <v>25796</v>
      </c>
      <c r="D9" s="3063">
        <v>39983.800000000003</v>
      </c>
      <c r="E9" s="3063" t="s">
        <v>3126</v>
      </c>
      <c r="F9" s="3063" t="s">
        <v>3102</v>
      </c>
      <c r="G9" s="3068">
        <v>44123.000497685185</v>
      </c>
      <c r="H9" s="3063" t="s">
        <v>3127</v>
      </c>
      <c r="I9" s="3063">
        <v>3211.26</v>
      </c>
      <c r="J9" s="3063">
        <v>82.99</v>
      </c>
      <c r="K9" s="3063">
        <v>803</v>
      </c>
      <c r="L9" s="3063">
        <v>0</v>
      </c>
      <c r="M9" s="3063" t="s">
        <v>3104</v>
      </c>
    </row>
    <row r="10" spans="1:13">
      <c r="A10" s="3063" t="s">
        <v>3128</v>
      </c>
      <c r="B10" s="3063" t="s">
        <v>3129</v>
      </c>
      <c r="C10" s="3063">
        <v>16614</v>
      </c>
      <c r="D10" s="3063">
        <v>41535</v>
      </c>
      <c r="E10" s="3063" t="s">
        <v>3130</v>
      </c>
      <c r="F10" s="3063" t="s">
        <v>3131</v>
      </c>
      <c r="G10" s="3068">
        <v>44120.000497685185</v>
      </c>
      <c r="H10" s="3063" t="s">
        <v>3132</v>
      </c>
      <c r="I10" s="3063">
        <v>7750.11</v>
      </c>
      <c r="J10" s="3063">
        <v>310.99</v>
      </c>
      <c r="K10" s="3063">
        <v>1866</v>
      </c>
      <c r="L10" s="3063">
        <v>0</v>
      </c>
      <c r="M10" s="3063" t="s">
        <v>3094</v>
      </c>
    </row>
    <row r="11" spans="1:13">
      <c r="A11" s="3063" t="s">
        <v>3133</v>
      </c>
      <c r="B11" s="3063" t="s">
        <v>3091</v>
      </c>
      <c r="C11" s="3063">
        <v>50642</v>
      </c>
      <c r="D11" s="3063">
        <v>131669.20000000001</v>
      </c>
      <c r="E11" s="3063" t="s">
        <v>3134</v>
      </c>
      <c r="F11" s="3063" t="s">
        <v>3135</v>
      </c>
      <c r="G11" s="3068">
        <v>44085.000497685185</v>
      </c>
      <c r="H11" s="3063" t="s">
        <v>3136</v>
      </c>
      <c r="I11" s="3063">
        <v>27345.59</v>
      </c>
      <c r="J11" s="3063">
        <v>359.99</v>
      </c>
      <c r="K11" s="3063">
        <v>2077</v>
      </c>
      <c r="L11" s="3063">
        <v>0</v>
      </c>
      <c r="M11" s="3063" t="s">
        <v>3104</v>
      </c>
    </row>
    <row r="12" spans="1:13">
      <c r="A12" s="3063" t="s">
        <v>3137</v>
      </c>
      <c r="B12" s="3063" t="s">
        <v>3096</v>
      </c>
      <c r="C12" s="3063">
        <v>35360</v>
      </c>
      <c r="D12" s="3063">
        <v>106080</v>
      </c>
      <c r="E12" s="3063" t="s">
        <v>3138</v>
      </c>
      <c r="F12" s="3063" t="s">
        <v>3097</v>
      </c>
      <c r="G12" s="3068">
        <v>43945.000497685185</v>
      </c>
      <c r="H12" s="3063" t="s">
        <v>3139</v>
      </c>
      <c r="I12" s="3063">
        <v>5144.88</v>
      </c>
      <c r="J12" s="3063">
        <v>97</v>
      </c>
      <c r="K12" s="3063">
        <v>485</v>
      </c>
      <c r="L12" s="3063">
        <v>0</v>
      </c>
      <c r="M12" s="3063" t="s">
        <v>3094</v>
      </c>
    </row>
    <row r="13" spans="1:13">
      <c r="A13" s="3063" t="s">
        <v>3140</v>
      </c>
      <c r="B13" s="3063" t="s">
        <v>3091</v>
      </c>
      <c r="C13" s="3063">
        <v>26158</v>
      </c>
      <c r="D13" s="3063">
        <v>94168.8</v>
      </c>
      <c r="E13" s="3063" t="s">
        <v>3141</v>
      </c>
      <c r="F13" s="3063" t="s">
        <v>3142</v>
      </c>
      <c r="G13" s="3068">
        <v>43815.000497685185</v>
      </c>
      <c r="H13" s="3063" t="s">
        <v>3143</v>
      </c>
      <c r="I13" s="3063">
        <v>24799.68</v>
      </c>
      <c r="J13" s="3063">
        <v>632.04999999999995</v>
      </c>
      <c r="K13" s="3063">
        <v>2634</v>
      </c>
      <c r="L13" s="3063">
        <v>0</v>
      </c>
      <c r="M13" s="3063" t="s">
        <v>3094</v>
      </c>
    </row>
    <row r="14" spans="1:13">
      <c r="A14" s="3063" t="s">
        <v>3144</v>
      </c>
      <c r="B14" s="3063" t="s">
        <v>3106</v>
      </c>
      <c r="C14" s="3063">
        <v>55963</v>
      </c>
      <c r="D14" s="3063">
        <v>128714.9</v>
      </c>
      <c r="E14" s="3063" t="s">
        <v>3145</v>
      </c>
      <c r="F14" s="3063" t="s">
        <v>3146</v>
      </c>
      <c r="G14" s="3068">
        <v>43777.000497685185</v>
      </c>
      <c r="H14" s="3063" t="s">
        <v>3147</v>
      </c>
      <c r="I14" s="3063">
        <v>12591.75</v>
      </c>
      <c r="J14" s="3063">
        <v>150</v>
      </c>
      <c r="K14" s="3063">
        <v>978</v>
      </c>
      <c r="L14" s="3063">
        <v>0</v>
      </c>
      <c r="M14" s="3063" t="s">
        <v>3094</v>
      </c>
    </row>
    <row r="15" spans="1:13">
      <c r="A15" s="3063" t="s">
        <v>3148</v>
      </c>
      <c r="B15" s="3063" t="s">
        <v>3125</v>
      </c>
      <c r="C15" s="3063">
        <v>36796</v>
      </c>
      <c r="D15" s="3063">
        <v>55194</v>
      </c>
      <c r="E15" s="3063" t="s">
        <v>3149</v>
      </c>
      <c r="F15" s="3063" t="s">
        <v>3102</v>
      </c>
      <c r="G15" s="3068">
        <v>43776.000497685185</v>
      </c>
      <c r="H15" s="3063" t="s">
        <v>3150</v>
      </c>
      <c r="I15" s="3063">
        <v>3090.63</v>
      </c>
      <c r="J15" s="3063">
        <v>56</v>
      </c>
      <c r="K15" s="3063">
        <v>560</v>
      </c>
      <c r="L15" s="3063">
        <v>0</v>
      </c>
      <c r="M15" s="3063" t="s">
        <v>3104</v>
      </c>
    </row>
    <row r="16" spans="1:13" s="3067" customFormat="1">
      <c r="A16" s="3065" t="s">
        <v>3151</v>
      </c>
      <c r="B16" s="3065" t="s">
        <v>3152</v>
      </c>
      <c r="C16" s="3065">
        <v>5157</v>
      </c>
      <c r="D16" s="3065">
        <v>3609.9</v>
      </c>
      <c r="E16" s="3065" t="s">
        <v>3153</v>
      </c>
      <c r="F16" s="3065" t="s">
        <v>3102</v>
      </c>
      <c r="G16" s="3066">
        <v>43769.000497685185</v>
      </c>
      <c r="H16" s="3065" t="s">
        <v>3109</v>
      </c>
      <c r="I16" s="3065">
        <v>1648.61</v>
      </c>
      <c r="J16" s="3065">
        <v>213.12</v>
      </c>
      <c r="K16" s="3065">
        <v>4567</v>
      </c>
      <c r="L16" s="3065">
        <v>0</v>
      </c>
      <c r="M16" s="3065" t="s">
        <v>3104</v>
      </c>
    </row>
    <row r="17" spans="1:13">
      <c r="A17" s="3063" t="s">
        <v>3154</v>
      </c>
      <c r="B17" s="3063" t="s">
        <v>3112</v>
      </c>
      <c r="C17" s="3063">
        <v>4630</v>
      </c>
      <c r="D17" s="3063">
        <v>18427.400000000001</v>
      </c>
      <c r="E17" s="3063" t="s">
        <v>3155</v>
      </c>
      <c r="F17" s="3063" t="s">
        <v>3114</v>
      </c>
      <c r="G17" s="3068">
        <v>43703.000497685185</v>
      </c>
      <c r="H17" s="3063" t="s">
        <v>3156</v>
      </c>
      <c r="I17" s="3063">
        <v>2905.09</v>
      </c>
      <c r="J17" s="3063">
        <v>418.3</v>
      </c>
      <c r="K17" s="3063">
        <v>1577</v>
      </c>
      <c r="L17" s="3063">
        <v>0</v>
      </c>
      <c r="M17" s="3063" t="s">
        <v>3104</v>
      </c>
    </row>
    <row r="18" spans="1:13">
      <c r="A18" s="3063" t="s">
        <v>3157</v>
      </c>
      <c r="B18" s="3063" t="s">
        <v>3112</v>
      </c>
      <c r="C18" s="3063">
        <v>33537</v>
      </c>
      <c r="D18" s="3063">
        <v>20122.2</v>
      </c>
      <c r="E18" s="3063" t="s">
        <v>3158</v>
      </c>
      <c r="F18" s="3063" t="s">
        <v>3114</v>
      </c>
      <c r="G18" s="3068">
        <v>43703.000497685185</v>
      </c>
      <c r="H18" s="3063" t="s">
        <v>3159</v>
      </c>
      <c r="I18" s="3063">
        <v>3119.21</v>
      </c>
      <c r="J18" s="3063">
        <v>62.01</v>
      </c>
      <c r="K18" s="3063">
        <v>1550</v>
      </c>
      <c r="L18" s="3063">
        <v>0</v>
      </c>
      <c r="M18" s="3063" t="s">
        <v>3104</v>
      </c>
    </row>
    <row r="19" spans="1:13" s="3071" customFormat="1">
      <c r="A19" s="3069" t="s">
        <v>3160</v>
      </c>
      <c r="B19" s="3069" t="s">
        <v>3091</v>
      </c>
      <c r="C19" s="3069">
        <v>80549</v>
      </c>
      <c r="D19" s="3069">
        <v>48329.4</v>
      </c>
      <c r="E19" s="3069" t="s">
        <v>3161</v>
      </c>
      <c r="F19" s="3069" t="s">
        <v>3162</v>
      </c>
      <c r="G19" s="3070">
        <v>43693.000497685185</v>
      </c>
      <c r="H19" s="3069" t="s">
        <v>3163</v>
      </c>
      <c r="I19" s="3069">
        <v>9665.6</v>
      </c>
      <c r="J19" s="3069">
        <v>80</v>
      </c>
      <c r="K19" s="3069">
        <v>2000</v>
      </c>
      <c r="L19" s="3069">
        <v>0</v>
      </c>
      <c r="M19" s="3069" t="s">
        <v>3094</v>
      </c>
    </row>
    <row r="20" spans="1:13" s="3071" customFormat="1">
      <c r="A20" s="3069" t="s">
        <v>3164</v>
      </c>
      <c r="B20" s="3069" t="s">
        <v>3091</v>
      </c>
      <c r="C20" s="3069">
        <v>83005</v>
      </c>
      <c r="D20" s="3069">
        <v>49803</v>
      </c>
      <c r="E20" s="3069" t="s">
        <v>3161</v>
      </c>
      <c r="F20" s="3069" t="s">
        <v>3162</v>
      </c>
      <c r="G20" s="3070">
        <v>43693.000497685185</v>
      </c>
      <c r="H20" s="3069" t="s">
        <v>3163</v>
      </c>
      <c r="I20" s="3069">
        <v>9960.7900000000009</v>
      </c>
      <c r="J20" s="3069">
        <v>80</v>
      </c>
      <c r="K20" s="3069">
        <v>2000</v>
      </c>
      <c r="L20" s="3069">
        <v>0</v>
      </c>
      <c r="M20" s="3069" t="s">
        <v>3094</v>
      </c>
    </row>
    <row r="21" spans="1:13">
      <c r="A21" s="3063" t="s">
        <v>3165</v>
      </c>
      <c r="B21" s="3063" t="s">
        <v>3096</v>
      </c>
      <c r="C21" s="3063">
        <v>23654</v>
      </c>
      <c r="D21" s="3063">
        <v>18923.2</v>
      </c>
      <c r="E21" s="3063" t="s">
        <v>3166</v>
      </c>
      <c r="F21" s="3063" t="s">
        <v>3167</v>
      </c>
      <c r="G21" s="3068">
        <v>43689.000497685185</v>
      </c>
      <c r="H21" s="3063" t="s">
        <v>3168</v>
      </c>
      <c r="I21" s="3063">
        <v>6209</v>
      </c>
      <c r="J21" s="3063">
        <v>175</v>
      </c>
      <c r="K21" s="3063">
        <v>3281</v>
      </c>
      <c r="L21" s="3063">
        <v>0</v>
      </c>
      <c r="M21" s="3063" t="s">
        <v>3094</v>
      </c>
    </row>
    <row r="22" spans="1:13">
      <c r="A22" s="3063" t="s">
        <v>3169</v>
      </c>
      <c r="B22" s="3063" t="s">
        <v>3096</v>
      </c>
      <c r="C22" s="3063">
        <v>19118</v>
      </c>
      <c r="D22" s="3063">
        <v>7647.2</v>
      </c>
      <c r="E22" s="3063" t="s">
        <v>3170</v>
      </c>
      <c r="F22" s="3063" t="s">
        <v>3171</v>
      </c>
      <c r="G22" s="3068">
        <v>43689.000497685185</v>
      </c>
      <c r="H22" s="3063" t="s">
        <v>3168</v>
      </c>
      <c r="I22" s="3063">
        <v>4273.3100000000004</v>
      </c>
      <c r="J22" s="3063">
        <v>149.02000000000001</v>
      </c>
      <c r="K22" s="3063">
        <v>5588</v>
      </c>
      <c r="L22" s="3063">
        <v>0</v>
      </c>
      <c r="M22" s="3063" t="s">
        <v>3094</v>
      </c>
    </row>
    <row r="23" spans="1:13">
      <c r="A23" s="3063" t="s">
        <v>3172</v>
      </c>
      <c r="B23" s="3063" t="s">
        <v>3125</v>
      </c>
      <c r="C23" s="3063">
        <v>9645</v>
      </c>
      <c r="D23" s="3063">
        <v>33757.5</v>
      </c>
      <c r="E23" s="3063" t="s">
        <v>3173</v>
      </c>
      <c r="F23" s="3063" t="s">
        <v>3114</v>
      </c>
      <c r="G23" s="3068">
        <v>43689.000497685185</v>
      </c>
      <c r="H23" s="3063" t="s">
        <v>3174</v>
      </c>
      <c r="I23" s="3063">
        <v>1041.83</v>
      </c>
      <c r="J23" s="3063">
        <v>72.010000000000005</v>
      </c>
      <c r="K23" s="3063">
        <v>309</v>
      </c>
      <c r="L23" s="3063">
        <v>0</v>
      </c>
      <c r="M23" s="3063" t="s">
        <v>3104</v>
      </c>
    </row>
    <row r="24" spans="1:13">
      <c r="A24" s="3063" t="s">
        <v>3172</v>
      </c>
      <c r="B24" s="3063" t="s">
        <v>3125</v>
      </c>
      <c r="C24" s="3063">
        <v>15986</v>
      </c>
      <c r="D24" s="3063">
        <v>33570.6</v>
      </c>
      <c r="E24" s="3063" t="s">
        <v>3175</v>
      </c>
      <c r="F24" s="3063" t="s">
        <v>3114</v>
      </c>
      <c r="G24" s="3068">
        <v>43689.000497685185</v>
      </c>
      <c r="H24" s="3063" t="s">
        <v>3174</v>
      </c>
      <c r="I24" s="3063">
        <v>1606.66</v>
      </c>
      <c r="J24" s="3063">
        <v>67</v>
      </c>
      <c r="K24" s="3063">
        <v>479</v>
      </c>
      <c r="L24" s="3063">
        <v>0</v>
      </c>
      <c r="M24" s="3063" t="s">
        <v>3104</v>
      </c>
    </row>
    <row r="25" spans="1:13">
      <c r="A25" s="3063" t="s">
        <v>3176</v>
      </c>
      <c r="B25" s="3063" t="s">
        <v>3096</v>
      </c>
      <c r="C25" s="3063">
        <v>49841</v>
      </c>
      <c r="D25" s="3063">
        <v>24920.5</v>
      </c>
      <c r="E25" s="3063" t="s">
        <v>3177</v>
      </c>
      <c r="F25" s="3063" t="s">
        <v>3178</v>
      </c>
      <c r="G25" s="3068">
        <v>43689.000497685185</v>
      </c>
      <c r="H25" s="3063" t="s">
        <v>3168</v>
      </c>
      <c r="I25" s="3063">
        <v>18615.240000000002</v>
      </c>
      <c r="J25" s="3063">
        <v>249</v>
      </c>
      <c r="K25" s="3063">
        <v>7470</v>
      </c>
      <c r="L25" s="3063">
        <v>0</v>
      </c>
      <c r="M25" s="3063" t="s">
        <v>3094</v>
      </c>
    </row>
    <row r="26" spans="1:13">
      <c r="A26" s="3063" t="s">
        <v>3179</v>
      </c>
      <c r="B26" s="3063" t="s">
        <v>3125</v>
      </c>
      <c r="C26" s="3063">
        <v>7183</v>
      </c>
      <c r="D26" s="3063">
        <v>2154.9</v>
      </c>
      <c r="E26" s="3063" t="s">
        <v>3180</v>
      </c>
      <c r="F26" s="3063" t="s">
        <v>3102</v>
      </c>
      <c r="G26" s="3068">
        <v>43689.000497685185</v>
      </c>
      <c r="H26" s="3063" t="s">
        <v>3181</v>
      </c>
      <c r="I26" s="3063">
        <v>4502.4799999999996</v>
      </c>
      <c r="J26" s="3063">
        <v>417.88</v>
      </c>
      <c r="K26" s="3063">
        <v>20894</v>
      </c>
      <c r="L26" s="3063">
        <v>76.400000000000006</v>
      </c>
      <c r="M26" s="3063" t="s">
        <v>3104</v>
      </c>
    </row>
    <row r="27" spans="1:13">
      <c r="A27" s="3063" t="s">
        <v>3182</v>
      </c>
      <c r="B27" s="3063" t="s">
        <v>3096</v>
      </c>
      <c r="C27" s="3063">
        <v>12631</v>
      </c>
      <c r="D27" s="3063">
        <v>23872.59</v>
      </c>
      <c r="E27" s="3063" t="s">
        <v>3183</v>
      </c>
      <c r="F27" s="3063" t="s">
        <v>3184</v>
      </c>
      <c r="G27" s="3068">
        <v>43689.000497685185</v>
      </c>
      <c r="H27" s="3063" t="s">
        <v>3168</v>
      </c>
      <c r="I27" s="3063">
        <v>4851.1899999999996</v>
      </c>
      <c r="J27" s="3063">
        <v>256.05</v>
      </c>
      <c r="K27" s="3063">
        <v>2032</v>
      </c>
      <c r="L27" s="3063">
        <v>0</v>
      </c>
      <c r="M27" s="3063" t="s">
        <v>3094</v>
      </c>
    </row>
    <row r="28" spans="1:13">
      <c r="A28" s="3063" t="s">
        <v>3121</v>
      </c>
      <c r="B28" s="3063" t="s">
        <v>3185</v>
      </c>
      <c r="C28" s="3063">
        <v>9789</v>
      </c>
      <c r="D28" s="3063">
        <v>31324.799999999999</v>
      </c>
      <c r="E28" s="3063" t="s">
        <v>3186</v>
      </c>
      <c r="F28" s="3063" t="s">
        <v>3187</v>
      </c>
      <c r="G28" s="3068">
        <v>43689.000497685185</v>
      </c>
      <c r="H28" s="3063" t="s">
        <v>3188</v>
      </c>
      <c r="I28" s="3063">
        <v>1453.31</v>
      </c>
      <c r="J28" s="3063">
        <v>98.98</v>
      </c>
      <c r="K28" s="3063">
        <v>464</v>
      </c>
      <c r="L28" s="3063">
        <v>0</v>
      </c>
      <c r="M28" s="3063" t="s">
        <v>3104</v>
      </c>
    </row>
    <row r="29" spans="1:13">
      <c r="A29" s="3063" t="s">
        <v>3189</v>
      </c>
      <c r="B29" s="3063" t="s">
        <v>3096</v>
      </c>
      <c r="C29" s="3063">
        <v>27441</v>
      </c>
      <c r="D29" s="3063">
        <v>16464.599999999999</v>
      </c>
      <c r="E29" s="3063" t="s">
        <v>3161</v>
      </c>
      <c r="F29" s="3063" t="s">
        <v>3190</v>
      </c>
      <c r="G29" s="3068">
        <v>43682.000497685185</v>
      </c>
      <c r="H29" s="3063" t="s">
        <v>3168</v>
      </c>
      <c r="I29" s="3063">
        <v>4239.47</v>
      </c>
      <c r="J29" s="3063">
        <v>103</v>
      </c>
      <c r="K29" s="3063">
        <v>2575</v>
      </c>
      <c r="L29" s="3063">
        <v>0</v>
      </c>
      <c r="M29" s="3063" t="s">
        <v>3094</v>
      </c>
    </row>
    <row r="30" spans="1:13">
      <c r="A30" s="3063" t="s">
        <v>3191</v>
      </c>
      <c r="B30" s="3063" t="s">
        <v>3096</v>
      </c>
      <c r="C30" s="3063">
        <v>6477</v>
      </c>
      <c r="D30" s="3063">
        <v>17487.900000000001</v>
      </c>
      <c r="E30" s="3063" t="s">
        <v>3192</v>
      </c>
      <c r="F30" s="3063" t="s">
        <v>3114</v>
      </c>
      <c r="G30" s="3068">
        <v>43682.000497685185</v>
      </c>
      <c r="H30" s="3063" t="s">
        <v>3193</v>
      </c>
      <c r="I30" s="3063">
        <v>991.44</v>
      </c>
      <c r="J30" s="3063">
        <v>102.05</v>
      </c>
      <c r="K30" s="3063">
        <v>567</v>
      </c>
      <c r="L30" s="3063">
        <v>0</v>
      </c>
      <c r="M30" s="3063" t="s">
        <v>3104</v>
      </c>
    </row>
    <row r="31" spans="1:13">
      <c r="A31" s="3063" t="s">
        <v>3194</v>
      </c>
      <c r="B31" s="3063" t="s">
        <v>3096</v>
      </c>
      <c r="C31" s="3063">
        <v>23660</v>
      </c>
      <c r="D31" s="3063">
        <v>44717.4</v>
      </c>
      <c r="E31" s="3063" t="s">
        <v>3183</v>
      </c>
      <c r="F31" s="3063" t="s">
        <v>3184</v>
      </c>
      <c r="G31" s="3068">
        <v>43682.000497685185</v>
      </c>
      <c r="H31" s="3063" t="s">
        <v>3168</v>
      </c>
      <c r="I31" s="3063">
        <v>9085.44</v>
      </c>
      <c r="J31" s="3063">
        <v>256</v>
      </c>
      <c r="K31" s="3063">
        <v>2032</v>
      </c>
      <c r="L31" s="3063">
        <v>0</v>
      </c>
      <c r="M31" s="3063" t="s">
        <v>3094</v>
      </c>
    </row>
    <row r="32" spans="1:13">
      <c r="A32" s="3063" t="s">
        <v>3179</v>
      </c>
      <c r="B32" s="3063" t="s">
        <v>3125</v>
      </c>
      <c r="C32" s="3063">
        <v>64733</v>
      </c>
      <c r="D32" s="3063">
        <v>142412.6</v>
      </c>
      <c r="E32" s="3063" t="s">
        <v>3195</v>
      </c>
      <c r="F32" s="3063" t="s">
        <v>3135</v>
      </c>
      <c r="G32" s="3068">
        <v>43682.000497685185</v>
      </c>
      <c r="H32" s="3063" t="s">
        <v>3196</v>
      </c>
      <c r="I32" s="3063">
        <v>7185.39</v>
      </c>
      <c r="J32" s="3063">
        <v>74</v>
      </c>
      <c r="K32" s="3063">
        <v>505</v>
      </c>
      <c r="L32" s="3063">
        <v>0</v>
      </c>
      <c r="M32" s="3063" t="s">
        <v>3104</v>
      </c>
    </row>
    <row r="33" spans="1:13">
      <c r="A33" s="3063" t="s">
        <v>3197</v>
      </c>
      <c r="B33" s="3063" t="s">
        <v>3096</v>
      </c>
      <c r="C33" s="3063">
        <v>5055</v>
      </c>
      <c r="D33" s="3063">
        <v>1011</v>
      </c>
      <c r="E33" s="3063" t="s">
        <v>3198</v>
      </c>
      <c r="F33" s="3063" t="s">
        <v>3102</v>
      </c>
      <c r="G33" s="3068">
        <v>43675.000497685185</v>
      </c>
      <c r="H33" s="3063" t="s">
        <v>3199</v>
      </c>
      <c r="I33" s="3063">
        <v>3722.57</v>
      </c>
      <c r="J33" s="3063">
        <v>490.94</v>
      </c>
      <c r="K33" s="3063">
        <v>36821</v>
      </c>
      <c r="L33" s="3063">
        <v>95.66</v>
      </c>
      <c r="M33" s="3063" t="s">
        <v>3104</v>
      </c>
    </row>
    <row r="34" spans="1:13">
      <c r="A34" s="3063" t="s">
        <v>3200</v>
      </c>
      <c r="B34" s="3063" t="s">
        <v>3125</v>
      </c>
      <c r="C34" s="3063">
        <v>26888</v>
      </c>
      <c r="D34" s="3063">
        <v>26888</v>
      </c>
      <c r="E34" s="3063" t="s">
        <v>3201</v>
      </c>
      <c r="F34" s="3063" t="s">
        <v>3202</v>
      </c>
      <c r="G34" s="3068">
        <v>43675.000497685185</v>
      </c>
      <c r="H34" s="3063" t="s">
        <v>3203</v>
      </c>
      <c r="I34" s="3063">
        <v>3589.36</v>
      </c>
      <c r="J34" s="3063">
        <v>89</v>
      </c>
      <c r="K34" s="3063">
        <v>1335</v>
      </c>
      <c r="L34" s="3063">
        <v>0</v>
      </c>
      <c r="M34" s="3063" t="s">
        <v>3094</v>
      </c>
    </row>
    <row r="35" spans="1:13">
      <c r="A35" s="3063" t="s">
        <v>3204</v>
      </c>
      <c r="B35" s="3063" t="s">
        <v>3091</v>
      </c>
      <c r="C35" s="3063">
        <v>65116</v>
      </c>
      <c r="D35" s="3063">
        <v>130232</v>
      </c>
      <c r="E35" s="3063" t="s">
        <v>3205</v>
      </c>
      <c r="F35" s="3063" t="s">
        <v>3102</v>
      </c>
      <c r="G35" s="3068">
        <v>43584.000497685185</v>
      </c>
      <c r="H35" s="3063" t="s">
        <v>3206</v>
      </c>
      <c r="I35" s="3063">
        <v>35161.19</v>
      </c>
      <c r="J35" s="3063">
        <v>359.99</v>
      </c>
      <c r="K35" s="3063">
        <v>2700</v>
      </c>
      <c r="L35" s="3063">
        <v>0</v>
      </c>
      <c r="M35" s="3063" t="s">
        <v>3104</v>
      </c>
    </row>
    <row r="36" spans="1:13">
      <c r="A36" s="3063" t="s">
        <v>3137</v>
      </c>
      <c r="B36" s="3063" t="s">
        <v>3125</v>
      </c>
      <c r="C36" s="3063">
        <v>17597</v>
      </c>
      <c r="D36" s="3063">
        <v>54550.7</v>
      </c>
      <c r="E36" s="3063" t="s">
        <v>3207</v>
      </c>
      <c r="F36" s="3063" t="s">
        <v>3208</v>
      </c>
      <c r="G36" s="3068">
        <v>43549.000497685185</v>
      </c>
      <c r="H36" s="3063" t="s">
        <v>3139</v>
      </c>
      <c r="I36" s="3063">
        <v>2164.8000000000002</v>
      </c>
      <c r="J36" s="3063">
        <v>82.01</v>
      </c>
      <c r="K36" s="3063">
        <v>397</v>
      </c>
      <c r="L36" s="3063">
        <v>0</v>
      </c>
      <c r="M36" s="3063" t="s">
        <v>3104</v>
      </c>
    </row>
    <row r="37" spans="1:13">
      <c r="A37" s="3063" t="s">
        <v>3209</v>
      </c>
      <c r="B37" s="3063" t="s">
        <v>3210</v>
      </c>
      <c r="C37" s="3063">
        <v>22891</v>
      </c>
      <c r="D37" s="3063">
        <v>25180.1</v>
      </c>
      <c r="E37" s="3063" t="s">
        <v>3211</v>
      </c>
      <c r="F37" s="3063" t="s">
        <v>3212</v>
      </c>
      <c r="G37" s="3068">
        <v>43462.000497685185</v>
      </c>
      <c r="H37" s="3063" t="s">
        <v>3213</v>
      </c>
      <c r="I37" s="3063">
        <v>3434</v>
      </c>
      <c r="J37" s="3063">
        <v>100.01</v>
      </c>
      <c r="K37" s="3063">
        <v>1364</v>
      </c>
      <c r="L37" s="3063">
        <v>0</v>
      </c>
      <c r="M37" s="3063">
        <v>40</v>
      </c>
    </row>
    <row r="38" spans="1:13">
      <c r="A38" s="3063" t="s">
        <v>3214</v>
      </c>
      <c r="B38" s="3063" t="s">
        <v>3210</v>
      </c>
      <c r="C38" s="3063">
        <v>7692</v>
      </c>
      <c r="D38" s="3063">
        <v>9230.4</v>
      </c>
      <c r="E38" s="3063">
        <v>1.2</v>
      </c>
      <c r="F38" s="3063" t="s">
        <v>3215</v>
      </c>
      <c r="G38" s="3068">
        <v>43462.000497685185</v>
      </c>
      <c r="H38" s="3063" t="s">
        <v>3216</v>
      </c>
      <c r="I38" s="3063">
        <v>1130.92</v>
      </c>
      <c r="J38" s="3063">
        <v>98.02</v>
      </c>
      <c r="K38" s="3063">
        <v>1225</v>
      </c>
      <c r="L38" s="3063">
        <v>0</v>
      </c>
      <c r="M38" s="3063" t="s">
        <v>3094</v>
      </c>
    </row>
    <row r="39" spans="1:13">
      <c r="A39" s="3063" t="s">
        <v>3217</v>
      </c>
      <c r="B39" s="3063" t="s">
        <v>3210</v>
      </c>
      <c r="C39" s="3063">
        <v>22601</v>
      </c>
      <c r="D39" s="3063">
        <v>9040.4</v>
      </c>
      <c r="E39" s="3063" t="s">
        <v>3218</v>
      </c>
      <c r="F39" s="3063" t="s">
        <v>3219</v>
      </c>
      <c r="G39" s="3068">
        <v>43462.000497685185</v>
      </c>
      <c r="H39" s="3063" t="s">
        <v>3143</v>
      </c>
      <c r="I39" s="3063">
        <v>2406.9</v>
      </c>
      <c r="J39" s="3063">
        <v>71</v>
      </c>
      <c r="K39" s="3063">
        <v>2662</v>
      </c>
      <c r="L39" s="3063">
        <v>0</v>
      </c>
      <c r="M39" s="3063">
        <v>40</v>
      </c>
    </row>
    <row r="40" spans="1:13">
      <c r="A40" s="3063" t="s">
        <v>3220</v>
      </c>
      <c r="B40" s="3063" t="s">
        <v>3210</v>
      </c>
      <c r="C40" s="3063">
        <v>49519</v>
      </c>
      <c r="D40" s="3063">
        <v>141624.34</v>
      </c>
      <c r="E40" s="3063" t="s">
        <v>3221</v>
      </c>
      <c r="F40" s="3063" t="s">
        <v>3222</v>
      </c>
      <c r="G40" s="3068">
        <v>43462.000497685185</v>
      </c>
      <c r="H40" s="3063" t="s">
        <v>3223</v>
      </c>
      <c r="I40" s="3063">
        <v>8987.8700000000008</v>
      </c>
      <c r="J40" s="3063">
        <v>121</v>
      </c>
      <c r="K40" s="3063">
        <v>635</v>
      </c>
      <c r="L40" s="3063">
        <v>0</v>
      </c>
      <c r="M40" s="3063">
        <v>40</v>
      </c>
    </row>
    <row r="41" spans="1:13">
      <c r="A41" s="3063" t="s">
        <v>3224</v>
      </c>
      <c r="B41" s="3063" t="s">
        <v>3210</v>
      </c>
      <c r="C41" s="3063">
        <v>22427</v>
      </c>
      <c r="D41" s="3063">
        <v>12334.85</v>
      </c>
      <c r="E41" s="3063">
        <v>0.6</v>
      </c>
      <c r="F41" s="3063" t="s">
        <v>3225</v>
      </c>
      <c r="G41" s="3068">
        <v>43462.000497685185</v>
      </c>
      <c r="H41" s="3063" t="s">
        <v>3226</v>
      </c>
      <c r="I41" s="3063">
        <v>3700.4</v>
      </c>
      <c r="J41" s="3063">
        <v>110</v>
      </c>
      <c r="K41" s="3063">
        <v>3000</v>
      </c>
      <c r="L41" s="3063">
        <v>0</v>
      </c>
      <c r="M41" s="3063" t="s">
        <v>3094</v>
      </c>
    </row>
    <row r="42" spans="1:13">
      <c r="A42" s="3063" t="s">
        <v>3227</v>
      </c>
      <c r="B42" s="3063" t="s">
        <v>3210</v>
      </c>
      <c r="C42" s="3063">
        <v>32801</v>
      </c>
      <c r="D42" s="3063">
        <v>19680.599999999999</v>
      </c>
      <c r="E42" s="3063">
        <v>0.6</v>
      </c>
      <c r="F42" s="3063" t="s">
        <v>3228</v>
      </c>
      <c r="G42" s="3068">
        <v>43462.000497685185</v>
      </c>
      <c r="H42" s="3063" t="s">
        <v>3229</v>
      </c>
      <c r="I42" s="3063">
        <v>4182</v>
      </c>
      <c r="J42" s="3063">
        <v>85</v>
      </c>
      <c r="K42" s="3063">
        <v>2125</v>
      </c>
      <c r="L42" s="3063">
        <v>0</v>
      </c>
      <c r="M42" s="3063">
        <v>40</v>
      </c>
    </row>
    <row r="43" spans="1:13">
      <c r="A43" s="3063" t="s">
        <v>3230</v>
      </c>
      <c r="B43" s="3063" t="s">
        <v>3096</v>
      </c>
      <c r="C43" s="3063">
        <v>2822</v>
      </c>
      <c r="D43" s="3063">
        <v>42330</v>
      </c>
      <c r="E43" s="3063" t="s">
        <v>3231</v>
      </c>
      <c r="F43" s="3063" t="s">
        <v>3212</v>
      </c>
      <c r="G43" s="3068">
        <v>43342.000497685185</v>
      </c>
      <c r="H43" s="3063" t="s">
        <v>3232</v>
      </c>
      <c r="I43" s="3063">
        <v>1573.55</v>
      </c>
      <c r="J43" s="3063">
        <v>371.73</v>
      </c>
      <c r="K43" s="3063">
        <v>372</v>
      </c>
      <c r="L43" s="3063">
        <v>0</v>
      </c>
      <c r="M43" s="3063" t="s">
        <v>3104</v>
      </c>
    </row>
    <row r="44" spans="1:13">
      <c r="A44" s="3063" t="s">
        <v>3233</v>
      </c>
      <c r="B44" s="3063" t="s">
        <v>3096</v>
      </c>
      <c r="C44" s="3063">
        <v>16946</v>
      </c>
      <c r="D44" s="3063">
        <v>10167.6</v>
      </c>
      <c r="E44" s="3063" t="s">
        <v>3234</v>
      </c>
      <c r="F44" s="3063" t="s">
        <v>3212</v>
      </c>
      <c r="G44" s="3068">
        <v>43342.000497685185</v>
      </c>
      <c r="H44" s="3063" t="s">
        <v>3235</v>
      </c>
      <c r="I44" s="3063">
        <v>2875.36</v>
      </c>
      <c r="J44" s="3063">
        <v>113.12</v>
      </c>
      <c r="K44" s="3063">
        <v>2828</v>
      </c>
      <c r="L44" s="3063">
        <v>4.74</v>
      </c>
      <c r="M44" s="3063" t="s">
        <v>3104</v>
      </c>
    </row>
    <row r="45" spans="1:13">
      <c r="A45" s="3063" t="s">
        <v>3236</v>
      </c>
      <c r="B45" s="3063" t="s">
        <v>3091</v>
      </c>
      <c r="C45" s="3063">
        <v>2178</v>
      </c>
      <c r="D45" s="3063">
        <v>33105.599999999999</v>
      </c>
      <c r="E45" s="3063" t="s">
        <v>3237</v>
      </c>
      <c r="F45" s="3063" t="s">
        <v>3212</v>
      </c>
      <c r="G45" s="3068">
        <v>43342.000497685185</v>
      </c>
      <c r="H45" s="3063" t="s">
        <v>3232</v>
      </c>
      <c r="I45" s="3063">
        <v>1232.78</v>
      </c>
      <c r="J45" s="3063">
        <v>377.34</v>
      </c>
      <c r="K45" s="3063">
        <v>372</v>
      </c>
      <c r="L45" s="3063">
        <v>0</v>
      </c>
      <c r="M45" s="3063" t="s">
        <v>3104</v>
      </c>
    </row>
    <row r="46" spans="1:13">
      <c r="A46" s="3063" t="s">
        <v>3137</v>
      </c>
      <c r="B46" s="3063" t="s">
        <v>3125</v>
      </c>
      <c r="C46" s="3063">
        <v>35360</v>
      </c>
      <c r="D46" s="3063">
        <v>106080</v>
      </c>
      <c r="E46" s="3063" t="s">
        <v>3238</v>
      </c>
      <c r="F46" s="3063" t="s">
        <v>3239</v>
      </c>
      <c r="G46" s="3068">
        <v>43945.000497685185</v>
      </c>
      <c r="H46" s="3063" t="s">
        <v>3139</v>
      </c>
      <c r="I46" s="3063">
        <v>5144.88</v>
      </c>
      <c r="J46" s="3063">
        <v>97</v>
      </c>
      <c r="K46" s="3063">
        <v>485</v>
      </c>
      <c r="L46" s="3063">
        <v>27.63</v>
      </c>
      <c r="M46" s="3063" t="s">
        <v>3094</v>
      </c>
    </row>
    <row r="47" spans="1:13">
      <c r="A47" s="3063" t="s">
        <v>3240</v>
      </c>
      <c r="B47" s="3063" t="s">
        <v>3129</v>
      </c>
      <c r="C47" s="3063">
        <v>56068</v>
      </c>
      <c r="D47" s="3063">
        <v>9531.56</v>
      </c>
      <c r="E47" s="3063" t="s">
        <v>3241</v>
      </c>
      <c r="F47" s="3063" t="s">
        <v>3222</v>
      </c>
      <c r="G47" s="3068">
        <v>43342.000497685185</v>
      </c>
      <c r="H47" s="3063" t="s">
        <v>3242</v>
      </c>
      <c r="I47" s="3063">
        <v>3784.5</v>
      </c>
      <c r="J47" s="3063">
        <v>45</v>
      </c>
      <c r="K47" s="3063">
        <v>3970</v>
      </c>
      <c r="L47" s="3063">
        <v>0</v>
      </c>
      <c r="M47" s="3063" t="s">
        <v>3104</v>
      </c>
    </row>
    <row r="48" spans="1:13">
      <c r="A48" s="3063" t="s">
        <v>3243</v>
      </c>
      <c r="B48" s="3063" t="s">
        <v>3106</v>
      </c>
      <c r="C48" s="3063">
        <v>79688</v>
      </c>
      <c r="D48" s="3063">
        <v>218345.1</v>
      </c>
      <c r="E48" s="3063" t="s">
        <v>3244</v>
      </c>
      <c r="F48" s="3063" t="s">
        <v>3212</v>
      </c>
      <c r="G48" s="3068">
        <v>43217.000497685185</v>
      </c>
      <c r="H48" s="3063" t="s">
        <v>3245</v>
      </c>
      <c r="I48" s="3063">
        <v>23427.88</v>
      </c>
      <c r="J48" s="3063">
        <v>196</v>
      </c>
      <c r="K48" s="3063">
        <v>1073</v>
      </c>
      <c r="L48" s="3063">
        <v>0</v>
      </c>
      <c r="M48" s="3063" t="s">
        <v>3104</v>
      </c>
    </row>
    <row r="49" spans="1:13">
      <c r="A49" s="3063" t="s">
        <v>3246</v>
      </c>
      <c r="B49" s="3063" t="s">
        <v>3106</v>
      </c>
      <c r="C49" s="3063">
        <v>32152</v>
      </c>
      <c r="D49" s="3063">
        <v>61088.800000000003</v>
      </c>
      <c r="E49" s="3063" t="s">
        <v>3247</v>
      </c>
      <c r="F49" s="3063" t="s">
        <v>3212</v>
      </c>
      <c r="G49" s="3068">
        <v>43217.000497685185</v>
      </c>
      <c r="H49" s="3063" t="s">
        <v>3245</v>
      </c>
      <c r="I49" s="3063">
        <v>7138.03</v>
      </c>
      <c r="J49" s="3063">
        <v>148.01</v>
      </c>
      <c r="K49" s="3063">
        <v>1168</v>
      </c>
      <c r="L49" s="3063">
        <v>0</v>
      </c>
      <c r="M49" s="3063" t="s">
        <v>3104</v>
      </c>
    </row>
    <row r="50" spans="1:13">
      <c r="A50" s="3063" t="s">
        <v>3248</v>
      </c>
      <c r="B50" s="3063" t="s">
        <v>3125</v>
      </c>
      <c r="C50" s="3063">
        <v>51473</v>
      </c>
      <c r="D50" s="3063">
        <v>25736.5</v>
      </c>
      <c r="E50" s="3063" t="s">
        <v>3249</v>
      </c>
      <c r="F50" s="3063" t="s">
        <v>3212</v>
      </c>
      <c r="G50" s="3068">
        <v>43164.000497685185</v>
      </c>
      <c r="H50" s="3063" t="s">
        <v>3226</v>
      </c>
      <c r="I50" s="3063">
        <v>5095.8500000000004</v>
      </c>
      <c r="J50" s="3063">
        <v>66</v>
      </c>
      <c r="K50" s="3063">
        <v>1980</v>
      </c>
      <c r="L50" s="3063">
        <v>0</v>
      </c>
      <c r="M50" s="3063" t="s">
        <v>3104</v>
      </c>
    </row>
    <row r="51" spans="1:13">
      <c r="A51" s="3063" t="s">
        <v>3250</v>
      </c>
      <c r="B51" s="3063" t="s">
        <v>3096</v>
      </c>
      <c r="C51" s="3063">
        <v>44943</v>
      </c>
      <c r="D51" s="3063">
        <v>53931.6</v>
      </c>
      <c r="E51" s="3063" t="s">
        <v>3251</v>
      </c>
      <c r="F51" s="3063" t="s">
        <v>3219</v>
      </c>
      <c r="G51" s="3068">
        <v>43164.000497685185</v>
      </c>
      <c r="H51" s="3063" t="s">
        <v>3252</v>
      </c>
      <c r="I51" s="3063">
        <v>4853.5200000000004</v>
      </c>
      <c r="J51" s="3063">
        <v>72</v>
      </c>
      <c r="K51" s="3063">
        <v>900</v>
      </c>
      <c r="L51" s="3063">
        <v>0</v>
      </c>
      <c r="M51" s="3063" t="s">
        <v>3104</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1606</v>
      </c>
      <c r="B2" s="3094" t="s">
        <v>1607</v>
      </c>
      <c r="C2" s="3094" t="s">
        <v>1608</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88"/>
      <c r="B3" s="3088"/>
      <c r="C3" s="3088"/>
      <c r="D3" s="963" t="s">
        <v>1603</v>
      </c>
      <c r="E3" s="963" t="s">
        <v>1609</v>
      </c>
      <c r="F3" s="963" t="s">
        <v>1603</v>
      </c>
      <c r="G3" s="963" t="s">
        <v>1604</v>
      </c>
      <c r="H3" s="963" t="s">
        <v>1603</v>
      </c>
      <c r="I3" s="963" t="s">
        <v>1604</v>
      </c>
    </row>
    <row r="4" spans="1:9" ht="30">
      <c r="A4" s="1690" t="str">
        <f>项目基本情况!S2</f>
        <v>山东省威海市远遥路-1-1号房地产</v>
      </c>
      <c r="B4" s="963">
        <f>项目基本情况!C17</f>
        <v>49897.21</v>
      </c>
      <c r="C4" s="963">
        <f>项目基本情况!C18</f>
        <v>84549</v>
      </c>
      <c r="D4" s="963">
        <f ca="1">结果表!D118</f>
        <v>13736</v>
      </c>
      <c r="E4" s="963">
        <f ca="1">结果表!E118</f>
        <v>2753</v>
      </c>
      <c r="F4" s="963">
        <f ca="1">结果表!F118</f>
        <v>38891</v>
      </c>
      <c r="G4" s="963">
        <f ca="1">结果表!G118</f>
        <v>7794</v>
      </c>
      <c r="H4" s="963">
        <f ca="1">结果表!H118</f>
        <v>52627</v>
      </c>
      <c r="I4" s="963">
        <f ca="1">结果表!I118</f>
        <v>10547</v>
      </c>
    </row>
    <row r="5" spans="1:9" ht="30" customHeight="1">
      <c r="A5" s="3088" t="s">
        <v>1605</v>
      </c>
      <c r="B5" s="3088"/>
      <c r="C5" s="3088"/>
      <c r="D5" s="3089" t="str">
        <f ca="1">结果表!D119</f>
        <v>壹亿叁仟柒佰叁拾陆万元整</v>
      </c>
      <c r="E5" s="3089"/>
      <c r="F5" s="3089" t="str">
        <f ca="1">结果表!F119</f>
        <v>叁亿捌仟捌佰玖拾壹万元整</v>
      </c>
      <c r="G5" s="3089"/>
      <c r="H5" s="3089" t="str">
        <f ca="1">结果表!H119</f>
        <v>伍亿贰仟陆佰贰拾柒万元整</v>
      </c>
      <c r="I5" s="3089"/>
    </row>
    <row r="6" spans="1:9" ht="15.75">
      <c r="A6" s="3087" t="str">
        <f>结果表!A120</f>
        <v>估价师知悉的法定优先受偿款</v>
      </c>
      <c r="B6" s="3087"/>
      <c r="C6" s="3087"/>
      <c r="D6" s="3087">
        <f>结果表!D120</f>
        <v>0</v>
      </c>
      <c r="E6" s="3087"/>
      <c r="F6" s="3087"/>
      <c r="G6" s="3087"/>
      <c r="H6" s="3087"/>
      <c r="I6" s="3087"/>
    </row>
    <row r="7" spans="1:9" ht="15">
      <c r="A7" s="3088" t="s">
        <v>1605</v>
      </c>
      <c r="B7" s="3088"/>
      <c r="C7" s="3088"/>
      <c r="D7" s="3090" t="str">
        <f>结果表!D121</f>
        <v>零元整</v>
      </c>
      <c r="E7" s="3091"/>
      <c r="F7" s="3091"/>
      <c r="G7" s="3091"/>
      <c r="H7" s="3091"/>
      <c r="I7" s="3092"/>
    </row>
    <row r="8" spans="1:9" ht="15.75">
      <c r="A8" s="3087" t="str">
        <f>结果表!A122</f>
        <v>房地产抵押价值</v>
      </c>
      <c r="B8" s="3087"/>
      <c r="C8" s="3087"/>
      <c r="D8" s="3087">
        <f ca="1">结果表!D122</f>
        <v>52627</v>
      </c>
      <c r="E8" s="3087"/>
      <c r="F8" s="3087"/>
      <c r="G8" s="3087"/>
      <c r="H8" s="3087"/>
      <c r="I8" s="3087"/>
    </row>
    <row r="9" spans="1:9" ht="15">
      <c r="A9" s="3088" t="s">
        <v>1605</v>
      </c>
      <c r="B9" s="3088"/>
      <c r="C9" s="3088"/>
      <c r="D9" s="3089" t="str">
        <f ca="1">结果表!D123</f>
        <v>伍亿贰仟陆佰贰拾柒万元整</v>
      </c>
      <c r="E9" s="3089"/>
      <c r="F9" s="3089"/>
      <c r="G9" s="3089"/>
      <c r="H9" s="3089"/>
      <c r="I9" s="3089"/>
    </row>
    <row r="10" spans="1:9" ht="15.75">
      <c r="A10" s="3087" t="str">
        <f>结果表!A124</f>
        <v/>
      </c>
      <c r="B10" s="3087"/>
      <c r="C10" s="3087"/>
      <c r="D10" s="3087" t="str">
        <f>结果表!D124</f>
        <v>——</v>
      </c>
      <c r="E10" s="3087"/>
      <c r="F10" s="3087"/>
      <c r="G10" s="3087"/>
      <c r="H10" s="3087"/>
      <c r="I10" s="3087"/>
    </row>
    <row r="11" spans="1:9" ht="15">
      <c r="A11" s="3088" t="s">
        <v>1605</v>
      </c>
      <c r="B11" s="3088"/>
      <c r="C11" s="3088"/>
      <c r="D11" s="3089" t="e">
        <f>结果表!D125</f>
        <v>#VALUE!</v>
      </c>
      <c r="E11" s="3089"/>
      <c r="F11" s="3089"/>
      <c r="G11" s="3089"/>
      <c r="H11" s="3089"/>
      <c r="I11" s="3089"/>
    </row>
    <row r="12" spans="1:9" ht="15.75">
      <c r="A12" s="3087" t="str">
        <f>结果表!A126</f>
        <v/>
      </c>
      <c r="B12" s="3087"/>
      <c r="C12" s="3087"/>
      <c r="D12" s="3087" t="str">
        <f>结果表!D126</f>
        <v>——</v>
      </c>
      <c r="E12" s="3087"/>
      <c r="F12" s="3087"/>
      <c r="G12" s="3087"/>
      <c r="H12" s="3087"/>
      <c r="I12" s="3087"/>
    </row>
    <row r="13" spans="1:9" ht="15.75" thickBot="1">
      <c r="A13" s="3084" t="s">
        <v>1605</v>
      </c>
      <c r="B13" s="3084"/>
      <c r="C13" s="3084"/>
      <c r="D13" s="3085" t="e">
        <f>结果表!D127</f>
        <v>#VALUE!</v>
      </c>
      <c r="E13" s="3085"/>
      <c r="F13" s="3085"/>
      <c r="G13" s="3085"/>
      <c r="H13" s="3085"/>
      <c r="I13" s="3085"/>
    </row>
    <row r="14" spans="1:9" ht="15" thickTop="1">
      <c r="A14" s="3086" t="s">
        <v>1610</v>
      </c>
      <c r="B14" s="3086"/>
      <c r="C14" s="3086"/>
      <c r="D14" s="3086"/>
      <c r="E14" s="3086"/>
      <c r="F14" s="3086"/>
      <c r="G14" s="3086"/>
      <c r="H14" s="3086"/>
      <c r="I14" s="3086"/>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1" t="s">
        <v>1627</v>
      </c>
      <c r="B1" s="3101"/>
      <c r="C1" s="3101"/>
      <c r="D1" s="3101"/>
    </row>
    <row r="2" spans="1:4" ht="18">
      <c r="A2" s="3102" t="s">
        <v>1611</v>
      </c>
      <c r="B2" s="3102"/>
      <c r="C2" s="3102"/>
      <c r="D2" s="3102"/>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02" t="s">
        <v>1617</v>
      </c>
      <c r="B6" s="3102"/>
      <c r="C6" s="3102"/>
      <c r="D6" s="310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3" t="s">
        <v>1620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5" t="str">
        <f>IF(项目基本情况!B8="抵押","4.本次评估估价师所知悉的法定优先受偿款情况说明如下：","——")</f>
        <v>4.本次评估估价师所知悉的法定优先受偿款情况说明如下：</v>
      </c>
      <c r="B14" s="3100"/>
      <c r="C14" s="3100"/>
      <c r="D14" s="3100"/>
    </row>
    <row r="15" spans="1:4" ht="42" customHeight="1">
      <c r="A15" s="30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5"/>
      <c r="C15" s="3095"/>
      <c r="D15" s="3095"/>
    </row>
    <row r="16" spans="1:4" ht="30" customHeight="1">
      <c r="A16" s="3097" t="s">
        <v>1621</v>
      </c>
      <c r="B16" s="3097"/>
      <c r="C16" s="3097"/>
      <c r="D16" s="3097"/>
    </row>
    <row r="17" spans="1:4" ht="144" customHeight="1">
      <c r="A17" s="3097" t="s">
        <v>1622</v>
      </c>
      <c r="B17" s="3097"/>
      <c r="C17" s="3097"/>
      <c r="D17" s="3097"/>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5"/>
      <c r="C20" s="3095"/>
      <c r="D20" s="3095"/>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8"/>
      <c r="C21" s="3098"/>
      <c r="D21" s="3098"/>
    </row>
    <row r="22" spans="1:4" ht="18.75" customHeight="1">
      <c r="A22" s="3099" t="s">
        <v>1623</v>
      </c>
      <c r="B22" s="3099"/>
      <c r="C22" s="3099"/>
      <c r="D22" s="309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9" t="s">
        <v>1634</v>
      </c>
      <c r="B15" s="3104" t="s">
        <v>136</v>
      </c>
      <c r="C15" s="3105"/>
    </row>
    <row r="16" spans="1:7" ht="13.5">
      <c r="A16" s="3110"/>
      <c r="B16" s="3104" t="s">
        <v>69</v>
      </c>
      <c r="C16" s="3105"/>
    </row>
    <row r="17" spans="1:3" ht="13.5">
      <c r="A17" s="3110"/>
      <c r="B17" s="3107" t="s">
        <v>1635</v>
      </c>
      <c r="C17" s="1717" t="s">
        <v>1634</v>
      </c>
    </row>
    <row r="18" spans="1:3" ht="13.5">
      <c r="A18" s="3110"/>
      <c r="B18" s="3107"/>
      <c r="C18" s="1717" t="s">
        <v>1636</v>
      </c>
    </row>
    <row r="19" spans="1:3" ht="13.5">
      <c r="A19" s="3110"/>
      <c r="B19" s="3107"/>
      <c r="C19" s="1717" t="s">
        <v>1637</v>
      </c>
    </row>
    <row r="20" spans="1:3" ht="13.5">
      <c r="A20" s="3111"/>
      <c r="B20" s="3106" t="s">
        <v>1638</v>
      </c>
      <c r="C20" s="3105"/>
    </row>
    <row r="21" spans="1:3" ht="13.5">
      <c r="A21" s="1718" t="s">
        <v>1639</v>
      </c>
      <c r="B21" s="1719"/>
      <c r="C21" s="1720"/>
    </row>
    <row r="22" spans="1:3" ht="13.5">
      <c r="A22" s="3108" t="s">
        <v>1640</v>
      </c>
      <c r="B22" s="3106" t="s">
        <v>1641</v>
      </c>
      <c r="C22" s="3105"/>
    </row>
    <row r="23" spans="1:3" ht="13.5">
      <c r="A23" s="3108"/>
      <c r="B23" s="3106" t="s">
        <v>1642</v>
      </c>
      <c r="C23" s="3105"/>
    </row>
    <row r="24" spans="1:3" ht="13.5">
      <c r="A24" s="3108"/>
      <c r="B24" s="3106" t="s">
        <v>1643</v>
      </c>
      <c r="C24" s="3105"/>
    </row>
    <row r="25" spans="1:3" ht="13.5">
      <c r="A25" s="3108"/>
      <c r="B25" s="3107" t="s">
        <v>1644</v>
      </c>
      <c r="C25" s="1717" t="s">
        <v>1645</v>
      </c>
    </row>
    <row r="26" spans="1:3" ht="13.5">
      <c r="A26" s="3108"/>
      <c r="B26" s="3107"/>
      <c r="C26" s="1717" t="s">
        <v>1646</v>
      </c>
    </row>
    <row r="27" spans="1:3" ht="13.5">
      <c r="A27" s="3108"/>
      <c r="B27" s="3107"/>
      <c r="C27" s="1717" t="s">
        <v>1647</v>
      </c>
    </row>
    <row r="28" spans="1:3" ht="13.5">
      <c r="A28" s="3108"/>
      <c r="B28" s="3107"/>
      <c r="C28" s="1717" t="s">
        <v>1648</v>
      </c>
    </row>
    <row r="29" spans="1:3" ht="13.5">
      <c r="A29" s="3108"/>
      <c r="B29" s="3107"/>
      <c r="C29" s="1717" t="s">
        <v>1649</v>
      </c>
    </row>
    <row r="30" spans="1:3" ht="13.5">
      <c r="A30" s="3108"/>
      <c r="B30" s="3107"/>
      <c r="C30" s="1717" t="s">
        <v>1650</v>
      </c>
    </row>
    <row r="31" spans="1:3" ht="13.5">
      <c r="A31" s="3108"/>
      <c r="B31" s="3107"/>
      <c r="C31" s="1717" t="s">
        <v>1651</v>
      </c>
    </row>
    <row r="32" spans="1:3" ht="13.5">
      <c r="A32" s="3108"/>
      <c r="B32" s="3107"/>
      <c r="C32" s="1717" t="s">
        <v>1652</v>
      </c>
    </row>
    <row r="33" spans="1:3" ht="13.5">
      <c r="A33" s="3108"/>
      <c r="B33" s="310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44525</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2" t="s">
        <v>2901</v>
      </c>
      <c r="B17" s="3112"/>
      <c r="C17" s="3112"/>
      <c r="D17" s="3112"/>
      <c r="E17" s="3112"/>
      <c r="F17" s="3112"/>
      <c r="G17" s="3112"/>
      <c r="H17" s="3112"/>
    </row>
    <row r="18" spans="1:8" ht="24" customHeight="1">
      <c r="A18" s="3113" t="s">
        <v>2902</v>
      </c>
      <c r="B18" s="3113"/>
      <c r="C18" s="3113"/>
      <c r="D18" s="2566"/>
      <c r="E18" s="3114" t="s">
        <v>2903</v>
      </c>
      <c r="F18" s="3113"/>
      <c r="G18" s="3113"/>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2021-11-25T03:03:21Z</dcterms:modified>
</cp:coreProperties>
</file>