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780丹阳项目\F01DYGJ1\"/>
    </mc:Choice>
  </mc:AlternateContent>
  <bookViews>
    <workbookView xWindow="480" yWindow="216"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土地案例!$A$1:$AR$51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L7" i="1" l="1"/>
  <c r="I13" i="3"/>
  <c r="K13" i="3"/>
  <c r="C19" i="6"/>
  <c r="A6" i="1"/>
  <c r="C20" i="6"/>
  <c r="A7" i="1"/>
  <c r="G1" i="15"/>
  <c r="F6" i="15"/>
  <c r="F8" i="15"/>
  <c r="F20" i="6"/>
  <c r="E20" i="6"/>
  <c r="K7" i="1"/>
  <c r="F7" i="15"/>
  <c r="F9" i="15"/>
  <c r="C6" i="15"/>
  <c r="D3" i="4"/>
  <c r="C1" i="65"/>
  <c r="N1" i="65"/>
  <c r="N4" i="65"/>
  <c r="C4" i="65"/>
  <c r="B39" i="1"/>
  <c r="F11" i="15"/>
  <c r="C10" i="15"/>
  <c r="C5" i="15"/>
  <c r="B43" i="1"/>
  <c r="B41" i="1"/>
  <c r="F32" i="15"/>
  <c r="C32" i="15"/>
  <c r="F33" i="15"/>
  <c r="C33" i="15"/>
  <c r="BC13" i="3"/>
  <c r="BB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A5" i="3"/>
  <c r="F19" i="6"/>
  <c r="E19" i="6"/>
  <c r="E21" i="6"/>
  <c r="E22" i="6"/>
  <c r="E23" i="6"/>
  <c r="E24" i="6"/>
  <c r="E25" i="6"/>
  <c r="E26" i="6"/>
  <c r="E27" i="6"/>
  <c r="BQ5" i="3"/>
  <c r="BS5" i="3"/>
  <c r="F28" i="6"/>
  <c r="BR5" i="3"/>
  <c r="BT5" i="3"/>
  <c r="G28" i="6"/>
  <c r="E28" i="6"/>
  <c r="K20" i="6"/>
  <c r="L20" i="6"/>
  <c r="M20" i="6"/>
  <c r="I20" i="6"/>
  <c r="H20" i="6"/>
  <c r="R20" i="6"/>
  <c r="R7" i="1"/>
  <c r="F35" i="15"/>
  <c r="B52" i="1"/>
  <c r="F34" i="15"/>
  <c r="C34" i="15"/>
  <c r="C31" i="15"/>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BC5" i="3"/>
  <c r="BB5" i="3"/>
  <c r="BB10" i="3"/>
  <c r="BC10" i="3"/>
  <c r="BD10" i="3"/>
  <c r="BE10" i="3"/>
  <c r="BF10" i="3"/>
  <c r="BG10" i="3"/>
  <c r="BH10" i="3"/>
  <c r="BI10" i="3"/>
  <c r="BJ10" i="3"/>
  <c r="BK10" i="3"/>
  <c r="BD5" i="3"/>
  <c r="BE5" i="3"/>
  <c r="BF5" i="3"/>
  <c r="BG5" i="3"/>
  <c r="BH5" i="3"/>
  <c r="BI5" i="3"/>
  <c r="BJ5" i="3"/>
  <c r="BK5" i="3"/>
  <c r="E8" i="6"/>
  <c r="F27" i="6"/>
  <c r="BM5" i="3"/>
  <c r="BO5" i="3"/>
  <c r="F29" i="6"/>
  <c r="F30" i="6"/>
  <c r="F31" i="6"/>
  <c r="D19" i="6"/>
  <c r="D21" i="6"/>
  <c r="D22" i="6"/>
  <c r="D23" i="6"/>
  <c r="D24" i="6"/>
  <c r="D25" i="6"/>
  <c r="D26" i="6"/>
  <c r="D27" i="6"/>
  <c r="D28" i="6"/>
  <c r="BN5" i="3"/>
  <c r="BP5" i="3"/>
  <c r="G29" i="6"/>
  <c r="E29" i="6"/>
  <c r="D29" i="6"/>
  <c r="D30" i="6"/>
  <c r="D31" i="6"/>
  <c r="I6" i="6"/>
  <c r="C11" i="21"/>
  <c r="D69" i="21"/>
  <c r="E69" i="21"/>
  <c r="F69" i="21"/>
  <c r="F11" i="21"/>
  <c r="AA11" i="21"/>
  <c r="C33" i="21"/>
  <c r="D104" i="21"/>
  <c r="E104" i="21"/>
  <c r="F33" i="21"/>
  <c r="AA3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F104" i="21"/>
  <c r="G104"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D120" i="39"/>
  <c r="E120" i="39"/>
  <c r="F120" i="39"/>
  <c r="G120" i="39"/>
  <c r="I40" i="39"/>
  <c r="E40" i="39"/>
  <c r="I48" i="39"/>
  <c r="E48" i="39"/>
  <c r="I9" i="39"/>
  <c r="E9" i="39"/>
  <c r="I7" i="39"/>
  <c r="E7" i="39"/>
  <c r="G9" i="39"/>
  <c r="G7" i="39"/>
  <c r="G40" i="39"/>
  <c r="G48" i="39"/>
  <c r="D73" i="39"/>
  <c r="E73" i="39"/>
  <c r="F73" i="39"/>
  <c r="G73" i="39"/>
  <c r="H73" i="39"/>
  <c r="I73" i="39"/>
  <c r="J73" i="39"/>
  <c r="K73" i="39"/>
  <c r="L73" i="39"/>
  <c r="M73" i="39"/>
  <c r="N73" i="39"/>
  <c r="D19" i="4"/>
  <c r="C12" i="39"/>
  <c r="C8" i="12"/>
  <c r="H104" i="21"/>
  <c r="B3" i="15"/>
  <c r="D8" i="12"/>
  <c r="C9" i="12"/>
  <c r="D9" i="12"/>
  <c r="C17" i="9"/>
  <c r="D17" i="9"/>
  <c r="C18" i="9"/>
  <c r="D18" i="9"/>
  <c r="C106" i="9"/>
  <c r="I4" i="6"/>
  <c r="C13" i="3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G19" i="4"/>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K21" i="6"/>
  <c r="M21" i="6"/>
  <c r="I21" i="6"/>
  <c r="H21" i="6"/>
  <c r="R21" i="6"/>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R23" i="6"/>
  <c r="R25" i="6"/>
  <c r="R8" i="1"/>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D22" i="9"/>
  <c r="B5" i="39"/>
  <c r="B3" i="39"/>
  <c r="C20" i="9"/>
  <c r="G20" i="9"/>
  <c r="B4" i="39"/>
  <c r="C21" i="9"/>
  <c r="G21" i="9"/>
  <c r="G19"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<sst xmlns="http://schemas.openxmlformats.org/spreadsheetml/2006/main" count="8705" uniqueCount="3273">
  <si>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</si>
  <si>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</si>
  <si>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</si>
  <si>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</si>
  <si>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</si>
  <si>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</si>
  <si>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</si>
  <si>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</si>
  <si>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</si>
  <si>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</si>
  <si>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</si>
  <si>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</si>
  <si>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</si>
  <si>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</si>
  <si>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</si>
  <si>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</si>
  <si>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</si>
  <si>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</si>
  <si>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</si>
  <si>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</si>
  <si>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</si>
  <si>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</si>
  <si>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</si>
  <si>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</si>
  <si>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</si>
  <si>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</si>
  <si>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</si>
  <si>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</si>
  <si>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</si>
  <si>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</si>
  <si>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</si>
  <si>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</si>
  <si>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</si>
  <si>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</si>
  <si>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</si>
  <si>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</si>
  <si>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</si>
  <si>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</si>
  <si>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</si>
  <si>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</si>
  <si>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</si>
  <si>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</si>
  <si>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</si>
  <si>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</si>
  <si>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</si>
  <si>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</si>
  <si>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</si>
  <si>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</si>
  <si>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</si>
  <si>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</si>
  <si>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</si>
  <si>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</si>
  <si>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</si>
  <si>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</si>
  <si>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</si>
  <si>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</si>
  <si>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</si>
  <si>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</si>
  <si>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</si>
  <si>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</si>
  <si>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</si>
  <si>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</si>
  <si>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</si>
  <si>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</si>
  <si>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</si>
  <si>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</si>
  <si>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</si>
  <si>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</si>
  <si>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</si>
  <si>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</si>
  <si>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</si>
  <si>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</si>
  <si>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</si>
  <si>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</si>
  <si>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</si>
  <si>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</si>
  <si>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</si>
  <si>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</si>
  <si>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</si>
  <si>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</si>
  <si>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</si>
  <si>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</si>
  <si>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</si>
  <si>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</si>
  <si>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</si>
  <si>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</si>
  <si>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</si>
  <si>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</si>
  <si>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</si>
  <si>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</si>
  <si>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</si>
  <si>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</si>
  <si>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</si>
  <si>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</si>
  <si>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</si>
  <si>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</si>
  <si>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</si>
  <si>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</si>
  <si>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</si>
  <si>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</si>
  <si>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</si>
  <si>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</si>
  <si>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</si>
  <si>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</si>
  <si>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</si>
  <si>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</si>
  <si>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</si>
  <si>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</si>
  <si>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</si>
  <si>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</si>
  <si>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</si>
  <si>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</si>
  <si>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</si>
  <si>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</si>
  <si>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</si>
  <si>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</si>
  <si>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</si>
  <si>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</si>
  <si>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</si>
  <si>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</si>
  <si>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</si>
  <si>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</si>
  <si>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</si>
  <si>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</si>
  <si>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</si>
  <si>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</si>
  <si>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</si>
  <si>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</si>
  <si>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</si>
  <si>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</si>
  <si>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</si>
  <si>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</si>
  <si>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</si>
  <si>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</si>
  <si>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</si>
  <si>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</si>
  <si>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</si>
  <si>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</si>
  <si>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</si>
  <si>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</si>
  <si>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</si>
  <si>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</si>
  <si>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</si>
  <si>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</si>
  <si>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</si>
  <si>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</si>
  <si>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</si>
  <si>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</si>
  <si>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</si>
  <si>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</si>
  <si>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</si>
  <si>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</si>
  <si>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</si>
  <si>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</si>
  <si>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</si>
  <si>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</si>
  <si>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</si>
  <si>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</si>
  <si>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</si>
  <si>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</si>
  <si>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</si>
  <si>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</si>
  <si>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</si>
  <si>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</si>
  <si>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</si>
  <si>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</si>
  <si>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</si>
  <si>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</si>
  <si>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</si>
  <si>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</si>
  <si>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</si>
  <si>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</si>
  <si>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</si>
  <si>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</si>
  <si>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</si>
  <si>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</si>
  <si>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</si>
  <si>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</si>
  <si>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</si>
  <si>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</si>
  <si>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</si>
  <si>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</si>
  <si>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</si>
  <si>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</si>
  <si>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</si>
  <si>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</si>
  <si>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</si>
  <si>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</si>
  <si>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</si>
  <si>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</si>
  <si>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</si>
  <si>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</si>
  <si>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</si>
  <si>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</si>
  <si>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</si>
  <si>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</si>
  <si>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</si>
  <si>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</si>
  <si>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</si>
  <si>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</si>
  <si>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</si>
  <si>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</si>
  <si>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</si>
  <si>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</si>
  <si>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</si>
  <si>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</si>
  <si>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</si>
  <si>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</si>
  <si>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</si>
  <si>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</si>
  <si>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</si>
  <si>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</si>
  <si>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</si>
  <si>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</si>
  <si>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</si>
  <si>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</si>
  <si>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</si>
  <si>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</si>
  <si>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</si>
  <si>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</si>
  <si>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</si>
  <si>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</si>
  <si>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</si>
  <si>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</si>
  <si>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</si>
  <si>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</si>
  <si>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</si>
  <si>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</si>
  <si>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</si>
  <si>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</si>
  <si>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</si>
  <si>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</si>
  <si>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</si>
  <si>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</si>
  <si>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</si>
  <si>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</si>
  <si>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</si>
  <si>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</si>
  <si>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</si>
  <si>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</si>
  <si>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</si>
  <si>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</si>
  <si>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</si>
  <si>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</si>
  <si>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</si>
  <si>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</si>
  <si>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</si>
  <si>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</si>
  <si>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</si>
  <si>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</si>
  <si>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</si>
  <si>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</si>
  <si>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</si>
  <si>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</si>
  <si>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</si>
  <si>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</si>
  <si>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</si>
  <si>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</si>
  <si>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</si>
  <si>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</si>
  <si>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</si>
  <si>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</si>
  <si>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</si>
  <si>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</si>
  <si>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</si>
  <si>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</si>
  <si>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</si>
  <si>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</si>
  <si>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</si>
  <si>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</si>
  <si>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</si>
  <si>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</si>
  <si>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</si>
  <si>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</si>
  <si>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</si>
  <si>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</si>
  <si>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</si>
  <si>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</si>
  <si>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</si>
  <si>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</si>
  <si>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</si>
  <si>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</si>
  <si>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</si>
  <si>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</si>
  <si>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</si>
  <si>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</si>
  <si>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</si>
  <si>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</si>
  <si>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</si>
  <si>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</si>
  <si>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</si>
  <si>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</si>
  <si>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</si>
  <si>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</si>
  <si>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</si>
  <si>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</si>
  <si>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</si>
  <si>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</si>
  <si>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</si>
  <si>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</si>
  <si>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</si>
  <si>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</si>
  <si>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</si>
  <si>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</si>
  <si>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</si>
  <si>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</si>
  <si>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</si>
  <si>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</si>
  <si>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</si>
  <si>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</si>
  <si>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</si>
  <si>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</si>
  <si>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</si>
  <si>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</si>
  <si>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</si>
  <si>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</si>
  <si>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</si>
  <si>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</si>
  <si>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</si>
  <si>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</si>
  <si>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</si>
  <si>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</si>
  <si>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</si>
  <si>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</si>
  <si>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</si>
  <si>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</si>
  <si>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</si>
  <si>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</si>
  <si>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</si>
  <si>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</si>
  <si>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</si>
  <si>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</si>
  <si>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</si>
  <si>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</si>
  <si>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</si>
  <si>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</si>
  <si>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</si>
  <si>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</si>
  <si>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</si>
  <si>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</si>
  <si>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</si>
  <si>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</si>
  <si>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</si>
  <si>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</si>
  <si>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</si>
  <si>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</si>
  <si>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</si>
  <si>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</si>
  <si>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</si>
  <si>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</si>
  <si>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</si>
  <si>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</si>
  <si>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</si>
  <si>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</si>
  <si>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</si>
  <si>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</si>
  <si>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</si>
  <si>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</si>
  <si>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</si>
  <si>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</si>
  <si>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</si>
  <si>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</si>
  <si>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</si>
  <si>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</si>
  <si>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</si>
  <si>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</si>
  <si>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</si>
  <si>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</si>
  <si>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</si>
  <si>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</si>
  <si>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</si>
  <si>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</si>
  <si>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</si>
  <si>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</si>
  <si>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</si>
  <si>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</si>
  <si>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</si>
  <si>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</si>
  <si>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</si>
  <si>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</si>
  <si>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</si>
  <si>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</si>
  <si>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</si>
  <si>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</si>
  <si>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</si>
  <si>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</si>
  <si>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</si>
  <si>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</si>
  <si>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</si>
  <si>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</si>
  <si>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</si>
  <si>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</si>
  <si>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</si>
  <si>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</si>
  <si>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</si>
  <si>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</si>
  <si>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</si>
  <si>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</si>
  <si>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</si>
  <si>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</si>
  <si>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</si>
  <si>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</si>
  <si>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</si>
  <si>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</si>
  <si>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</si>
  <si>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</si>
  <si>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</si>
  <si>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</si>
  <si>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</si>
  <si>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</si>
  <si>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</si>
  <si>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</si>
  <si>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</si>
  <si>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</si>
  <si>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</si>
  <si>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</si>
  <si>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</si>
  <si>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</si>
  <si>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</si>
  <si>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</si>
  <si>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</si>
  <si>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</si>
  <si>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</si>
  <si>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</si>
  <si>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</si>
  <si>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</si>
  <si>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</si>
  <si>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</si>
  <si>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</si>
  <si>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</si>
  <si>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</si>
  <si>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</si>
  <si>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</si>
  <si>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</si>
  <si>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</si>
  <si>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</si>
  <si>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</si>
  <si>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</si>
  <si>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</si>
  <si>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</si>
  <si>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</si>
  <si>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</si>
  <si>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</si>
  <si>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</si>
  <si>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</si>
  <si>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</si>
  <si>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</si>
  <si>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</si>
  <si>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</si>
  <si>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</si>
  <si>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</si>
  <si>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</si>
  <si>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</si>
  <si>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</si>
  <si>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</si>
  <si>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</si>
  <si>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</si>
  <si>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</si>
  <si>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</si>
  <si>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</si>
  <si>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</si>
  <si>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</si>
  <si>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</si>
  <si>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</si>
  <si>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</si>
  <si>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</si>
  <si>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</si>
  <si>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</si>
  <si>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</si>
  <si>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</si>
  <si>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</si>
  <si>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</si>
  <si>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</si>
  <si>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</si>
  <si>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</si>
  <si>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</si>
  <si>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</si>
  <si>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</si>
  <si>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</si>
  <si>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</si>
  <si>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</si>
  <si>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</si>
  <si>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</si>
  <si>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</si>
  <si>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</si>
  <si>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</si>
  <si>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</si>
  <si>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</si>
  <si>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</si>
  <si>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</si>
  <si>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</si>
  <si>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</si>
  <si>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</si>
  <si>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</si>
  <si>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</si>
  <si>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</si>
  <si>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</si>
  <si>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</si>
  <si>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</si>
  <si>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</si>
  <si>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</si>
  <si>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</si>
  <si>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</si>
  <si>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</si>
  <si>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</si>
  <si>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</si>
  <si>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</si>
  <si>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</si>
  <si>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</si>
  <si>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</si>
  <si>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</si>
  <si>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</si>
  <si>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</si>
  <si>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</si>
  <si>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</si>
  <si>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</si>
  <si>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</si>
  <si>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</si>
  <si>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</si>
  <si>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</si>
  <si>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</si>
  <si>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</si>
  <si>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</si>
  <si>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</si>
  <si>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</si>
  <si>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</si>
  <si>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</si>
  <si>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</si>
  <si>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</si>
  <si>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</si>
  <si>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</si>
  <si>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</si>
  <si>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</si>
  <si>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</si>
  <si>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</si>
  <si>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</si>
  <si>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</si>
  <si>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</si>
  <si>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</si>
  <si>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</si>
  <si>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</si>
  <si>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</si>
  <si>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</si>
  <si>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</si>
  <si>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</si>
  <si>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</si>
  <si>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</si>
  <si>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</si>
  <si>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</si>
  <si>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</si>
  <si>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</si>
  <si>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</si>
  <si>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</si>
  <si>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</si>
  <si>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</si>
  <si>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</si>
  <si>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</si>
  <si>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</si>
  <si>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</si>
  <si>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</si>
  <si>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</si>
  <si>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</si>
  <si>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</si>
  <si>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</si>
  <si>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</si>
  <si>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</si>
  <si>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</si>
  <si>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</si>
  <si>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</si>
  <si>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</si>
  <si>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</si>
  <si>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</si>
  <si>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</si>
  <si>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</si>
  <si>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</si>
  <si>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</si>
  <si>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</si>
  <si>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</si>
  <si>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</si>
  <si>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</si>
  <si>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</si>
  <si>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</si>
  <si>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</si>
  <si>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</si>
  <si>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</si>
  <si>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</si>
  <si>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</si>
  <si>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</si>
  <si>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</si>
  <si>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</si>
  <si>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</si>
  <si>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</si>
  <si>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</si>
  <si>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</si>
  <si>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</si>
  <si>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</si>
  <si>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</si>
  <si>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</si>
  <si>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</si>
  <si>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</si>
  <si>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</si>
  <si>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</si>
  <si>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</si>
  <si>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</si>
  <si>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</si>
  <si>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</si>
  <si>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</si>
  <si>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</si>
  <si>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</si>
  <si>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</si>
  <si>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</si>
  <si>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</si>
  <si>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</si>
  <si>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</si>
  <si>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</si>
  <si>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</si>
  <si>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</si>
  <si>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</si>
  <si>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</si>
  <si>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</si>
  <si>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</si>
  <si>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</si>
  <si>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</si>
  <si>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</si>
  <si>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</si>
  <si>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</si>
  <si>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</si>
  <si>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</si>
  <si>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</si>
  <si>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</si>
  <si>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</si>
  <si>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</si>
  <si>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</si>
  <si>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</si>
  <si>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</si>
  <si>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</si>
  <si>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</si>
  <si>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</si>
  <si>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</si>
  <si>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</si>
  <si>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</si>
  <si>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</si>
  <si>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</si>
  <si>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</si>
  <si>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</si>
  <si>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</si>
  <si>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</si>
  <si>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</si>
  <si>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</si>
  <si>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</si>
  <si>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</si>
  <si>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</si>
  <si>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</si>
  <si>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</si>
  <si>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</si>
  <si>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</si>
  <si>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</si>
  <si>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</si>
  <si>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</si>
  <si>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</si>
  <si>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</si>
  <si>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</si>
  <si>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</si>
  <si>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</si>
  <si>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</si>
  <si>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</si>
  <si>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</si>
  <si>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</si>
  <si>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</si>
  <si>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</si>
  <si>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</si>
  <si>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</si>
  <si>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</si>
  <si>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</si>
  <si>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</si>
  <si>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</si>
  <si>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</si>
  <si>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</si>
  <si>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</si>
  <si>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</si>
  <si>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</si>
  <si>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</si>
  <si>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</si>
  <si>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</si>
  <si>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</si>
  <si>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</si>
  <si>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</si>
  <si>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</si>
  <si>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</si>
  <si>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</si>
  <si>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</si>
  <si>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</si>
  <si>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</si>
  <si>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</si>
  <si>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</si>
  <si>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</si>
  <si>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</si>
  <si>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</si>
  <si>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</si>
  <si>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</si>
  <si>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</si>
  <si>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</si>
  <si>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</si>
  <si>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</si>
  <si>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</si>
  <si>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</si>
  <si>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</si>
  <si>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</si>
  <si>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</si>
  <si>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</si>
  <si>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</si>
  <si>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</si>
  <si>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</si>
  <si>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</si>
  <si>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</si>
  <si>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</si>
  <si>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</si>
  <si>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</si>
  <si>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</si>
  <si>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</si>
  <si>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</si>
  <si>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</si>
  <si>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</si>
  <si>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</si>
  <si>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</si>
  <si>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</si>
  <si>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</si>
  <si>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</si>
  <si>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</si>
  <si>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</si>
  <si>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</si>
  <si>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</si>
  <si>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</si>
  <si>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</si>
  <si>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</si>
  <si>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</si>
  <si>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</si>
  <si>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</si>
  <si>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</si>
  <si>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</si>
  <si>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</si>
  <si>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</si>
  <si>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</si>
  <si>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</si>
  <si>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</si>
  <si>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</si>
  <si>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</si>
  <si>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</si>
  <si>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</si>
  <si>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</si>
  <si>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</si>
  <si>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</si>
  <si>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</si>
  <si>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</si>
  <si>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</si>
  <si>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</si>
  <si>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</si>
  <si>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</si>
  <si>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</si>
  <si>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</si>
  <si>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</si>
  <si>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</si>
  <si>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</si>
  <si>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</si>
  <si>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</si>
  <si>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</si>
  <si>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</si>
  <si>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</si>
  <si>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</si>
  <si>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</si>
  <si>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</si>
  <si>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</si>
  <si>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</si>
  <si>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</si>
  <si>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</si>
  <si>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</si>
  <si>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</si>
  <si>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</si>
  <si>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</si>
  <si>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</si>
  <si>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</si>
  <si>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</si>
  <si>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</si>
  <si>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</si>
  <si>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</si>
  <si>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</si>
  <si>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</si>
  <si>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</si>
  <si>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</si>
  <si>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</si>
  <si>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</si>
  <si>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</si>
  <si>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</si>
  <si>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</si>
  <si>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</si>
  <si>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</si>
  <si>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</si>
  <si>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</si>
  <si>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</si>
  <si>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</si>
  <si>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</si>
  <si>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</si>
  <si>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</si>
  <si>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</si>
  <si>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</si>
  <si>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</si>
  <si>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</si>
  <si>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</si>
  <si>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</si>
  <si>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</si>
  <si>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</si>
  <si>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</si>
  <si>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</si>
  <si>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</si>
  <si>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</si>
  <si>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</si>
  <si>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</si>
  <si>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</si>
  <si>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</si>
  <si>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</si>
  <si>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</si>
  <si>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</si>
  <si>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</si>
  <si>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</si>
  <si>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</si>
  <si>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</si>
  <si>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</si>
  <si>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</si>
  <si>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</si>
  <si>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</si>
  <si>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</si>
  <si>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</si>
  <si>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</si>
  <si>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</si>
  <si>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</si>
  <si>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</si>
  <si>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</si>
  <si>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</si>
  <si>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</si>
  <si>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</si>
  <si>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</si>
  <si>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</si>
  <si>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</si>
  <si>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</si>
  <si>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</si>
  <si>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</si>
  <si>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</si>
  <si>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</si>
  <si>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</si>
  <si>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</si>
  <si>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</si>
  <si>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</si>
  <si>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</si>
  <si>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</si>
  <si>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</si>
  <si>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</si>
  <si>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</si>
  <si>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</si>
  <si>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</si>
  <si>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</si>
  <si>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</si>
  <si>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</si>
  <si>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</si>
  <si>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</si>
  <si>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</si>
  <si>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</si>
  <si>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</si>
  <si>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</si>
  <si>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</si>
  <si>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</si>
  <si>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</si>
  <si>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</si>
  <si>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</si>
  <si>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</si>
  <si>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</si>
  <si>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</si>
  <si>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</si>
  <si>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</si>
  <si>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</si>
  <si>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</si>
  <si>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</si>
  <si>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</si>
  <si>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</si>
  <si>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</si>
  <si>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</si>
  <si>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</si>
  <si>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</si>
  <si>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</si>
  <si>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</si>
  <si>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</si>
  <si>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</si>
  <si>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</si>
  <si>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</si>
  <si>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</si>
  <si>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</si>
  <si>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</si>
  <si>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</si>
  <si>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</si>
  <si>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</si>
  <si>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</si>
  <si>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</si>
  <si>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</si>
  <si>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</si>
  <si>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</si>
  <si>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</si>
  <si>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</si>
  <si>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</si>
  <si>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</si>
  <si>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</si>
  <si>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</si>
  <si>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</si>
  <si>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</si>
  <si>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</si>
  <si>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</si>
  <si>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</si>
  <si>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</si>
  <si>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</si>
  <si>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</si>
  <si>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</si>
  <si>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</si>
  <si>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</si>
  <si>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</si>
  <si>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</si>
  <si>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</si>
  <si>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</si>
  <si>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</si>
  <si>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</si>
  <si>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</si>
  <si>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</si>
  <si>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</si>
  <si>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</si>
  <si>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</si>
  <si>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</si>
  <si>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</si>
  <si>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</si>
  <si>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</si>
  <si>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</si>
  <si>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</si>
  <si>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</si>
  <si>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</si>
  <si>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</si>
  <si>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</si>
  <si>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</si>
  <si>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</si>
  <si>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</si>
  <si>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</si>
  <si>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</si>
  <si>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</si>
  <si>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</si>
  <si>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</si>
  <si>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</si>
  <si>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</si>
  <si>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</si>
  <si>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</si>
  <si>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</si>
  <si>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</si>
  <si>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</si>
  <si>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</si>
  <si>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</si>
  <si>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</si>
  <si>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</si>
  <si>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</si>
  <si>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</si>
  <si>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</si>
  <si>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</si>
  <si>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</si>
  <si>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</si>
  <si>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</si>
  <si>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</si>
  <si>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</si>
  <si>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</si>
  <si>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</si>
  <si>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</si>
  <si>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</si>
  <si>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</si>
  <si>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</si>
  <si>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</si>
  <si>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</si>
  <si>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</si>
  <si>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</si>
  <si>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</si>
  <si>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</si>
  <si>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</si>
  <si>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</si>
  <si>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</si>
  <si>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</si>
  <si>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</si>
  <si>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</si>
  <si>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</si>
  <si>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</si>
  <si>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</si>
  <si>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</si>
  <si>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</si>
  <si>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</si>
  <si>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</si>
  <si>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</si>
  <si>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</si>
  <si>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</si>
  <si>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</si>
  <si>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</si>
  <si>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</si>
  <si>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</si>
  <si>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</si>
  <si>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</si>
  <si>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</si>
  <si>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</si>
  <si>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</si>
  <si>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</si>
  <si>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</si>
  <si>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</si>
  <si>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</si>
  <si>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</si>
  <si>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</si>
  <si>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</si>
  <si>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</si>
  <si>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</si>
  <si>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</si>
  <si>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</si>
  <si>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</si>
  <si>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</si>
  <si>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</si>
  <si>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</si>
  <si>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</si>
  <si>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</si>
  <si>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</si>
  <si>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</si>
  <si>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</si>
  <si>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</si>
  <si>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</si>
  <si>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</si>
  <si>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</si>
  <si>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</si>
  <si>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</si>
  <si>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</si>
  <si>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</si>
  <si>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</si>
  <si>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</si>
  <si>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</si>
  <si>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</si>
  <si>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</si>
  <si>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</si>
  <si>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</si>
  <si>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</si>
  <si>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</si>
  <si>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</si>
  <si>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</si>
  <si>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</si>
  <si>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</si>
  <si>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</si>
  <si>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</si>
  <si>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</si>
  <si>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</si>
  <si>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</si>
  <si>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</si>
  <si>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</si>
  <si>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</si>
  <si>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</si>
  <si>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</si>
  <si>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</si>
  <si>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</si>
  <si>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</si>
  <si>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</si>
  <si>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</si>
  <si>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</si>
  <si>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</si>
  <si>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</si>
  <si>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</si>
  <si>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</si>
  <si>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</si>
  <si>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</si>
  <si>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</si>
  <si>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</si>
  <si>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</si>
  <si>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</si>
  <si>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</si>
  <si>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</si>
  <si>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</si>
  <si>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</si>
  <si>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</si>
  <si>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</si>
  <si>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</si>
  <si>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</si>
  <si>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</si>
  <si>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</si>
  <si>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</si>
  <si>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</si>
  <si>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</si>
  <si>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</si>
  <si>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</si>
  <si>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</si>
  <si>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</si>
  <si>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</si>
  <si>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</si>
  <si>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</si>
  <si>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</si>
  <si>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</si>
  <si>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</si>
  <si>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</si>
  <si>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</si>
  <si>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</si>
  <si>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</si>
  <si>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</si>
  <si>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</si>
  <si>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</si>
  <si>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</si>
  <si>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</si>
  <si>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</si>
  <si>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</si>
  <si>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</si>
  <si>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</si>
  <si>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</si>
  <si>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</si>
  <si>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</si>
  <si>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</si>
  <si>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</si>
  <si>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</si>
  <si>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</si>
  <si>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</si>
  <si>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</si>
  <si>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</si>
  <si>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</si>
  <si>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</si>
  <si>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</si>
  <si>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</si>
  <si>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</si>
  <si>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</si>
  <si>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</si>
  <si>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</si>
  <si>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</si>
  <si>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</si>
  <si>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</si>
  <si>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</si>
  <si>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</si>
  <si>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</si>
  <si>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</si>
  <si>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</si>
  <si>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</si>
  <si>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</si>
  <si>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</si>
  <si>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</si>
  <si>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</si>
  <si>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</si>
  <si>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</si>
  <si>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</si>
  <si>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</si>
  <si>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</si>
  <si>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</si>
  <si>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</si>
  <si>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</si>
  <si>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</si>
  <si>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</si>
  <si>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</si>
  <si>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</si>
  <si>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</si>
  <si>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</si>
  <si>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</si>
  <si>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</si>
  <si>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</si>
  <si>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</si>
  <si>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</si>
  <si>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</si>
  <si>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</si>
  <si>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</si>
  <si>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</si>
  <si>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</si>
  <si>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</si>
  <si>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</si>
  <si>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</si>
  <si>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</si>
  <si>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</si>
  <si>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</si>
  <si>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</si>
  <si>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</si>
  <si>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</si>
  <si>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</si>
  <si>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</si>
  <si>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</si>
  <si>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</si>
  <si>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</si>
  <si>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</si>
  <si>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</si>
  <si>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</si>
  <si>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</si>
  <si>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</si>
  <si>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</si>
  <si>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</si>
  <si>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</si>
  <si>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</si>
  <si>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</si>
  <si>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</si>
  <si>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</si>
  <si>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</si>
  <si>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</si>
  <si>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</si>
  <si>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</si>
  <si>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</si>
  <si>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</si>
  <si>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</si>
  <si>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</si>
  <si>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</si>
  <si>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</si>
  <si>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</si>
  <si>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</si>
  <si>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</si>
  <si>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</si>
  <si>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</si>
  <si>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</si>
  <si>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</si>
  <si>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</si>
  <si>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</si>
  <si>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</si>
  <si>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</si>
  <si>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</si>
  <si>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</si>
  <si>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</si>
  <si>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</si>
  <si>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</si>
  <si>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</si>
  <si>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</si>
  <si>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</si>
  <si>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</si>
  <si>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</si>
  <si>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</si>
  <si>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</si>
  <si>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</si>
  <si>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</si>
  <si>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</si>
  <si>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</si>
  <si>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</si>
  <si>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</si>
  <si>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</si>
  <si>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</si>
  <si>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</si>
  <si>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</si>
  <si>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</si>
  <si>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</si>
  <si>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</si>
  <si>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</si>
  <si>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</si>
  <si>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</si>
  <si>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</si>
  <si>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</si>
  <si>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</si>
  <si>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</si>
  <si>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</si>
  <si>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</si>
  <si>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</si>
  <si>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</si>
  <si>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</si>
  <si>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</si>
  <si>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</si>
  <si>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</si>
  <si>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</si>
  <si>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</si>
  <si>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</si>
  <si>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</si>
  <si>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</si>
  <si>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</si>
  <si>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</si>
  <si>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</si>
  <si>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</si>
  <si>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</si>
  <si>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</si>
  <si>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</si>
  <si>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</si>
  <si>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</si>
  <si>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</si>
  <si>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</si>
  <si>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</si>
  <si>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</si>
  <si>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</si>
  <si>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</si>
  <si>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</si>
  <si>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</si>
  <si>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</si>
  <si>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</si>
  <si>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</si>
  <si>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</si>
  <si>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</si>
  <si>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</si>
  <si>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</si>
  <si>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</si>
  <si>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</si>
  <si>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</si>
  <si>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</si>
  <si>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</si>
  <si>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</si>
  <si>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</si>
  <si>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</si>
  <si>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</si>
  <si>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</si>
  <si>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</si>
  <si>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</si>
  <si>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</si>
  <si>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</si>
  <si>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</si>
  <si>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</si>
  <si>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</si>
  <si>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</si>
  <si>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</si>
  <si>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</si>
  <si>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</si>
  <si>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</si>
  <si>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</si>
  <si>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</si>
  <si>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</si>
  <si>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</si>
  <si>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</si>
  <si>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</si>
  <si>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</si>
  <si>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</si>
  <si>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</si>
  <si>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</si>
  <si>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</si>
  <si>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</si>
  <si>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</si>
  <si>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</si>
  <si>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</si>
  <si>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</si>
  <si>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</si>
  <si>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</si>
  <si>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</si>
  <si>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</si>
  <si>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</si>
  <si>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</si>
  <si>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</si>
  <si>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</si>
  <si>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</si>
  <si>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</si>
  <si>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</si>
  <si>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</si>
  <si>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</si>
  <si>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</si>
  <si>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</si>
  <si>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</si>
  <si>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</si>
  <si>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</si>
  <si>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</si>
  <si>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</si>
  <si>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</si>
  <si>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</si>
  <si>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</si>
  <si>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</si>
  <si>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</si>
  <si>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</si>
  <si>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</si>
  <si>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</si>
  <si>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</si>
  <si>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</si>
  <si>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</si>
  <si>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</si>
  <si>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</si>
  <si>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</si>
  <si>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</si>
  <si>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</si>
  <si>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</si>
  <si>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</si>
  <si>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</si>
  <si>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</si>
  <si>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</si>
  <si>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</si>
  <si>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</si>
  <si>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</si>
  <si>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</si>
  <si>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</si>
  <si>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</si>
  <si>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</si>
  <si>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</si>
  <si>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</si>
  <si>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</si>
  <si>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</si>
  <si>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</si>
  <si>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</si>
  <si>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</si>
  <si>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</si>
  <si>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</si>
  <si>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</si>
  <si>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</si>
  <si>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</si>
  <si>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</si>
  <si>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</si>
  <si>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</si>
  <si>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</si>
  <si>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</si>
  <si>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</si>
  <si>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</si>
  <si>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</si>
  <si>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</si>
  <si>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</si>
  <si>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</si>
  <si>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</si>
  <si>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</si>
  <si>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</si>
  <si>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</si>
  <si>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</si>
  <si>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</si>
  <si>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</si>
  <si>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</si>
  <si>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</si>
  <si>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</si>
  <si>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</si>
  <si>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</si>
  <si>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</si>
  <si>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</si>
  <si>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</si>
  <si>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</si>
  <si>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</si>
  <si>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</si>
  <si>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</si>
  <si>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</si>
  <si>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</si>
  <si>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</si>
  <si>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</si>
  <si>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</si>
  <si>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</si>
  <si>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</si>
  <si>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</si>
  <si>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</si>
  <si>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</si>
  <si>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</si>
  <si>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</si>
  <si>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</si>
  <si>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</si>
  <si>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</si>
  <si>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</si>
  <si>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</si>
  <si>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</si>
  <si>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</si>
  <si>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</si>
  <si>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</si>
  <si>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</si>
  <si>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</si>
  <si>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</si>
  <si>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</si>
  <si>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</si>
  <si>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</si>
  <si>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</si>
  <si>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</si>
  <si>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</si>
  <si>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</si>
  <si>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</si>
  <si>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</si>
  <si>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</si>
  <si>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</si>
  <si>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</si>
  <si>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</si>
  <si>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</si>
  <si>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</si>
  <si>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</si>
  <si>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</si>
  <si>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</si>
  <si>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</si>
  <si>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</si>
  <si>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</si>
  <si>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</si>
  <si>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</si>
  <si>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</si>
  <si>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</si>
  <si>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</si>
  <si>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</si>
  <si>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</si>
  <si>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</si>
  <si>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</si>
  <si>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</si>
  <si>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</si>
  <si>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</si>
  <si>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</si>
  <si>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</si>
  <si>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</si>
  <si>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</si>
  <si>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</si>
  <si>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</si>
  <si>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</si>
  <si>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</si>
  <si>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</si>
  <si>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</si>
  <si>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</si>
  <si>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</si>
  <si>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</si>
  <si>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</si>
  <si>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</si>
  <si>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</si>
  <si>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</si>
  <si>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</si>
  <si>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</si>
  <si>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</si>
  <si>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</si>
  <si>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</si>
  <si>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</si>
  <si>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</si>
  <si>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</si>
  <si>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</si>
  <si>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</si>
  <si>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</si>
  <si>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</si>
  <si>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</si>
  <si>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</si>
  <si>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</si>
  <si>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</si>
  <si>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</si>
  <si>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</si>
  <si>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</si>
  <si>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</si>
  <si>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</si>
  <si>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</si>
  <si>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</si>
  <si>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</si>
  <si>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</si>
  <si>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</si>
  <si>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</si>
  <si>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</si>
  <si>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</si>
  <si>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</si>
  <si>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</si>
  <si>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</si>
  <si>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</si>
  <si>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</si>
  <si>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</si>
  <si>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</si>
  <si>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</si>
  <si>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</si>
  <si>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</si>
  <si>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</si>
  <si>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</si>
  <si>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</si>
  <si>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</si>
  <si>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</si>
  <si>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</si>
  <si>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</si>
  <si>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</si>
  <si>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</si>
  <si>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</si>
  <si>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</si>
  <si>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</si>
  <si>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</si>
  <si>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</si>
  <si>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</si>
  <si>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</si>
  <si>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</si>
  <si>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</si>
  <si>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</si>
  <si>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</si>
  <si>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</si>
  <si>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</si>
  <si>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</si>
  <si>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</si>
  <si>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</si>
  <si>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</si>
  <si>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</si>
  <si>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</si>
  <si>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</si>
  <si>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</si>
  <si>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</si>
  <si>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</si>
  <si>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</si>
  <si>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</si>
  <si>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</si>
  <si>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</si>
  <si>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</si>
  <si>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</si>
  <si>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</si>
  <si>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</si>
  <si>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</si>
  <si>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</si>
  <si>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</si>
  <si>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</si>
  <si>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</si>
  <si>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</si>
  <si>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</si>
  <si>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</si>
  <si>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</si>
  <si>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</si>
  <si>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</si>
  <si>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</si>
  <si>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</si>
  <si>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</si>
  <si>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</si>
  <si>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</si>
  <si>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</si>
  <si>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</si>
  <si>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</si>
  <si>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</si>
  <si>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</si>
  <si>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</si>
  <si>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</si>
  <si>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</si>
  <si>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</si>
  <si>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</si>
  <si>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</si>
  <si>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</si>
  <si>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</si>
  <si>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</si>
  <si>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</si>
  <si>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</si>
  <si>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</si>
  <si>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</si>
  <si>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</si>
  <si>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</si>
  <si>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</si>
  <si>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</si>
  <si>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</si>
  <si>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</si>
  <si>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</si>
  <si>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</si>
  <si>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</si>
  <si>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</si>
  <si>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</si>
  <si>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</si>
  <si>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</si>
  <si>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</si>
  <si>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</si>
  <si>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</si>
  <si>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</si>
  <si>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</si>
  <si>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</si>
  <si>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</si>
  <si>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</si>
  <si>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</si>
  <si>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</si>
  <si>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</si>
  <si>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</si>
  <si>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</si>
  <si>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</si>
  <si>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</si>
  <si>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</si>
  <si>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</si>
  <si>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</si>
  <si>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</si>
  <si>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</si>
  <si>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</si>
  <si>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</si>
  <si>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</si>
  <si>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</si>
  <si>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</si>
  <si>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</si>
  <si>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</si>
  <si>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</si>
  <si>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</si>
  <si>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</si>
  <si>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</si>
  <si>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</si>
  <si>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</si>
  <si>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</si>
  <si>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</si>
  <si>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</si>
  <si>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</si>
  <si>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</si>
  <si>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</si>
  <si>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</si>
  <si>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</si>
  <si>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</si>
  <si>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</si>
  <si>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</si>
  <si>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</si>
  <si>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</si>
  <si>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</si>
  <si>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</si>
  <si>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</si>
  <si>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</si>
  <si>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</si>
  <si>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</si>
  <si>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</si>
  <si>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</si>
  <si>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</si>
  <si>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</si>
  <si>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</si>
  <si>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</si>
  <si>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</si>
  <si>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</si>
  <si>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</si>
  <si>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</si>
  <si>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</si>
  <si>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</si>
  <si>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</si>
  <si>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</si>
  <si>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</si>
  <si>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</si>
  <si>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</si>
  <si>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</si>
  <si>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</si>
  <si>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</si>
  <si>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</si>
  <si>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</si>
  <si>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</si>
  <si>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</si>
  <si>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</si>
  <si>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</si>
  <si>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</si>
  <si>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</si>
  <si>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</si>
  <si>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</si>
  <si>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</si>
  <si>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</si>
  <si>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</si>
  <si>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</si>
  <si>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</si>
  <si>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</si>
  <si>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</si>
  <si>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</si>
  <si>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</si>
  <si>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</si>
  <si>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</si>
  <si>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</si>
  <si>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</si>
  <si>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</si>
  <si>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</si>
  <si>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</si>
  <si>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</si>
  <si>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</si>
  <si>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</si>
  <si>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</si>
  <si>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</si>
  <si>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</si>
  <si>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</si>
  <si>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</si>
  <si>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</si>
  <si>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</si>
  <si>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</si>
  <si>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</si>
  <si>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</si>
  <si>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</si>
  <si>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</si>
  <si>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</si>
  <si>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</si>
  <si>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</si>
  <si>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</si>
  <si>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</si>
  <si>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</si>
  <si>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</si>
  <si>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</si>
  <si>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</si>
  <si>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</si>
  <si>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</si>
  <si>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</si>
  <si>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</si>
  <si>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</si>
  <si>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</si>
  <si>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</si>
  <si>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</si>
  <si>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</si>
  <si>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</si>
  <si>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</si>
  <si>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</si>
  <si>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</si>
  <si>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</si>
  <si>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</si>
  <si>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</si>
  <si>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</si>
  <si>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</si>
  <si>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</si>
  <si>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</si>
  <si>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</si>
  <si>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</si>
  <si>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</si>
  <si>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</si>
  <si>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</si>
  <si>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</si>
  <si>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</si>
  <si>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</si>
  <si>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</si>
  <si>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</si>
  <si>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</si>
  <si>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</si>
  <si>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</si>
  <si>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</si>
  <si>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</si>
  <si>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</si>
  <si>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</si>
  <si>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</si>
  <si>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</si>
  <si>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</si>
  <si>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</si>
  <si>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</si>
  <si>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</si>
  <si>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</si>
  <si>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</si>
  <si>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</si>
  <si>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</si>
  <si>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</si>
  <si>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</si>
  <si>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</si>
  <si>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</si>
  <si>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</si>
  <si>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</si>
  <si>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</si>
  <si>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</si>
  <si>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</si>
  <si>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</si>
  <si>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</si>
  <si>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</si>
  <si>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</si>
  <si>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</si>
  <si>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</si>
  <si>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</si>
  <si>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</si>
  <si>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</si>
  <si>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</si>
  <si>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</si>
  <si>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</si>
  <si>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</si>
  <si>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</si>
  <si>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</si>
  <si>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</si>
  <si>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</si>
  <si>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</si>
  <si>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</si>
  <si>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</si>
  <si>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</si>
  <si>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</si>
  <si>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</si>
  <si>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</si>
  <si>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</si>
  <si>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</si>
  <si>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</si>
  <si>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</si>
  <si>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</si>
  <si>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</si>
  <si>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</si>
  <si>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</si>
  <si>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</si>
  <si>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</si>
  <si>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</si>
  <si>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</si>
  <si>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</si>
  <si>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</si>
  <si>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</si>
  <si>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</si>
  <si>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</si>
  <si>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</si>
  <si>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</si>
  <si>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</si>
  <si>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</si>
  <si>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</si>
  <si>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</si>
  <si>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</si>
  <si>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</si>
  <si>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</si>
  <si>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</si>
  <si>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</si>
  <si>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</si>
  <si>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</si>
  <si>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</si>
  <si>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</si>
  <si>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</si>
  <si>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</si>
  <si>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</si>
  <si>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</si>
  <si>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</si>
  <si>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</si>
  <si>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</si>
  <si>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</si>
  <si>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</si>
  <si>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</si>
  <si>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</si>
  <si>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</si>
  <si>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</si>
  <si>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</si>
  <si>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</si>
  <si>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</si>
  <si>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</si>
  <si>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</si>
  <si>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</si>
  <si>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</si>
  <si>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</si>
  <si>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</si>
  <si>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</si>
  <si>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</si>
  <si>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</si>
  <si>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</si>
  <si>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</si>
  <si>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</si>
  <si>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</si>
  <si>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</si>
  <si>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</si>
  <si>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</si>
  <si>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</si>
  <si>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</si>
  <si>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</si>
  <si>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</si>
  <si>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</si>
  <si>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</si>
  <si>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</si>
  <si>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</si>
  <si>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</si>
  <si>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</si>
  <si>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</si>
  <si>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</si>
  <si>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</si>
  <si>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</si>
  <si>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</si>
  <si>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</si>
  <si>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</si>
  <si>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</si>
  <si>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</si>
  <si>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</si>
  <si>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</si>
  <si>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</si>
  <si>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</si>
  <si>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</si>
  <si>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</si>
  <si>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</si>
  <si>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</si>
  <si>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</si>
  <si>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</si>
  <si>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</si>
  <si>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</si>
  <si>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</si>
  <si>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</si>
  <si>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</si>
  <si>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</si>
  <si>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</si>
  <si>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</si>
  <si>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</si>
  <si>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</si>
  <si>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</si>
  <si>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</si>
  <si>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</si>
  <si>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</si>
  <si>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</si>
  <si>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</si>
  <si>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</si>
  <si>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</si>
  <si>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</si>
  <si>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</si>
  <si>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</si>
  <si>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</si>
  <si>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</si>
  <si>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</si>
  <si>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</si>
  <si>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</si>
  <si>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</si>
  <si>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</si>
  <si>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</si>
  <si>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</si>
  <si>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</si>
  <si>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</si>
  <si>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</si>
  <si>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</si>
  <si>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</si>
  <si>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</si>
  <si>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</si>
  <si>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</si>
  <si>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</si>
  <si>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</si>
  <si>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</si>
  <si>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</si>
  <si>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</si>
  <si>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</si>
  <si>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</si>
  <si>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</si>
  <si>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</si>
  <si>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</si>
  <si>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</si>
  <si>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</si>
  <si>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</si>
  <si>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</si>
  <si>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</si>
  <si>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</si>
  <si>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</si>
  <si>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</si>
  <si>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</si>
  <si>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</si>
  <si>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</si>
  <si>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</si>
  <si>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</si>
  <si>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</si>
  <si>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</si>
  <si>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</si>
  <si>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</si>
  <si>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</si>
  <si>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</si>
  <si>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</si>
  <si>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</si>
  <si>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</si>
  <si>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</si>
  <si>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</si>
  <si>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</si>
  <si>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</si>
  <si>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</si>
  <si>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</si>
  <si>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</si>
  <si>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</si>
  <si>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</si>
  <si>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</si>
  <si>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</si>
  <si>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</si>
  <si>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</si>
  <si>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</si>
  <si>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</si>
  <si>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</si>
  <si>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</si>
  <si>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</si>
  <si>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</si>
  <si>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</si>
  <si>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</si>
  <si>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</si>
  <si>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</si>
  <si>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</si>
  <si>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</si>
  <si>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</si>
  <si>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</si>
  <si>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</si>
  <si>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</si>
  <si>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</si>
  <si>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</si>
  <si>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</si>
  <si>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</si>
  <si>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</si>
  <si>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</si>
  <si>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</si>
  <si>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</si>
  <si>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</si>
  <si>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</si>
  <si>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</si>
  <si>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</si>
  <si>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</si>
  <si>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</si>
  <si>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</si>
  <si>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</si>
  <si>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</si>
  <si>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</si>
  <si>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</si>
  <si>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</si>
  <si>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</si>
  <si>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</si>
  <si>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</si>
  <si>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</si>
  <si>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</si>
  <si>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</si>
  <si>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</si>
  <si>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</si>
  <si>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</si>
  <si>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</si>
  <si>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</si>
  <si>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</si>
  <si>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</si>
  <si>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</si>
  <si>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</si>
  <si>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</si>
  <si>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</si>
  <si>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</si>
  <si>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</si>
  <si>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</si>
  <si>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</si>
  <si>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</si>
  <si>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</si>
  <si>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</si>
  <si>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</si>
  <si>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</si>
  <si>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</si>
  <si>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</si>
  <si>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</si>
  <si>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</si>
  <si>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</si>
  <si>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</si>
  <si>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</si>
  <si>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</si>
  <si>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</si>
  <si>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</si>
  <si>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</si>
  <si>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</si>
  <si>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</si>
  <si>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</si>
  <si>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</si>
  <si>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</si>
  <si>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</si>
  <si>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</si>
  <si>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</si>
  <si>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</si>
  <si>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</si>
  <si>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</si>
  <si>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</si>
  <si>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</si>
  <si>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</si>
  <si>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</si>
  <si>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</si>
  <si>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</si>
  <si>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</si>
  <si>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</si>
  <si>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</si>
  <si>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</si>
  <si>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</si>
  <si>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</si>
  <si>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</si>
  <si>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</si>
  <si>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</si>
  <si>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</si>
  <si>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</si>
  <si>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</si>
  <si>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</si>
  <si>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</si>
  <si>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</si>
  <si>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</si>
  <si>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</si>
  <si>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</si>
  <si>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</si>
  <si>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</si>
  <si>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</si>
  <si>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</si>
  <si>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</si>
  <si>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</si>
  <si>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</si>
  <si>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</si>
  <si>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</si>
  <si>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</si>
  <si>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</si>
  <si>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</si>
  <si>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</si>
  <si>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</si>
  <si>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</si>
  <si>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</si>
  <si>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</si>
  <si>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</si>
  <si>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</si>
  <si>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</si>
  <si>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</si>
  <si>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</si>
  <si>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</si>
  <si>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</si>
  <si>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</si>
  <si>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</si>
  <si>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</si>
  <si>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</si>
  <si>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</si>
  <si>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</si>
  <si>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</si>
  <si>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</si>
  <si>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</si>
  <si>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</si>
  <si>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</si>
  <si>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</si>
  <si>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</si>
  <si>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</si>
  <si>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</si>
  <si>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</si>
  <si>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</si>
  <si>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</si>
  <si>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</si>
  <si>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</si>
  <si>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</si>
  <si>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</si>
  <si>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</si>
  <si>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</si>
  <si>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</si>
  <si>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</si>
  <si>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</si>
  <si>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</si>
  <si>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</si>
  <si>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</si>
  <si>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</si>
  <si>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</si>
  <si>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</si>
  <si>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</si>
  <si>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</si>
  <si>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</si>
  <si>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</si>
  <si>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</si>
  <si>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</si>
  <si>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</si>
  <si>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</si>
  <si>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</si>
  <si>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</si>
  <si>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</si>
  <si>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</si>
  <si>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</si>
  <si>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</si>
  <si>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</si>
  <si>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</si>
  <si>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</si>
  <si>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</si>
  <si>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</si>
  <si>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</si>
  <si>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</si>
  <si>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</si>
  <si>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</si>
  <si>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</si>
  <si>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</si>
  <si>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</si>
  <si>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</si>
  <si>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</si>
  <si>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</si>
  <si>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</si>
  <si>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</si>
  <si>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</si>
  <si>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</si>
  <si>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</si>
  <si>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</si>
  <si>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</si>
  <si>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</si>
  <si>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</si>
  <si>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</si>
  <si>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</si>
  <si>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</si>
  <si>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</si>
  <si>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</si>
  <si>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</si>
  <si>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</si>
  <si>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</si>
  <si>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</si>
  <si>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</si>
  <si>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</si>
  <si>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</si>
  <si>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</si>
  <si>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</si>
  <si>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</si>
  <si>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</si>
  <si>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</si>
  <si>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</si>
  <si>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</si>
  <si>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</si>
  <si>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</si>
  <si>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</si>
  <si>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</si>
  <si>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</si>
  <si>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</si>
  <si>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</si>
  <si>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</si>
  <si>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</si>
  <si>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</si>
  <si>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</si>
  <si>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</si>
  <si>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</si>
  <si>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</si>
  <si>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</si>
  <si>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</si>
  <si>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</si>
  <si>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</si>
  <si>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</si>
  <si>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</si>
  <si>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</si>
  <si>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</si>
  <si>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</si>
  <si>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</si>
  <si>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</si>
  <si>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</si>
  <si>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</si>
  <si>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</si>
  <si>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</si>
  <si>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</si>
  <si>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</si>
  <si>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</si>
  <si>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</si>
  <si>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</si>
  <si>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</si>
  <si>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</si>
  <si>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</si>
  <si>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</si>
  <si>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</si>
  <si>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</si>
  <si>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</si>
  <si>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</si>
  <si>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</si>
  <si>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</si>
  <si>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</si>
  <si>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</si>
  <si>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</si>
  <si>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</si>
  <si>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</si>
  <si>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</si>
  <si>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</si>
  <si>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</si>
  <si>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</si>
  <si>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</si>
  <si>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</si>
  <si>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</si>
  <si>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</si>
  <si>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</si>
  <si>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</si>
  <si>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</si>
  <si>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</si>
  <si>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</si>
  <si>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</si>
  <si>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</si>
  <si>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</si>
  <si>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</si>
  <si>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</si>
  <si>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</si>
  <si>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</si>
  <si>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</si>
  <si>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</si>
  <si>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</si>
  <si>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</si>
  <si>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</si>
  <si>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</si>
  <si>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</si>
  <si>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</si>
  <si>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</si>
  <si>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</si>
  <si>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</si>
  <si>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</si>
  <si>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</si>
  <si>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</si>
  <si>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</si>
  <si>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</si>
  <si>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</si>
  <si>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</si>
  <si>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</si>
  <si>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</si>
  <si>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</si>
  <si>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</si>
  <si>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</si>
  <si>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</si>
  <si>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</si>
  <si>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</si>
  <si>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</si>
  <si>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</si>
  <si>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</si>
  <si>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</si>
  <si>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</si>
  <si>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</si>
  <si>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</si>
  <si>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</si>
  <si>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</si>
  <si>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</si>
  <si>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</si>
  <si>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</si>
  <si>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</si>
  <si>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</si>
  <si>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</si>
  <si>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</si>
  <si>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</si>
  <si>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</si>
  <si>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</si>
  <si>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</si>
  <si>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</si>
  <si>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</si>
  <si>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</si>
  <si>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</si>
  <si>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</si>
  <si>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</si>
  <si>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</si>
  <si>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</si>
  <si>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</si>
  <si>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</si>
  <si>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</si>
  <si>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</si>
  <si>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</si>
  <si>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</si>
  <si>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</si>
  <si>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</si>
  <si>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</si>
  <si>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</si>
  <si>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</si>
  <si>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</si>
  <si>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</si>
  <si>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</si>
  <si>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</si>
  <si>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</si>
  <si>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</si>
  <si>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</si>
  <si>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</si>
  <si>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</si>
  <si>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</si>
  <si>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</si>
  <si>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</si>
  <si>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</si>
  <si>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</si>
  <si>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</si>
  <si>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</si>
  <si>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</si>
  <si>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</si>
  <si>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</si>
  <si>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</si>
  <si>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</si>
  <si>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</si>
  <si>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</si>
  <si>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</si>
  <si>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</si>
  <si>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</si>
  <si>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</si>
  <si>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</si>
  <si>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</si>
  <si>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</si>
  <si>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</si>
  <si>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</si>
  <si>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</si>
  <si>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</si>
  <si>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</si>
  <si>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</si>
  <si>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</si>
  <si>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</si>
  <si>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</si>
  <si>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</si>
  <si>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</si>
  <si>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</si>
  <si>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</si>
  <si>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</si>
  <si>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</si>
  <si>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</si>
  <si>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</si>
  <si>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</si>
  <si>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</si>
  <si>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</si>
  <si>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</si>
  <si>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</si>
  <si>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</si>
  <si>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</si>
  <si>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</si>
  <si>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</si>
  <si>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</si>
  <si>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</si>
  <si>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</si>
  <si>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</si>
  <si>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</si>
  <si>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</si>
  <si>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</si>
  <si>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</si>
  <si>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</si>
  <si>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</si>
  <si>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</si>
  <si>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</si>
  <si>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</si>
  <si>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</si>
  <si>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</si>
  <si>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</si>
  <si>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</si>
  <si>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</si>
  <si>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</si>
  <si>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</si>
  <si>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</si>
  <si>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</si>
  <si>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</si>
  <si>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</si>
  <si>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</si>
  <si>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</si>
  <si>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</si>
  <si>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</si>
  <si>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</si>
  <si>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</si>
  <si>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</si>
  <si>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</si>
  <si>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</si>
  <si>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</si>
  <si>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</si>
  <si>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</si>
  <si>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</si>
  <si>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</si>
  <si>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</si>
  <si>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</si>
  <si>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</si>
  <si>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</si>
  <si>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</si>
  <si>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</si>
  <si>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</si>
  <si>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</si>
  <si>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</si>
  <si>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</si>
  <si>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</si>
  <si>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</si>
  <si>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</si>
  <si>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</si>
  <si>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</si>
  <si>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</si>
  <si>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</si>
  <si>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</si>
  <si>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</si>
  <si>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</si>
  <si>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</si>
  <si>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</si>
  <si>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</si>
  <si>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</si>
  <si>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</si>
  <si>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</si>
  <si>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</si>
  <si>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</si>
  <si>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</si>
  <si>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</si>
  <si>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</si>
  <si>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</si>
  <si>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</si>
  <si>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</si>
  <si>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</si>
  <si>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</si>
  <si>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</si>
  <si>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</si>
  <si>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</si>
  <si>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</si>
  <si>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</si>
  <si>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</si>
  <si>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</si>
  <si>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</si>
  <si>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</si>
  <si>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</si>
  <si>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</si>
  <si>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</si>
  <si>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</si>
  <si>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</si>
  <si>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</si>
  <si>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</si>
  <si>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</si>
  <si>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</si>
  <si>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</si>
  <si>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</si>
  <si>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</si>
  <si>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</si>
  <si>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</si>
  <si>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</si>
  <si>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</si>
  <si>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</si>
  <si>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</si>
  <si>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</si>
  <si>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</si>
  <si>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</si>
  <si>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</si>
  <si>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</si>
  <si>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</si>
  <si>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</si>
  <si>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</si>
  <si>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</si>
  <si>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</si>
  <si>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</si>
  <si>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</si>
  <si>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</si>
  <si>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</si>
  <si>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</si>
  <si>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</si>
  <si>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</si>
  <si>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</si>
  <si>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</si>
  <si>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</si>
  <si>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</si>
  <si>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</si>
  <si>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</si>
  <si>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</si>
  <si>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</si>
  <si>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</si>
  <si>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</si>
  <si>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</si>
  <si>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</si>
  <si>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</si>
  <si>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</si>
  <si>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</si>
  <si>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</si>
  <si>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</si>
  <si>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</si>
  <si>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</si>
  <si>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</si>
  <si>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</si>
  <si>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</si>
  <si>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</si>
  <si>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</si>
  <si>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</si>
  <si>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</si>
  <si>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</si>
  <si>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</si>
  <si>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</si>
  <si>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</si>
  <si>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</si>
  <si>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</si>
  <si>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</si>
  <si>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</si>
  <si>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</si>
  <si>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</si>
  <si>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</si>
  <si>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</si>
  <si>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</si>
  <si>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</si>
  <si>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</si>
  <si>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</si>
  <si>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</si>
  <si>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</si>
  <si>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</si>
  <si>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</si>
  <si>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</si>
  <si>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</si>
  <si>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</si>
  <si>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</si>
  <si>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</si>
  <si>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</si>
  <si>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</si>
  <si>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</si>
  <si>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</si>
  <si>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</si>
  <si>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</si>
  <si>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</si>
  <si>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</si>
  <si>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</si>
  <si>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</si>
  <si>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</si>
  <si>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</si>
  <si>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</si>
  <si>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</si>
  <si>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</si>
  <si>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</si>
  <si>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</si>
  <si>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</si>
  <si>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</si>
  <si>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</si>
  <si>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</si>
  <si>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</si>
  <si>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</si>
  <si>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</si>
  <si>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</si>
  <si>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</si>
  <si>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</si>
  <si>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</si>
  <si>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</si>
  <si>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</si>
  <si>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</si>
  <si>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</si>
  <si>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</si>
  <si>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</si>
  <si>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</si>
  <si>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</si>
  <si>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</si>
  <si>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</si>
  <si>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</si>
  <si>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</si>
  <si>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</si>
  <si>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</si>
  <si>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</si>
  <si>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</si>
  <si>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</si>
  <si>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</si>
  <si>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</si>
  <si>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</si>
  <si>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</si>
  <si>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</si>
  <si>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</si>
  <si>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</si>
  <si>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</si>
  <si>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</si>
  <si>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</si>
  <si>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</si>
  <si>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</si>
  <si>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</si>
  <si>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</si>
  <si>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</si>
  <si>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</si>
  <si>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</si>
  <si>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</si>
  <si>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</si>
  <si>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</si>
  <si>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</si>
  <si>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</si>
  <si>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</si>
  <si>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</si>
  <si>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</si>
  <si>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</si>
  <si>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</si>
  <si>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</si>
  <si>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</si>
  <si>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</si>
  <si>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</si>
  <si>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</si>
  <si>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</si>
  <si>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</si>
  <si>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</si>
  <si>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</si>
  <si>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</si>
  <si>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</si>
  <si>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</si>
  <si>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</si>
  <si>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</si>
  <si>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</si>
  <si>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</si>
  <si>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</si>
  <si>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</si>
  <si>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</si>
  <si>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</si>
  <si>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</si>
  <si>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</si>
  <si>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</si>
  <si>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</si>
  <si>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</si>
  <si>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</si>
  <si>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</si>
  <si>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</si>
  <si>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</si>
  <si>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</si>
  <si>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</si>
  <si>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</si>
  <si>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</si>
  <si>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</si>
  <si>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</si>
  <si>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</si>
  <si>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</si>
  <si>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</si>
  <si>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</si>
  <si>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</si>
  <si>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</si>
  <si>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</si>
  <si>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</si>
  <si>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</si>
  <si>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</si>
  <si>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</si>
  <si>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</si>
  <si>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</si>
  <si>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</si>
  <si>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</si>
  <si>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</si>
  <si>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</si>
  <si>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</si>
  <si>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</si>
  <si>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</si>
  <si>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</si>
  <si>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</si>
  <si>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</si>
  <si>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</si>
  <si>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</si>
  <si>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</si>
  <si>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</si>
  <si>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</si>
  <si>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</si>
  <si>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</si>
  <si>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</si>
  <si>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</si>
  <si>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</si>
  <si>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</si>
  <si>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</si>
  <si>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</si>
  <si>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</si>
  <si>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</si>
  <si>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</si>
  <si>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</si>
  <si>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</si>
  <si>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</si>
  <si>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</si>
  <si>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</si>
  <si>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</si>
  <si>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</si>
  <si>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</si>
  <si>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</si>
  <si>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</si>
  <si>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</si>
  <si>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</si>
  <si>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</si>
  <si>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</si>
  <si>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</si>
  <si>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</si>
  <si>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</si>
  <si>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</si>
  <si>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</si>
  <si>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</si>
  <si>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</si>
  <si>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</si>
  <si>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</si>
  <si>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</si>
  <si>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</si>
  <si>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</si>
  <si>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</si>
  <si>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</si>
  <si>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</si>
  <si>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</si>
  <si>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</si>
  <si>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</si>
  <si>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</si>
  <si>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</si>
  <si>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</si>
  <si>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</si>
  <si>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</si>
  <si>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</si>
  <si>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</si>
  <si>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</si>
  <si>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</si>
  <si>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</si>
  <si>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</si>
  <si>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</si>
  <si>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</si>
  <si>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</si>
  <si>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</si>
  <si>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</si>
  <si>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</si>
  <si>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</si>
  <si>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</si>
  <si>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</si>
  <si>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</si>
  <si>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</si>
  <si>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</si>
  <si>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</si>
  <si>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</si>
  <si>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</si>
  <si>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</si>
  <si>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</si>
  <si>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</si>
  <si>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</si>
  <si>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</si>
  <si>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</si>
  <si>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</si>
  <si>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</si>
  <si>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</si>
  <si>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</si>
  <si>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</si>
  <si>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</si>
  <si>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</si>
  <si>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</si>
  <si>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</si>
  <si>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</si>
  <si>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</si>
  <si>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</si>
  <si>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</si>
  <si>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</si>
  <si>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</si>
  <si>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</si>
  <si>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</si>
  <si>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</si>
  <si>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</si>
  <si>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</si>
  <si>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</si>
  <si>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</si>
  <si>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</si>
  <si>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</si>
  <si>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</si>
  <si>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</si>
  <si>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</si>
  <si>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</si>
  <si>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</si>
  <si>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</si>
  <si>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</si>
  <si>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</si>
  <si>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</si>
  <si>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</si>
  <si>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</si>
  <si>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</si>
  <si>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</si>
  <si>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</si>
  <si>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</si>
  <si>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</si>
  <si>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</si>
  <si>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</si>
  <si>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</si>
  <si>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</si>
  <si>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</si>
  <si>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</si>
  <si>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</si>
  <si>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</si>
  <si>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</si>
  <si>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</si>
  <si>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</si>
  <si>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</si>
  <si>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</si>
  <si>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</si>
  <si>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</si>
  <si>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</si>
  <si>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</si>
  <si>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</si>
  <si>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</si>
  <si>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</si>
  <si>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</si>
  <si>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</si>
  <si>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</si>
  <si>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</si>
  <si>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</si>
  <si>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</si>
  <si>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</si>
  <si>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</si>
  <si>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</si>
  <si>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</si>
  <si>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</si>
  <si>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</si>
  <si>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</si>
  <si>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</si>
  <si>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</si>
  <si>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</si>
  <si>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</si>
  <si>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</si>
  <si>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</si>
  <si>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</si>
  <si>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</si>
  <si>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</si>
  <si>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</si>
  <si>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</si>
  <si>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</si>
  <si>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</si>
  <si>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</si>
  <si>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</si>
  <si>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</si>
  <si>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</si>
  <si>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</si>
  <si>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</si>
  <si>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</si>
  <si>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</si>
  <si>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</si>
  <si>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</si>
  <si>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</si>
  <si>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</si>
  <si>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</si>
  <si>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</si>
  <si>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</si>
  <si>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</si>
  <si>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</si>
  <si>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</si>
  <si>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</si>
  <si>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</si>
  <si>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</si>
  <si>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</si>
  <si>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</si>
  <si>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</si>
  <si>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</si>
  <si>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</si>
  <si>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</si>
  <si>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</si>
  <si>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</si>
  <si>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</si>
  <si>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</si>
  <si>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</si>
  <si>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</si>
  <si>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</si>
  <si>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</si>
  <si>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</si>
  <si>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</si>
  <si>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</si>
  <si>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</si>
  <si>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</si>
  <si>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</si>
  <si>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</si>
  <si>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</si>
  <si>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</si>
  <si>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</si>
  <si>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</si>
  <si>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</si>
  <si>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</si>
  <si>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</si>
  <si>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</si>
  <si>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</si>
  <si>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</si>
  <si>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</si>
  <si>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</si>
  <si>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</si>
  <si>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</si>
  <si>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</si>
  <si>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</si>
  <si>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</si>
  <si>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</si>
  <si>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</si>
  <si>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</si>
  <si>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</si>
  <si>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</si>
  <si>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</si>
  <si>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</si>
  <si>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</si>
  <si>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</si>
  <si>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</si>
  <si>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</si>
  <si>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</si>
  <si>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</si>
  <si>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</si>
  <si>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</si>
  <si>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</si>
  <si>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</si>
  <si>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</si>
  <si>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</si>
  <si>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</si>
  <si>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</si>
  <si>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</si>
  <si>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</si>
  <si>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</si>
  <si>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</si>
  <si>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</si>
  <si>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</si>
  <si>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</si>
  <si>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</si>
  <si>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</si>
  <si>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</si>
  <si>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</si>
  <si>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</si>
  <si>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</si>
  <si>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</si>
  <si>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</si>
  <si>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</si>
  <si>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</si>
  <si>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</si>
  <si>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</si>
  <si>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</si>
  <si>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</si>
  <si>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</si>
  <si>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</si>
  <si>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</si>
  <si>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</si>
  <si>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</si>
  <si>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</si>
  <si>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</si>
  <si>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</si>
  <si>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</si>
  <si>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</si>
  <si>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</si>
  <si>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</si>
  <si>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</si>
  <si>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</si>
  <si>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</si>
  <si>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</si>
  <si>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</si>
  <si>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</si>
  <si>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</si>
  <si>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</si>
  <si>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丹阳</t>
    <phoneticPr fontId="6" type="noConversion"/>
  </si>
  <si>
    <t>钢混</t>
  </si>
  <si>
    <t>土地（套用方法）</t>
  </si>
  <si>
    <t>不动产收益法</t>
  </si>
  <si>
    <t>押一</t>
  </si>
  <si>
    <t>按租金收入计税</t>
  </si>
  <si>
    <t>shi</t>
    <phoneticPr fontId="9" type="noConversion"/>
  </si>
  <si>
    <t>售价</t>
  </si>
  <si>
    <t>国信·嘉源</t>
    <phoneticPr fontId="3" type="noConversion"/>
  </si>
  <si>
    <t>丹阳市新民西路</t>
    <phoneticPr fontId="3" type="noConversion"/>
  </si>
  <si>
    <t>丹阳市</t>
  </si>
  <si>
    <t>丹阳市</t>
    <phoneticPr fontId="3" type="noConversion"/>
  </si>
  <si>
    <t>北二环路北侧</t>
  </si>
  <si>
    <t>北二环路北侧</t>
    <phoneticPr fontId="3" type="noConversion"/>
  </si>
  <si>
    <t>吴薇</t>
  </si>
  <si>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</si>
  <si>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</si>
  <si>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</si>
  <si>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</si>
  <si>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</si>
  <si>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</si>
  <si>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</si>
  <si>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</si>
  <si>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</si>
  <si>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</si>
  <si>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</si>
  <si>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</si>
  <si>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</si>
  <si>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</si>
  <si>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</si>
  <si>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</si>
  <si>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</si>
  <si>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</si>
  <si>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</si>
  <si>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</si>
  <si>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</si>
  <si>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</si>
  <si>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</si>
  <si>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</si>
  <si>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</si>
  <si>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</si>
  <si>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</si>
  <si>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</si>
  <si>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</si>
  <si>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</si>
  <si>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</si>
  <si>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</si>
  <si>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</si>
  <si>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</si>
  <si>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</si>
  <si>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</si>
  <si>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</si>
  <si>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</si>
  <si>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</si>
  <si>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</si>
  <si>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</si>
  <si>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</si>
  <si>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</si>
  <si>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</si>
  <si>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</si>
  <si>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</si>
  <si>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</si>
  <si>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</si>
  <si>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</si>
  <si>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</si>
  <si>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</si>
  <si>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</si>
  <si>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</si>
  <si>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</si>
  <si>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</si>
  <si>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</si>
  <si>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</si>
  <si>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</si>
  <si>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</si>
  <si>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</si>
  <si>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</si>
  <si>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</si>
  <si>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</si>
  <si>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</si>
  <si>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</si>
  <si>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</si>
  <si>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</si>
  <si>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</si>
  <si>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</si>
  <si>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</si>
  <si>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</si>
  <si>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曲阿路西侧,兰陵路北侧</t>
  </si>
  <si>
    <t>镇江市</t>
  </si>
  <si>
    <t>住宅用地</t>
  </si>
  <si>
    <t>挂牌</t>
  </si>
  <si>
    <t>G1810</t>
  </si>
  <si>
    <t>中低价位、中小套型普通商品住房用地</t>
  </si>
  <si>
    <t>＞1,≤2</t>
  </si>
  <si>
    <t>≤30%</t>
  </si>
  <si>
    <t>未开工</t>
  </si>
  <si>
    <t>2018-06-20</t>
  </si>
  <si>
    <t>2018-07-11</t>
  </si>
  <si>
    <t>2018-07-20</t>
  </si>
  <si>
    <t>丹阳市网挂[2018]经营02号-2</t>
  </si>
  <si>
    <t>已成交</t>
  </si>
  <si>
    <t>丹阳市融锦宏星置业发展有限公司</t>
  </si>
  <si>
    <t>70年</t>
  </si>
  <si>
    <t>创业路西侧</t>
  </si>
  <si>
    <t>G1811</t>
  </si>
  <si>
    <t>＞1,≤2.2</t>
  </si>
  <si>
    <t>丹阳市网挂[2018]经营02号-3</t>
  </si>
  <si>
    <t>丹阳市天怡房屋建设开发有限责任公司</t>
  </si>
  <si>
    <t>九曲路南侧</t>
  </si>
  <si>
    <t>G1809</t>
  </si>
  <si>
    <t>丹阳市网挂[2018]经营02号-1</t>
  </si>
  <si>
    <t>大亚科技集团有限公司</t>
  </si>
  <si>
    <t>水关路西侧</t>
  </si>
  <si>
    <t>G1805</t>
  </si>
  <si>
    <t>＞1,≤3.5</t>
  </si>
  <si>
    <t>2018-05-29</t>
  </si>
  <si>
    <t>2018-06-19</t>
  </si>
  <si>
    <t>2018-06-28</t>
  </si>
  <si>
    <t>丹阳市网挂[2018]经营01号-5</t>
  </si>
  <si>
    <t>江苏和美置业有限公司</t>
  </si>
  <si>
    <t>丝绸路南侧</t>
  </si>
  <si>
    <t>G1804</t>
  </si>
  <si>
    <t>＞1,≤2.5</t>
  </si>
  <si>
    <t>≤28%</t>
  </si>
  <si>
    <t>丹阳市网挂[2018]经营01号-4</t>
  </si>
  <si>
    <t>丹阳市金鼎投资有限公司</t>
  </si>
  <si>
    <t>丹句路北侧</t>
  </si>
  <si>
    <t>G1801</t>
  </si>
  <si>
    <t>≤20%</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</si>
  <si>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</si>
  <si>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</si>
  <si>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</si>
  <si>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</si>
  <si>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</si>
  <si>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</si>
  <si>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</si>
  <si>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</si>
  <si>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</si>
  <si>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</si>
  <si>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</si>
  <si>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</si>
  <si>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S241西侧,水关西路北侧</t>
  </si>
  <si>
    <t>G1734</t>
  </si>
  <si>
    <t>＞1且≤2.5</t>
  </si>
  <si>
    <t>≤30</t>
  </si>
  <si>
    <t>开工中</t>
  </si>
  <si>
    <t>2017-09-15</t>
  </si>
  <si>
    <t>2017-10-09</t>
  </si>
  <si>
    <t>2017-10-18</t>
  </si>
  <si>
    <t>丹阳市网挂[2017]经营01号</t>
  </si>
  <si>
    <t>丹阳市安居工程建设投资有限公司</t>
  </si>
  <si>
    <t>胡高路北侧</t>
  </si>
  <si>
    <t>G1741</t>
  </si>
  <si>
    <t>＞1且≤1.3</t>
  </si>
  <si>
    <t>≤33</t>
  </si>
  <si>
    <t>丹阳金港置业有限公司</t>
  </si>
  <si>
    <t>G1742</t>
  </si>
  <si>
    <t>陵口镇货场路北侧</t>
  </si>
  <si>
    <t>G1743</t>
  </si>
  <si>
    <t>＞1且≤1.8</t>
  </si>
  <si>
    <t>南三环路南侧</t>
  </si>
  <si>
    <t>G1731</t>
  </si>
  <si>
    <t>丹阳高新区投资发展有限公司</t>
  </si>
  <si>
    <t>G1735</t>
  </si>
  <si>
    <t>＞1且≤3</t>
  </si>
  <si>
    <t>≤28</t>
  </si>
  <si>
    <t>西环路东侧</t>
  </si>
  <si>
    <t>G1732</t>
  </si>
  <si>
    <t>南三环路南侧(丹凤公园西侧)</t>
  </si>
  <si>
    <t>G1727</t>
  </si>
  <si>
    <t>1＜容积率≤2.20</t>
  </si>
  <si>
    <t>建筑密度≤30%</t>
  </si>
  <si>
    <t>2017-06-29</t>
  </si>
  <si>
    <t>2017-07-20</t>
  </si>
  <si>
    <t>2017-07-31</t>
  </si>
  <si>
    <t>丹阳市挂[2017]经营03号</t>
  </si>
  <si>
    <t>金陵西路南侧</t>
  </si>
  <si>
    <t>G1729</t>
  </si>
  <si>
    <t>1.80＜容积率≤3.50</t>
  </si>
  <si>
    <t>丹阳市华昌房屋开发有限公司</t>
  </si>
  <si>
    <t>G1726</t>
  </si>
  <si>
    <t>江苏南碧房地产开发有限公司</t>
  </si>
  <si>
    <t>振兴路南侧</t>
  </si>
  <si>
    <t>G1728</t>
  </si>
  <si>
    <t>1＜容积率≤2.50</t>
  </si>
  <si>
    <t>常州弘阳广场置业有限公司</t>
  </si>
  <si>
    <t>华南路东侧</t>
  </si>
  <si>
    <t>G1723</t>
  </si>
  <si>
    <t>2017-02-10</t>
  </si>
  <si>
    <t>2017-03-03</t>
  </si>
  <si>
    <t>2017-03-14</t>
  </si>
  <si>
    <t>丹阳市挂[2017]经营02号-12</t>
  </si>
  <si>
    <t>南通中南新世界中心开发有限公司</t>
  </si>
  <si>
    <t>华南路西侧</t>
  </si>
  <si>
    <t>G1719</t>
  </si>
  <si>
    <t>丹阳市挂[2017]经营02号-8</t>
  </si>
  <si>
    <t>黄金塘路北侧</t>
  </si>
  <si>
    <t>G1715</t>
  </si>
  <si>
    <t>≥1.8且≤3</t>
  </si>
  <si>
    <t>丹阳市挂[2017]经营02号-4</t>
  </si>
  <si>
    <t>丹阳市曲阿安居工程建设开发有限公司</t>
  </si>
  <si>
    <t>葛丹公路东侧</t>
  </si>
  <si>
    <t>G1713</t>
  </si>
  <si>
    <t>≤25</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</si>
  <si>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</si>
  <si>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</si>
  <si>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</si>
  <si>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</si>
  <si>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</si>
  <si>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</si>
  <si>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</si>
  <si>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</si>
  <si>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</si>
  <si>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</si>
  <si>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</si>
  <si>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</si>
  <si>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</si>
  <si>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</si>
  <si>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</si>
  <si>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</si>
  <si>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</si>
  <si>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</si>
  <si>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</si>
  <si>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</si>
  <si>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G1702</t>
  </si>
  <si>
    <t>2017-01-12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</si>
  <si>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</si>
  <si>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</si>
  <si>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</si>
  <si>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</si>
  <si>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</si>
  <si>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</si>
  <si>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</si>
  <si>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</si>
  <si>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</si>
  <si>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</si>
  <si>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</si>
  <si>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</si>
  <si>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</si>
  <si>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</si>
  <si>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</si>
  <si>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</si>
  <si>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</si>
  <si>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</si>
  <si>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</si>
  <si>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G1628</t>
  </si>
  <si>
    <t>2016-08-18</t>
  </si>
  <si>
    <t>2016-09-09</t>
  </si>
  <si>
    <t>2016-09-20</t>
  </si>
  <si>
    <t>丹阳市挂[2016]经营07号-2</t>
  </si>
  <si>
    <t>G1627</t>
  </si>
  <si>
    <t>丹阳市挂[2016]经营07号-1</t>
  </si>
  <si>
    <t>G1630</t>
  </si>
  <si>
    <t>丹阳市挂[2016]经营07号-4</t>
  </si>
  <si>
    <t>G1632</t>
  </si>
  <si>
    <t>丹阳市挂[2016]经营07号-6</t>
  </si>
  <si>
    <t>G1631</t>
  </si>
  <si>
    <t>丹阳市挂[2016]经营07号-5</t>
  </si>
  <si>
    <t>G1629</t>
  </si>
  <si>
    <t>丹阳市挂[2016]经营07号-3</t>
  </si>
  <si>
    <t>薛甲路南侧</t>
  </si>
  <si>
    <t>G1624</t>
  </si>
  <si>
    <t>≥1.8且≤2.4</t>
  </si>
  <si>
    <t>2016-08-16</t>
  </si>
  <si>
    <t>2016-09-07</t>
  </si>
  <si>
    <t>2016-09-19</t>
  </si>
  <si>
    <t>丹阳市挂[2016]经营06号-5</t>
  </si>
  <si>
    <t>西环路南侧</t>
  </si>
  <si>
    <t>G1625</t>
  </si>
  <si>
    <t>＞1且≤2</t>
  </si>
  <si>
    <t>丹阳市挂[2016]经营06号-6</t>
  </si>
  <si>
    <t>G1623</t>
  </si>
  <si>
    <t>丹阳市挂[2016]经营06号-4</t>
  </si>
  <si>
    <t>锦湖路北侧</t>
  </si>
  <si>
    <t>G1622</t>
  </si>
  <si>
    <t>≤26</t>
  </si>
  <si>
    <t>丹阳市挂[2016]经营06号-3</t>
  </si>
  <si>
    <t>香草河北侧</t>
  </si>
  <si>
    <t>G1621</t>
  </si>
  <si>
    <t>丹阳市挂[2016]经营06号-2</t>
  </si>
  <si>
    <t>70</t>
    <phoneticPr fontId="26" type="noConversion"/>
  </si>
  <si>
    <t>已部分缴纳</t>
  </si>
  <si>
    <t>三通</t>
  </si>
  <si>
    <t>三通</t>
    <phoneticPr fontId="26" type="noConversion"/>
  </si>
  <si>
    <t>较好</t>
    <phoneticPr fontId="26" type="noConversion"/>
  </si>
  <si>
    <t>S241西侧,水关西路北侧</t>
    <phoneticPr fontId="232" type="noConversion"/>
  </si>
  <si>
    <t>金陵西路南侧</t>
    <phoneticPr fontId="232" type="noConversion"/>
  </si>
  <si>
    <t>西环路东侧</t>
    <phoneticPr fontId="232" type="noConversion"/>
  </si>
  <si>
    <t>信达·香堤国际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</si>
</sst>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华文细黑"/>
      <family val="3"/>
      <charset val="134"/>
    </font>
    <font>
      <sz val="11"/>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76" fillId="0" borderId="2" xfId="0" applyFont="1" applyBorder="1">
      <alignment vertical="center"/>
    </xf>
    <xf numFmtId="0" fontId="277" fillId="0" borderId="0" xfId="0" applyFont="1">
      <alignment vertical="center"/>
    </xf>
    <xf numFmtId="0" fontId="276" fillId="6" borderId="2" xfId="0" applyFont="1" applyFill="1" applyBorder="1">
      <alignment vertical="center"/>
    </xf>
    <xf numFmtId="0" fontId="276" fillId="0" borderId="2" xfId="0" applyFont="1" applyFill="1" applyBorder="1">
      <alignment vertical="center"/>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144780</xdr:rowOff>
    </xdr:from>
    <xdr:to>
      <xdr:col>11</xdr:col>
      <xdr:colOff>261978</xdr:colOff>
      <xdr:row>76</xdr:row>
      <xdr:rowOff>172709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71660"/>
          <a:ext cx="7295238"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丹阳出让国有建设用地使用权抵押价格预评估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吴薇、崔锴</v>
      </c>
      <c r="N4" s="2878" t="str">
        <f>'预评函-1'!A28</f>
        <v/>
      </c>
    </row>
    <row r="5" spans="1:55" s="2891" customFormat="1" ht="16.2" thickBot="1">
      <c r="A5" s="2898" t="s">
        <v>2625</v>
      </c>
      <c r="B5" s="2899" t="str">
        <f>'预评函-封皮'!B49</f>
        <v>康正预评字号</v>
      </c>
    </row>
    <row r="6" spans="1:55" s="2900" customFormat="1" ht="16.2" thickTop="1">
      <c r="A6" s="2892" t="s">
        <v>2667</v>
      </c>
      <c r="B6" s="2893" t="str">
        <f>'预评函-1'!A4</f>
        <v>受贵公司委托，我公司对丹阳出让国有建设用地使用权抵押价格进行了预评估。</v>
      </c>
      <c r="AM6" s="2901"/>
    </row>
    <row r="7" spans="1:55" s="2875" customFormat="1">
      <c r="A7" s="2876" t="s">
        <v>2619</v>
      </c>
      <c r="B7" s="2877" t="str">
        <f>'预评函-1'!A6</f>
        <v>估价对象为使用的、位于丹阳出让国有建设用地使用权。根据《国有土地使用证》，估价对象（分摊）出让国有建设用地使用权面积为76276.6平方米。根据《出让合同》，估价对象规划建筑面积为266968.1平方米。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2018年11月12日（评估专业人员勘察现场之日）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根据《国有土地使用证》，估价对象（分摊）出让国有建设用地使用权面积为76276.6平方米。根据《出让合同》，估价对象规划建筑面积为266968.1平方米。</v>
      </c>
    </row>
    <row r="16" spans="1:55" s="2875" customFormat="1">
      <c r="A16" s="2876" t="s">
        <v>2631</v>
      </c>
      <c r="B16" s="2877" t="str">
        <f>'预评函-1'!A22</f>
        <v>本次估价对象为出让国有建设用地使用权，证载土地终止日期为住宅2083年5月30日、商业2053年5月30日。截至估价期日，出让国有建设用地使用权剩余土地使用年限为。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估价期日：2018年11月12日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76276.600000000006</v>
      </c>
    </row>
    <row r="44" spans="1:2">
      <c r="A44" s="2876" t="s">
        <v>2702</v>
      </c>
      <c r="B44" s="2877" t="str">
        <f>'预评函-2'!O3</f>
        <v>规划建筑面积/㎡</v>
      </c>
    </row>
    <row r="45" spans="1:2">
      <c r="A45" s="2876" t="s">
        <v>2684</v>
      </c>
      <c r="B45" s="2877">
        <f>'预评函-2'!O5</f>
        <v>266968.10000000003</v>
      </c>
    </row>
    <row r="46" spans="1:2">
      <c r="A46" s="2876" t="s">
        <v>2685</v>
      </c>
      <c r="B46" s="2877">
        <f ca="1">'预评函-2'!P5</f>
        <v>10254</v>
      </c>
    </row>
    <row r="47" spans="1:2">
      <c r="A47" s="2876" t="s">
        <v>2686</v>
      </c>
      <c r="B47" s="2877">
        <f ca="1">'预评函-2'!Q5</f>
        <v>2930</v>
      </c>
    </row>
    <row r="48" spans="1:2">
      <c r="A48" s="2876" t="s">
        <v>2687</v>
      </c>
      <c r="B48" s="2877">
        <f ca="1">'预评函-2'!R5</f>
        <v>78213</v>
      </c>
    </row>
    <row r="49" spans="1:2">
      <c r="A49" s="2876" t="s">
        <v>2703</v>
      </c>
      <c r="B49" s="2877" t="str">
        <f>'预评函-2'!A6</f>
        <v>抵押价格</v>
      </c>
    </row>
    <row r="50" spans="1:2">
      <c r="A50" s="2876" t="s">
        <v>2688</v>
      </c>
      <c r="B50" s="2877">
        <f ca="1">'预评函-2'!R6</f>
        <v>78213</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吴薇</v>
      </c>
    </row>
    <row r="70" spans="1:2">
      <c r="A70" s="2876" t="s">
        <v>2652</v>
      </c>
      <c r="B70" s="2883">
        <f ca="1">'预评函-3'!B20</f>
        <v>2002110125</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20" t="str">
        <f>IF(B10="北京市","北京市",C10)&amp;F10&amp;B16&amp;"国有建设用地使用权"&amp;B9&amp;"预评估"</f>
        <v>丹阳出让国有建设用地使用权抵押价格预评估</v>
      </c>
      <c r="C1" s="3221"/>
      <c r="D1" s="3221"/>
      <c r="E1" s="3221"/>
      <c r="F1" s="3221"/>
      <c r="G1" s="3221"/>
      <c r="H1" s="3221"/>
      <c r="I1" s="3222"/>
      <c r="J1" s="1691"/>
      <c r="K1" s="2453" t="str">
        <f>IF(B10="北京市","北京市",C10)&amp;F10&amp;B16&amp;"国有建设用地使用权"&amp;B9</f>
        <v>丹阳出让国有建设用地使用权抵押价格</v>
      </c>
      <c r="L1" s="1720"/>
      <c r="M1" s="1720"/>
      <c r="N1" s="1691"/>
      <c r="O1" s="1692"/>
      <c r="P1" s="1691"/>
      <c r="Q1" s="1691"/>
      <c r="R1" s="1691"/>
      <c r="S1" s="1691"/>
      <c r="T1" s="1691"/>
      <c r="U1" s="1691"/>
    </row>
    <row r="2" spans="1:21">
      <c r="A2" s="1657" t="s">
        <v>1902</v>
      </c>
      <c r="B2" s="1839"/>
      <c r="D2" s="1691"/>
      <c r="E2" s="1691"/>
      <c r="F2" s="1691"/>
      <c r="G2" s="1691"/>
      <c r="H2" s="1657"/>
      <c r="I2" s="1692"/>
      <c r="J2" s="1691"/>
      <c r="K2" s="2453" t="str">
        <f>IF(B10="北京市","北京市",C10)&amp;F10&amp;B16&amp;"国有建设用地使用权"</f>
        <v>丹阳出让国有建设用地使用权</v>
      </c>
      <c r="L2" s="1720"/>
      <c r="M2" s="1720"/>
      <c r="N2" s="1691"/>
      <c r="O2" s="1692"/>
      <c r="P2" s="1691"/>
      <c r="Q2" s="1691"/>
      <c r="R2" s="1691"/>
      <c r="S2" s="1691"/>
      <c r="T2" s="1691"/>
      <c r="U2" s="1691"/>
    </row>
    <row r="3" spans="1:21">
      <c r="A3" s="1658" t="s">
        <v>1903</v>
      </c>
      <c r="B3" s="1659">
        <v>43416</v>
      </c>
      <c r="C3" s="1660" t="s">
        <v>1958</v>
      </c>
      <c r="D3" s="1659">
        <f>B3</f>
        <v>43416</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2999</v>
      </c>
      <c r="C4" s="1843">
        <f ca="1">SUMIF(土地估价师,B4,估价师及机构信息!E3:E24)</f>
        <v>2002110125</v>
      </c>
      <c r="D4" s="1840" t="s">
        <v>3000</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吴薇、崔锴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6"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27"/>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2985</v>
      </c>
      <c r="D10" s="1664"/>
      <c r="E10" s="1674" t="s">
        <v>1910</v>
      </c>
      <c r="F10" s="1675"/>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23"/>
      <c r="C12" s="3224"/>
      <c r="D12" s="3225"/>
      <c r="E12" s="1696" t="s">
        <v>2023</v>
      </c>
      <c r="F12" s="3241"/>
      <c r="G12" s="3242"/>
      <c r="H12" s="3242"/>
      <c r="I12" s="3243"/>
      <c r="J12" s="1691"/>
      <c r="K12" s="1771"/>
      <c r="L12" s="1720"/>
      <c r="M12" s="1720"/>
      <c r="N12" s="1691"/>
      <c r="O12" s="1692"/>
      <c r="P12" s="1691"/>
      <c r="Q12" s="1691"/>
      <c r="R12" s="1691"/>
      <c r="S12" s="1691"/>
      <c r="T12" s="1691"/>
      <c r="U12" s="1691"/>
    </row>
    <row r="13" spans="1:21">
      <c r="A13" s="1684" t="s">
        <v>2021</v>
      </c>
      <c r="B13" s="3223"/>
      <c r="C13" s="3224"/>
      <c r="D13" s="3225"/>
      <c r="E13" s="1696" t="s">
        <v>2023</v>
      </c>
      <c r="F13" s="3241" t="s">
        <v>2958</v>
      </c>
      <c r="G13" s="3242"/>
      <c r="H13" s="3242"/>
      <c r="I13" s="3243"/>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住宅2083年5月30日</v>
      </c>
      <c r="L16" s="1696" t="str">
        <f>IF(OR(K16="",M16=""),"","、")</f>
        <v>、</v>
      </c>
      <c r="M16" s="2454" t="str">
        <f>IF(E17="","",E16&amp;TEXT(E17,"yyyy年m月d日;;"))</f>
        <v>商业2053年5月30日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v>66991</v>
      </c>
      <c r="E17" s="1697">
        <v>56034</v>
      </c>
      <c r="F17" s="1697"/>
      <c r="G17" s="1697"/>
      <c r="H17" s="1697"/>
      <c r="I17" s="1697"/>
      <c r="J17" s="1691"/>
      <c r="K17" s="2453" t="str">
        <f>CONCATENATE(K16,L16,M16,N16,O16,P16,Q16,R16,S16,T16,,U16)</f>
        <v>住宅2083年5月30日、商业2053年5月30日</v>
      </c>
      <c r="L17" s="1720"/>
      <c r="M17" s="1720"/>
      <c r="N17" s="1691"/>
      <c r="O17" s="1692"/>
      <c r="P17" s="1691"/>
      <c r="Q17" s="1691"/>
      <c r="R17" s="1691"/>
      <c r="S17" s="1691"/>
      <c r="T17" s="1691"/>
      <c r="U17" s="1691"/>
    </row>
    <row r="18" spans="1:21">
      <c r="A18" s="1760"/>
      <c r="B18" s="1679"/>
      <c r="C18" s="1680" t="s">
        <v>1920</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f>IF(B16="出让",IF(D17="","",ROUNDDOWN(MIN((D17-$D$3)/365,D18),2)),D18)</f>
        <v>64.58</v>
      </c>
      <c r="E19" s="1682">
        <f>IF(B16="出让",IF(E17="","",ROUNDDOWN(MIN((E17-$D$3)/365,E18),2)),E18)</f>
        <v>34.56</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8"/>
      <c r="E20" s="3239"/>
      <c r="F20" s="3239"/>
      <c r="G20" s="3239"/>
      <c r="H20" s="3239"/>
      <c r="I20" s="3240"/>
      <c r="J20" s="1691"/>
      <c r="K20" s="1771"/>
      <c r="L20" s="1720"/>
      <c r="M20" s="1720"/>
      <c r="N20" s="1691"/>
      <c r="O20" s="1692"/>
      <c r="P20" s="1691"/>
      <c r="Q20" s="1691"/>
      <c r="R20" s="1691"/>
      <c r="S20" s="1691"/>
      <c r="T20" s="1691"/>
      <c r="U20" s="1691"/>
    </row>
    <row r="21" spans="1:21">
      <c r="A21" s="1760" t="s">
        <v>1922</v>
      </c>
      <c r="B21" s="1761" t="s">
        <v>1923</v>
      </c>
      <c r="C21" s="1756">
        <f>'数据-汇总表'!E3</f>
        <v>266968.10000000003</v>
      </c>
      <c r="D21" s="1757" t="s">
        <v>1924</v>
      </c>
      <c r="E21" s="3228" t="s">
        <v>2959</v>
      </c>
      <c r="F21" s="3229"/>
      <c r="G21" s="3229"/>
      <c r="H21" s="3229"/>
      <c r="I21" s="3230"/>
      <c r="J21" s="1691"/>
      <c r="K21" s="1771"/>
      <c r="L21" s="1720"/>
      <c r="M21" s="1720"/>
      <c r="N21" s="1691"/>
      <c r="O21" s="1692"/>
      <c r="P21" s="1691"/>
      <c r="Q21" s="1691"/>
      <c r="R21" s="1691"/>
      <c r="S21" s="1691"/>
      <c r="T21" s="1691"/>
      <c r="U21" s="1691"/>
    </row>
    <row r="22" spans="1:21">
      <c r="A22" s="3147" t="s">
        <v>917</v>
      </c>
      <c r="B22" s="1658" t="s">
        <v>1925</v>
      </c>
      <c r="C22" s="1683">
        <f>'数据-汇总表'!D3</f>
        <v>76276.600000000006</v>
      </c>
      <c r="D22" s="1684" t="s">
        <v>1924</v>
      </c>
      <c r="E22" s="3228" t="s">
        <v>2960</v>
      </c>
      <c r="F22" s="3229"/>
      <c r="G22" s="3229"/>
      <c r="H22" s="3229"/>
      <c r="I22" s="3230"/>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31" t="s">
        <v>1930</v>
      </c>
      <c r="C24" s="3232"/>
      <c r="D24" s="3233" t="s">
        <v>1931</v>
      </c>
      <c r="E24" s="3234"/>
      <c r="F24" s="1705" t="s">
        <v>1932</v>
      </c>
      <c r="G24" s="1691"/>
      <c r="H24" s="1691"/>
      <c r="I24" s="1704"/>
      <c r="J24" s="1691"/>
      <c r="K24" s="3219"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19"/>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19"/>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46" t="s">
        <v>1963</v>
      </c>
      <c r="B31" s="1761" t="s">
        <v>1964</v>
      </c>
      <c r="C31" s="3244" t="s">
        <v>2962</v>
      </c>
      <c r="D31" s="3245"/>
      <c r="E31" s="1691"/>
      <c r="F31" s="1691"/>
      <c r="G31" s="1691"/>
      <c r="H31" s="1691"/>
      <c r="I31" s="1704"/>
      <c r="J31" s="1691"/>
      <c r="K31" s="2456"/>
      <c r="L31" s="1691"/>
      <c r="M31" s="1691"/>
      <c r="N31" s="1691"/>
      <c r="O31" s="1691"/>
      <c r="P31" s="1691"/>
      <c r="Q31" s="1691"/>
      <c r="R31" s="1691"/>
      <c r="S31" s="1691"/>
      <c r="T31" s="1691"/>
      <c r="U31" s="1691"/>
    </row>
    <row r="32" spans="1:21">
      <c r="A32" s="3246"/>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6"/>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7"/>
      <c r="B34" s="1658" t="s">
        <v>1967</v>
      </c>
      <c r="C34" s="3248"/>
      <c r="D34" s="3249"/>
      <c r="E34" s="1691"/>
      <c r="F34" s="1691"/>
      <c r="G34" s="1691"/>
      <c r="H34" s="1691"/>
      <c r="I34" s="1704"/>
      <c r="J34" s="1691"/>
      <c r="K34" s="2456"/>
      <c r="L34" s="1691"/>
      <c r="M34" s="1691"/>
      <c r="N34" s="1691"/>
      <c r="O34" s="1691"/>
      <c r="P34" s="1691"/>
      <c r="Q34" s="1691"/>
      <c r="R34" s="1691"/>
      <c r="S34" s="1691"/>
      <c r="T34" s="1691"/>
      <c r="U34" s="1691"/>
    </row>
    <row r="35" spans="1:21">
      <c r="A35" s="3250" t="s">
        <v>812</v>
      </c>
      <c r="B35" s="1719" t="s">
        <v>2964</v>
      </c>
      <c r="C35" s="1773" t="str">
        <f>IF(B35="场地平整","——","具体情况：")</f>
        <v>——</v>
      </c>
      <c r="D35" s="3252"/>
      <c r="E35" s="3253"/>
      <c r="F35" s="3253"/>
      <c r="G35" s="3253"/>
      <c r="H35" s="3253"/>
      <c r="I35" s="3254"/>
      <c r="J35" s="1691"/>
      <c r="K35" s="1772"/>
      <c r="L35" s="1720"/>
      <c r="M35" s="1720"/>
      <c r="N35" s="1691"/>
      <c r="O35" s="1692"/>
      <c r="P35" s="1691"/>
      <c r="Q35" s="1691"/>
      <c r="R35" s="1691"/>
      <c r="S35" s="1691"/>
      <c r="T35" s="1691"/>
      <c r="U35" s="1691"/>
    </row>
    <row r="36" spans="1:21">
      <c r="A36" s="3246"/>
      <c r="B36" s="3255" t="s">
        <v>2016</v>
      </c>
      <c r="C36" s="3256"/>
      <c r="D36" s="1789" t="s">
        <v>2965</v>
      </c>
      <c r="E36" s="3257"/>
      <c r="F36" s="3257"/>
      <c r="G36" s="1684" t="str">
        <f>IF(B35="场地未平整","估价结果处理","")</f>
        <v/>
      </c>
      <c r="H36" s="3258"/>
      <c r="I36" s="3258"/>
      <c r="J36" s="1691"/>
      <c r="K36" s="1772"/>
      <c r="L36" s="1720"/>
      <c r="M36" s="1720"/>
      <c r="N36" s="1691"/>
      <c r="O36" s="1692"/>
      <c r="P36" s="1691"/>
      <c r="Q36" s="1691"/>
      <c r="R36" s="1691"/>
      <c r="S36" s="1691"/>
      <c r="T36" s="1691"/>
      <c r="U36" s="1691"/>
    </row>
    <row r="37" spans="1:21" ht="31.2">
      <c r="A37" s="3246"/>
      <c r="B37" s="3235"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6"/>
      <c r="B38" s="3236"/>
      <c r="C38" s="1666" t="s">
        <v>815</v>
      </c>
      <c r="D38" s="1788">
        <f>ROUNDDOWN(MIN(('数据-取费表'!$B$2-D37)/365,D34),1)</f>
        <v>118.9</v>
      </c>
      <c r="E38" s="1724" t="s">
        <v>816</v>
      </c>
      <c r="F38" s="1691"/>
      <c r="G38" s="1691"/>
      <c r="H38" s="1691"/>
      <c r="I38" s="1704"/>
      <c r="J38" s="1691"/>
      <c r="K38" s="1772"/>
      <c r="L38" s="1691"/>
      <c r="M38" s="1691"/>
      <c r="N38" s="1691"/>
      <c r="O38" s="1691"/>
      <c r="P38" s="1691"/>
      <c r="Q38" s="1691"/>
      <c r="R38" s="1691"/>
      <c r="S38" s="1691"/>
      <c r="T38" s="1691"/>
      <c r="U38" s="1691"/>
    </row>
    <row r="39" spans="1:21">
      <c r="A39" s="3247"/>
      <c r="B39" s="323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8" t="s">
        <v>1948</v>
      </c>
      <c r="T40" s="1728" t="str">
        <f>NUMBERSTRING(7-K40,1)&amp;"通"</f>
        <v>七通</v>
      </c>
      <c r="U40" s="1691"/>
    </row>
    <row r="41" spans="1:21">
      <c r="A41" s="1660"/>
      <c r="B41" s="3251" t="s">
        <v>1683</v>
      </c>
      <c r="C41" s="3251"/>
      <c r="D41" s="3251"/>
      <c r="E41" s="3251"/>
      <c r="F41" s="1729" t="str">
        <f>C10</f>
        <v>丹阳</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8"/>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76276.600000000006</v>
      </c>
      <c r="B3" s="21">
        <f>IF(C3="否",G5-AT5,G5)</f>
        <v>266968.10000000003</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266968.10000000003</v>
      </c>
      <c r="H5" s="26">
        <f t="shared" ref="H5:AT5" si="0">SUM(H13:H641)</f>
        <v>266968.10000000003</v>
      </c>
      <c r="I5" s="26">
        <f t="shared" si="0"/>
        <v>213574.48000000004</v>
      </c>
      <c r="J5" s="26">
        <f t="shared" si="0"/>
        <v>0</v>
      </c>
      <c r="K5" s="26">
        <f t="shared" si="0"/>
        <v>53393.62000000001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266968.10000000003</v>
      </c>
      <c r="BA5" s="28">
        <f t="shared" si="1"/>
        <v>266968.10000000003</v>
      </c>
      <c r="BB5" s="28">
        <f t="shared" si="1"/>
        <v>213574.48000000004</v>
      </c>
      <c r="BC5" s="28">
        <f t="shared" si="1"/>
        <v>53393.62000000001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76276.600000000006</v>
      </c>
      <c r="F6" s="26" t="s">
        <v>1</v>
      </c>
      <c r="G6" s="26" t="s">
        <v>2</v>
      </c>
      <c r="H6" s="32">
        <f>SUMIF(I$12:AB$12,"总值",I6:AB6)</f>
        <v>76276.600000000006</v>
      </c>
      <c r="I6" s="26">
        <f t="shared" ref="I6:AB6" si="2">ROUND($A$3*I5/$B$3,2)</f>
        <v>61021.279999999999</v>
      </c>
      <c r="J6" s="26">
        <f t="shared" si="2"/>
        <v>0</v>
      </c>
      <c r="K6" s="26">
        <f t="shared" si="2"/>
        <v>15255.32</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76276.600000000006</v>
      </c>
      <c r="AZ6" s="26" t="s">
        <v>3</v>
      </c>
      <c r="BA6" s="26">
        <f>ROUND($AY$6*BA5/$AZ$5,2)</f>
        <v>76276.600000000006</v>
      </c>
      <c r="BB6" s="26">
        <f>ROUND($AY$6*BB5/$AZ$5,2)</f>
        <v>61021.279999999999</v>
      </c>
      <c r="BC6" s="26">
        <f t="shared" ref="BC6:BH6" si="4">ROUND($AY$6*BC5/$AZ$5,2)</f>
        <v>15255.32</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2946</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888</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2942</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3.2">
      <c r="A13" s="3012"/>
      <c r="B13" s="3012"/>
      <c r="C13" s="3012"/>
      <c r="D13" s="3013" t="s">
        <v>1643</v>
      </c>
      <c r="E13" s="26">
        <f t="shared" ref="E13:E20" si="6">IF($C$3="是",ROUND($A$3*G13/$B$3,2),ROUND($A$3*(G13-AT13)/$B$3,2))</f>
        <v>76276.600000000006</v>
      </c>
      <c r="F13" s="80"/>
      <c r="G13" s="81">
        <f t="shared" ref="G13:G20" si="7">H13+AC13+AT13</f>
        <v>266968.10000000003</v>
      </c>
      <c r="H13" s="32">
        <f t="shared" ref="H13:H20" si="8">SUMIF(I$12:AB$12,"总值",I13:AB13)</f>
        <v>266968.10000000003</v>
      </c>
      <c r="I13" s="3016">
        <f>A3*3.5*80%</f>
        <v>213574.48000000004</v>
      </c>
      <c r="J13" s="3016"/>
      <c r="K13" s="3016">
        <f>A3*3.5*20%</f>
        <v>53393.62000000001</v>
      </c>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f t="shared" si="10"/>
        <v>0</v>
      </c>
      <c r="AY13" s="994">
        <f t="shared" ref="AY13:AY20" si="11">ROUND($AY$6*AZ13/$AZ$5,2)</f>
        <v>76276.600000000006</v>
      </c>
      <c r="AZ13" s="26">
        <f t="shared" ref="AZ13:AZ20" si="12">BA13+BL13</f>
        <v>266968.10000000003</v>
      </c>
      <c r="BA13" s="26">
        <f t="shared" ref="BA13:BA20" si="13">SUM(BB13:BK13)</f>
        <v>266968.10000000003</v>
      </c>
      <c r="BB13" s="26">
        <f t="shared" ref="BB13:BB20" si="14">IF($D13="是",I13-J13,0)</f>
        <v>213574.48000000004</v>
      </c>
      <c r="BC13" s="26">
        <f t="shared" ref="BC13:BC20" si="15">IF($D13="是",K13-L13,0)</f>
        <v>53393.62000000001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46.8">
      <c r="A3" s="3259"/>
      <c r="B3" s="3259"/>
      <c r="C3" s="3259"/>
      <c r="D3" s="3260"/>
      <c r="E3" s="3260"/>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70" t="s">
        <v>168</v>
      </c>
      <c r="B2" s="3270"/>
      <c r="C2" s="3270"/>
      <c r="D2" s="1973" t="s">
        <v>169</v>
      </c>
      <c r="E2" s="105" t="s">
        <v>170</v>
      </c>
      <c r="F2" s="1982"/>
      <c r="G2" s="1196"/>
      <c r="H2" s="1197"/>
      <c r="I2" s="1198" t="s">
        <v>822</v>
      </c>
      <c r="J2" s="1982"/>
      <c r="K2" s="1982"/>
      <c r="L2" s="1982"/>
    </row>
    <row r="3" spans="1:16" ht="15" thickBot="1">
      <c r="A3" s="3271" t="s">
        <v>171</v>
      </c>
      <c r="B3" s="3271"/>
      <c r="C3" s="3271"/>
      <c r="D3" s="106">
        <f>'数据-基础表'!AY6</f>
        <v>76276.600000000006</v>
      </c>
      <c r="E3" s="106">
        <f>'数据-基础表'!AZ5</f>
        <v>266968.10000000003</v>
      </c>
      <c r="F3" s="1982"/>
      <c r="G3" s="279" t="s">
        <v>823</v>
      </c>
      <c r="H3" s="274" t="s">
        <v>824</v>
      </c>
      <c r="I3" s="1974">
        <f>ROUND('数据-基础表'!B3/'数据-基础表'!A3,2)</f>
        <v>3.5</v>
      </c>
      <c r="J3" s="1982"/>
      <c r="K3" s="1982"/>
      <c r="L3" s="1982"/>
    </row>
    <row r="4" spans="1:16" ht="14.4">
      <c r="A4" s="3272"/>
      <c r="B4" s="3273"/>
      <c r="C4" s="3274"/>
      <c r="D4" s="107" t="s">
        <v>169</v>
      </c>
      <c r="E4" s="108" t="s">
        <v>170</v>
      </c>
      <c r="F4" s="1982"/>
      <c r="G4" s="1199"/>
      <c r="H4" s="274" t="s">
        <v>825</v>
      </c>
      <c r="I4" s="1974">
        <f>ROUND(SUMIF('数据-基础表'!I9:AS9,"地上",'数据-基础表'!I5:AS5)/'数据-基础表'!A3,2)</f>
        <v>3.5</v>
      </c>
      <c r="J4" s="1982"/>
      <c r="K4" s="1982"/>
      <c r="L4" s="1982"/>
    </row>
    <row r="5" spans="1:16" ht="14.4">
      <c r="A5" s="109" t="s">
        <v>172</v>
      </c>
      <c r="B5" s="3275" t="s">
        <v>195</v>
      </c>
      <c r="C5" s="3275"/>
      <c r="D5" s="110">
        <f>ROUND($D$3*E5/$E$3,2)</f>
        <v>61021.279999999999</v>
      </c>
      <c r="E5" s="111">
        <f>SUMIF('数据-基础表'!$11:$11,"住宅",'数据-基础表'!$5:$5)</f>
        <v>213574.48000000004</v>
      </c>
      <c r="F5" s="1982"/>
      <c r="G5" s="279" t="s">
        <v>826</v>
      </c>
      <c r="H5" s="274" t="s">
        <v>824</v>
      </c>
      <c r="I5" s="1974">
        <f>ROUND(E31/D31,2)</f>
        <v>3.5</v>
      </c>
      <c r="J5" s="1982"/>
      <c r="K5" s="1982"/>
      <c r="L5" s="1982"/>
    </row>
    <row r="6" spans="1:16" ht="15" thickBot="1">
      <c r="A6" s="112"/>
      <c r="B6" s="3275" t="s">
        <v>173</v>
      </c>
      <c r="C6" s="3275"/>
      <c r="D6" s="110">
        <f>ROUND($D$3*E6/$E$3,2)</f>
        <v>15255.32</v>
      </c>
      <c r="E6" s="111">
        <f>E3-E5</f>
        <v>53393.619999999995</v>
      </c>
      <c r="F6" s="1982"/>
      <c r="G6" s="1199"/>
      <c r="H6" s="274" t="s">
        <v>825</v>
      </c>
      <c r="I6" s="1974">
        <f>ROUND(F31/D31,2)</f>
        <v>3.5</v>
      </c>
      <c r="J6" s="1982"/>
      <c r="K6" s="1982"/>
      <c r="L6" s="1982"/>
    </row>
    <row r="7" spans="1:16" ht="14.4">
      <c r="A7" s="3267"/>
      <c r="B7" s="3268"/>
      <c r="C7" s="3269"/>
      <c r="D7" s="107" t="s">
        <v>169</v>
      </c>
      <c r="E7" s="113" t="s">
        <v>196</v>
      </c>
      <c r="F7" s="1982"/>
      <c r="G7" s="1154" t="s">
        <v>1610</v>
      </c>
      <c r="H7" s="1155"/>
      <c r="I7" s="1844"/>
      <c r="J7" s="1982"/>
      <c r="K7" s="1982"/>
      <c r="L7" s="1982"/>
    </row>
    <row r="8" spans="1:16" ht="14.4">
      <c r="A8" s="109" t="s">
        <v>174</v>
      </c>
      <c r="B8" s="114" t="s">
        <v>175</v>
      </c>
      <c r="C8" s="110" t="s">
        <v>176</v>
      </c>
      <c r="D8" s="110">
        <f t="shared" ref="D8:D15" si="0">ROUND($D$3*E8/$E$3,2)</f>
        <v>76276.600000000006</v>
      </c>
      <c r="E8" s="115">
        <f>SUMIF('数据-基础表'!BB10:BK10,"地上",'数据-基础表'!BB5:BK5)</f>
        <v>266968.10000000003</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76276.600000000006</v>
      </c>
      <c r="E16" s="119">
        <f>SUM(E8:E15)</f>
        <v>266968.10000000003</v>
      </c>
      <c r="F16" s="1982"/>
      <c r="G16" s="1984"/>
      <c r="H16" s="966" t="s">
        <v>184</v>
      </c>
      <c r="I16" s="967"/>
      <c r="J16" s="1982"/>
      <c r="K16" s="3261" t="s">
        <v>2528</v>
      </c>
      <c r="L16" s="3262"/>
      <c r="M16" s="3262"/>
      <c r="N16" s="3262"/>
      <c r="O16" s="3262"/>
      <c r="P16" s="3263"/>
    </row>
    <row r="17" spans="1:19" ht="14.4">
      <c r="A17" s="120" t="s">
        <v>181</v>
      </c>
      <c r="B17" s="121" t="s">
        <v>182</v>
      </c>
      <c r="C17" s="2296" t="s">
        <v>2275</v>
      </c>
      <c r="D17" s="107" t="s">
        <v>169</v>
      </c>
      <c r="E17" s="123" t="s">
        <v>170</v>
      </c>
      <c r="F17" s="124"/>
      <c r="G17" s="1364"/>
      <c r="H17" s="968" t="s">
        <v>183</v>
      </c>
      <c r="I17" s="969" t="s">
        <v>2274</v>
      </c>
      <c r="J17" s="1982"/>
      <c r="K17" s="3264" t="s">
        <v>2529</v>
      </c>
      <c r="L17" s="3265"/>
      <c r="M17" s="3266"/>
      <c r="N17" s="3264" t="s">
        <v>2530</v>
      </c>
      <c r="O17" s="3265"/>
      <c r="P17" s="3266"/>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tr">
        <f>定义!A2</f>
        <v>住宅用房</v>
      </c>
      <c r="D19" s="110">
        <f t="shared" ref="D19:D26" si="1">ROUND($D$3*E19/$E$3,2)</f>
        <v>61021.279999999999</v>
      </c>
      <c r="E19" s="133">
        <f t="shared" ref="E19:E26" si="2">SUM(F19:G19)</f>
        <v>213574.48000000004</v>
      </c>
      <c r="F19" s="134">
        <f>'数据-基础表'!I13</f>
        <v>213574.48000000004</v>
      </c>
      <c r="G19" s="1366"/>
      <c r="H19" s="972">
        <f>ROUND($D$3*I19/$E$3,2)</f>
        <v>0</v>
      </c>
      <c r="I19" s="115">
        <f>IF($I$17="自定义",P19,M19)</f>
        <v>0</v>
      </c>
      <c r="J19" s="1982"/>
      <c r="K19" s="2606">
        <f t="shared" ref="K19:K26" si="3">ROUND(E$28*E19/E$27,2)</f>
        <v>0</v>
      </c>
      <c r="L19" s="274">
        <f t="shared" ref="L19:L26" si="4">ROUND(IF(COUNTIF(C19,"*住宅*")&gt;0,E$29*E19/E$32,0),2)</f>
        <v>0</v>
      </c>
      <c r="M19" s="2607">
        <f>K19+L19</f>
        <v>0</v>
      </c>
      <c r="N19" s="2608"/>
      <c r="O19" s="2609"/>
      <c r="P19" s="2610">
        <f>N19+O19</f>
        <v>0</v>
      </c>
      <c r="R19" s="274">
        <f t="shared" ref="R19:S26" si="5">D19+H19</f>
        <v>61021.279999999999</v>
      </c>
      <c r="S19" s="2299">
        <f t="shared" si="5"/>
        <v>213574.48000000004</v>
      </c>
    </row>
    <row r="20" spans="1:19" ht="14.4">
      <c r="A20" s="137"/>
      <c r="B20" s="114" t="s">
        <v>191</v>
      </c>
      <c r="C20" s="3023" t="str">
        <f>定义!A3</f>
        <v>商业用房</v>
      </c>
      <c r="D20" s="110">
        <f t="shared" si="1"/>
        <v>15255.32</v>
      </c>
      <c r="E20" s="133">
        <f t="shared" si="2"/>
        <v>53393.62000000001</v>
      </c>
      <c r="F20" s="134">
        <f>'数据-基础表'!K13</f>
        <v>53393.62000000001</v>
      </c>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15255.32</v>
      </c>
      <c r="S20" s="2299">
        <f t="shared" si="5"/>
        <v>53393.62000000001</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76276.600000000006</v>
      </c>
      <c r="E27" s="142">
        <f>IF(SUM(E19:E26)='数据-基础表'!BA5,SUM(E19:E26),IF(F27="地上面积有误","面积有误","地下面积有误"))</f>
        <v>266968.10000000003</v>
      </c>
      <c r="F27" s="133">
        <f>IF(SUM(F19:F26)=E8,SUM(F19:F26),"地上面积有误")</f>
        <v>266968.10000000003</v>
      </c>
      <c r="G27" s="111">
        <f>SUM(G19:G26)</f>
        <v>0</v>
      </c>
      <c r="H27" s="973">
        <f>SUM(H19:H26)</f>
        <v>0</v>
      </c>
      <c r="I27" s="974">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76276.600000000006</v>
      </c>
      <c r="S27" s="274">
        <f>IF(SUM(S19:S26)=$E$3,SUM(S19:S26),SUM(S19:S26)&amp;"误差"&amp;ROUND(SUM(S19:S26)-E3,2))</f>
        <v>266968.10000000003</v>
      </c>
    </row>
    <row r="28" spans="1:19" ht="14.4">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0</v>
      </c>
      <c r="E30" s="133">
        <f>SUM(E28:E29)</f>
        <v>0</v>
      </c>
      <c r="F30" s="133">
        <f>SUM(F28:F29)</f>
        <v>0</v>
      </c>
      <c r="G30" s="111">
        <f>SUM(G28:G29)</f>
        <v>0</v>
      </c>
      <c r="H30" s="1982"/>
      <c r="I30" s="1982"/>
      <c r="J30" s="1982"/>
      <c r="K30" s="1982"/>
      <c r="L30" s="1982"/>
    </row>
    <row r="31" spans="1:19" ht="32.25" customHeight="1" thickBot="1">
      <c r="A31" s="1368"/>
      <c r="B31" s="1369" t="s">
        <v>194</v>
      </c>
      <c r="C31" s="2328" t="s">
        <v>2284</v>
      </c>
      <c r="D31" s="1370">
        <f>D27+D30</f>
        <v>76276.600000000006</v>
      </c>
      <c r="E31" s="1370">
        <f>E27+E30</f>
        <v>266968.10000000003</v>
      </c>
      <c r="F31" s="1371">
        <f>F27+F30</f>
        <v>266968.10000000003</v>
      </c>
      <c r="G31" s="1372">
        <f>G27+G30</f>
        <v>0</v>
      </c>
      <c r="H31" s="1982"/>
      <c r="I31" s="1982"/>
      <c r="J31" s="1982"/>
      <c r="K31" s="1982"/>
      <c r="L31" s="1982"/>
    </row>
    <row r="32" spans="1:19" ht="14.4">
      <c r="A32" s="1982"/>
      <c r="B32" s="2361" t="s">
        <v>2283</v>
      </c>
      <c r="C32" s="2645"/>
      <c r="D32" s="1199"/>
      <c r="E32" s="1199">
        <f>SUMIF(C19:C26,"*住宅*",E19:E26)</f>
        <v>213574.48000000004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10" sqref="L10"/>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43416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住宅用房</v>
      </c>
      <c r="B6" s="2335" t="str">
        <f>IF(A6=0,"","经营性")</f>
        <v>经营性</v>
      </c>
      <c r="C6" s="172" t="s">
        <v>888</v>
      </c>
      <c r="D6" s="2306">
        <f>SUMIF(项目基本情况!D$15:I$15,C6,项目基本情况!D$18:I$18)</f>
        <v>70</v>
      </c>
      <c r="E6" s="2307">
        <f>IF(B6="","",SUMIF(项目基本情况!D$15:I$15,C6,项目基本情况!D$17:I$17))</f>
        <v>66991</v>
      </c>
      <c r="F6" s="173">
        <f>SUMIF(项目基本情况!D$15:I$15,C6,项目基本情况!D$19:I$19)</f>
        <v>64.58</v>
      </c>
      <c r="G6" s="174">
        <f>IF(ISERROR(ROUND(POWER(1+H6,D6-F6)*(POWER(1+H6,F6)-1)/(POWER(1+H6,D6)-1),3)),0,ROUND(POWER(1+H6,D6-F6)*(POWER(1+H6,F6)-1)/(POWER(1+H6,D6)-1),3))</f>
        <v>0.98399999999999999</v>
      </c>
      <c r="H6" s="3024">
        <v>0.04</v>
      </c>
      <c r="I6" s="3024">
        <v>4.4999999999999998E-2</v>
      </c>
      <c r="J6" s="175">
        <v>8.5000000000000006E-2</v>
      </c>
      <c r="K6" s="178">
        <f>SUMIF('数据-汇总表'!C$19:C$33,'数据-取费表'!A6,'数据-汇总表'!E$19:E$33)</f>
        <v>213574.48000000004</v>
      </c>
      <c r="L6" s="3025">
        <v>2200</v>
      </c>
      <c r="M6" s="176">
        <f t="shared" ref="M6:M14" si="0">ROUND(K6*L6/10000,0)</f>
        <v>46986</v>
      </c>
      <c r="N6" s="3026">
        <v>0</v>
      </c>
      <c r="O6" s="176">
        <f>IF($N$5="成新度","——",ROUND(M6*N6,0))</f>
        <v>0</v>
      </c>
      <c r="P6" s="177">
        <f>IF($N$5="成新度","——",M6-O6)</f>
        <v>46986</v>
      </c>
      <c r="Q6" s="3027">
        <v>0.15</v>
      </c>
      <c r="R6" s="178">
        <f>SUMIF('数据-汇总表'!C$19:C$33,A6,'数据-汇总表'!R$19:R$33)</f>
        <v>61021.279999999999</v>
      </c>
      <c r="S6" s="131">
        <f>IF('数据-汇总表'!$I$17="按面积比例",SUMIF('数据-汇总表'!C$19:C$33,A6,'数据-汇总表'!K$19:K$33),SUMIF('数据-汇总表'!C$19:C$33,A6,'数据-汇总表'!N$19:N$33))</f>
        <v>0</v>
      </c>
      <c r="T6" s="2232" t="str">
        <f>IF($T$4="按面积比例",IF(ISERROR(ROUND($M$14*S6/S$16,0)),"0",ROUND($M$14*S6/S$16,0)),"需自行计算录入")</f>
        <v>0</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v>0.02</v>
      </c>
      <c r="AL6" s="189">
        <v>2E-3</v>
      </c>
      <c r="AM6" s="3038">
        <v>0.02</v>
      </c>
      <c r="AN6" s="2390"/>
      <c r="AO6" s="1998"/>
      <c r="AP6" s="1202">
        <f>ROUND(1-1/(1+H6)^F6,3)</f>
        <v>0.92100000000000004</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商业用房</v>
      </c>
      <c r="B7" s="2335" t="str">
        <f t="shared" ref="B7:B13" si="1">IF(A7=0,"","经营性")</f>
        <v>经营性</v>
      </c>
      <c r="C7" s="172" t="s">
        <v>2947</v>
      </c>
      <c r="D7" s="2306">
        <f>SUMIF(项目基本情况!D$15:I$15,C7,项目基本情况!D$18:I$18)</f>
        <v>40</v>
      </c>
      <c r="E7" s="2307">
        <f>IF(B7="","",SUMIF(项目基本情况!D$15:I$15,C7,项目基本情况!D$17:I$17))</f>
        <v>56034</v>
      </c>
      <c r="F7" s="173">
        <f>SUMIF(项目基本情况!D$15:I$15,C7,项目基本情况!D$19:I$19)</f>
        <v>34.56</v>
      </c>
      <c r="G7" s="174">
        <f t="shared" ref="G7:G11" si="2">IF(ISERROR(ROUND(POWER(1+H7,D7-F7)*(POWER(1+H7,F7)-1)/(POWER(1+H7,D7)-1),3)),0,ROUND(POWER(1+H7,D7-F7)*(POWER(1+H7,F7)-1)/(POWER(1+H7,D7)-1),3))</f>
        <v>0.95</v>
      </c>
      <c r="H7" s="3024">
        <v>0.05</v>
      </c>
      <c r="I7" s="3024">
        <v>5.5E-2</v>
      </c>
      <c r="J7" s="175">
        <v>8.5000000000000006E-2</v>
      </c>
      <c r="K7" s="178">
        <f>SUMIF('数据-汇总表'!C$19:C$33,'数据-取费表'!A7,'数据-汇总表'!E$19:E$33)</f>
        <v>53393.62000000001</v>
      </c>
      <c r="L7" s="3025">
        <f>L6</f>
        <v>2200</v>
      </c>
      <c r="M7" s="176">
        <f t="shared" si="0"/>
        <v>11747</v>
      </c>
      <c r="N7" s="3026">
        <v>0</v>
      </c>
      <c r="O7" s="176">
        <f t="shared" ref="O7:O14" si="3">IF($N$5="成新度","——",ROUND(M7*N7,0))</f>
        <v>0</v>
      </c>
      <c r="P7" s="177">
        <f t="shared" ref="P7:P14" si="4">IF($N$5="成新度","——",M7-O7)</f>
        <v>11747</v>
      </c>
      <c r="Q7" s="3027">
        <v>0.25</v>
      </c>
      <c r="R7" s="178">
        <f>SUMIF('数据-汇总表'!C$19:C$33,A7,'数据-汇总表'!R$19:R$33)</f>
        <v>15255.32</v>
      </c>
      <c r="S7" s="131">
        <f>IF('数据-汇总表'!$I$17="按面积比例",SUMIF('数据-汇总表'!C$19:C$33,A7,'数据-汇总表'!K$19:K$33),SUMIF('数据-汇总表'!C$19:C$33,A7,'数据-汇总表'!N$19:N$33))</f>
        <v>0</v>
      </c>
      <c r="T7" s="2232" t="str">
        <f t="shared" ref="T7:T13" si="5">IF($T$4="按面积比例",IF(ISERROR(ROUND($M$14*S7/S$16,0)),"0",ROUND($M$14*S7/S$16,0)),"需自行计算录入")</f>
        <v>0</v>
      </c>
      <c r="U7" s="184">
        <v>2</v>
      </c>
      <c r="V7" s="180">
        <v>3.5000000000000003E-2</v>
      </c>
      <c r="W7" s="180">
        <v>0.1</v>
      </c>
      <c r="X7" s="2319"/>
      <c r="Y7" s="181">
        <v>1</v>
      </c>
      <c r="Z7" s="182"/>
      <c r="AA7" s="175"/>
      <c r="AB7" s="175"/>
      <c r="AC7" s="2322"/>
      <c r="AD7" s="183"/>
      <c r="AE7" s="970">
        <f t="shared" ref="AE7:AE13" ca="1" si="6">IF(AN7="",0,SUMIF(INDIRECT("'"&amp;AN7&amp;"'"&amp;"!E:E"),$AE$5,INDIRECT("'"&amp;AN7&amp;"'"&amp;"!F:F")))</f>
        <v>32.56</v>
      </c>
      <c r="AF7" s="140"/>
      <c r="AG7" s="1211">
        <f t="shared" ref="AG7:AG13" si="7">IF(AF7="",0,AE7-AF7)</f>
        <v>0</v>
      </c>
      <c r="AH7" s="140"/>
      <c r="AI7" s="186">
        <v>365</v>
      </c>
      <c r="AJ7" s="187"/>
      <c r="AK7" s="188">
        <v>0.02</v>
      </c>
      <c r="AL7" s="189">
        <v>2E-3</v>
      </c>
      <c r="AM7" s="3038">
        <v>0.02</v>
      </c>
      <c r="AN7" s="2390" t="s">
        <v>2988</v>
      </c>
      <c r="AO7" s="1998"/>
      <c r="AP7" s="1202">
        <f t="shared" ref="AP7:AP13" si="8">ROUND(1-1/(1+H7)^F7,3)</f>
        <v>0.81499999999999995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t="str">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t="str">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t="str">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t="str">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t="str">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t="str">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0</v>
      </c>
      <c r="L14" s="192"/>
      <c r="M14" s="176">
        <f t="shared" si="0"/>
        <v>0</v>
      </c>
      <c r="N14" s="193"/>
      <c r="O14" s="176">
        <f t="shared" si="3"/>
        <v>0</v>
      </c>
      <c r="P14" s="177">
        <f t="shared" si="4"/>
        <v>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266968.10000000003</v>
      </c>
      <c r="L16" s="205">
        <f>ROUND(M16*10000/SUM(K6:K14),0)</f>
        <v>2200</v>
      </c>
      <c r="M16" s="205">
        <f>SUM(M6:M14)</f>
        <v>58733</v>
      </c>
      <c r="N16" s="206">
        <f>ROUND(SUMPRODUCT(M6:M14,N6:N14)/M16,3)</f>
        <v>0</v>
      </c>
      <c r="O16" s="205">
        <f>SUM(O6:O14)</f>
        <v>0</v>
      </c>
      <c r="P16" s="205">
        <f>SUM(P6:P14)</f>
        <v>58733</v>
      </c>
      <c r="Q16" s="207">
        <f>ROUND(SUMPRODUCT(Q6:Q13,K6:K13)/SUMPRODUCT((Q6:Q13&gt;0)*(K6:K13)),2)</f>
        <v>0.17</v>
      </c>
      <c r="R16" s="2309">
        <f>SUM(R6:R13)</f>
        <v>76276.600000000006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2</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75</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75</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9">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0.05</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1292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v>4</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76" t="s">
        <v>1628</v>
      </c>
      <c r="B1" s="3277"/>
      <c r="C1" s="3277"/>
      <c r="D1" s="3277"/>
      <c r="E1" s="3277"/>
      <c r="F1" s="3277"/>
      <c r="G1" s="3277"/>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4" t="s">
        <v>2806</v>
      </c>
      <c r="B1" s="3044">
        <f>SUM(B14:B23)</f>
        <v>266968.10000000003</v>
      </c>
      <c r="C1" s="3045"/>
      <c r="D1" s="3045"/>
      <c r="E1" s="3045"/>
      <c r="F1" s="3045"/>
    </row>
    <row r="2" spans="1:9" ht="15.6">
      <c r="A2" s="3044" t="s">
        <v>2807</v>
      </c>
      <c r="B2" s="3044">
        <f>SUM(C14:C23)</f>
        <v>76276.600000000006</v>
      </c>
      <c r="C2" s="3045"/>
      <c r="D2" s="3045"/>
      <c r="E2" s="3045"/>
      <c r="F2" s="3045"/>
    </row>
    <row r="3" spans="1:9" ht="15.6">
      <c r="A3" s="3044" t="s">
        <v>2808</v>
      </c>
      <c r="B3" s="3046">
        <f>项目基本情况!D3</f>
        <v>43416</v>
      </c>
      <c r="C3" s="3045"/>
      <c r="D3" s="3045"/>
      <c r="E3" s="3045"/>
      <c r="F3" s="3045"/>
    </row>
    <row r="4" spans="1:9" ht="31.2">
      <c r="A4" s="3044" t="s">
        <v>2809</v>
      </c>
      <c r="B4" s="3044" t="s">
        <v>2810</v>
      </c>
      <c r="C4" s="3044" t="s">
        <v>2811</v>
      </c>
      <c r="D4" s="3044" t="s">
        <v>2812</v>
      </c>
      <c r="E4" s="3045"/>
      <c r="F4" s="3045"/>
    </row>
    <row r="5" spans="1:9" ht="15.6">
      <c r="A5" s="3044" t="s">
        <v>2813</v>
      </c>
      <c r="B5" s="3044">
        <f ca="1">SUM(D14:D23)</f>
        <v>78213</v>
      </c>
      <c r="C5" s="3044">
        <f ca="1">ROUND(B5*10000/$B$1,0)</f>
        <v>2930</v>
      </c>
      <c r="D5" s="3044">
        <f ca="1">ROUND(B5*10000/$B$2,0)</f>
        <v>10254</v>
      </c>
      <c r="E5" s="3045"/>
      <c r="F5" s="3045"/>
    </row>
    <row r="6" spans="1:9" ht="15.6">
      <c r="A6" s="3044" t="s">
        <v>2814</v>
      </c>
      <c r="B6" s="3044">
        <f ca="1">SUM(G14:G23)</f>
        <v>78213</v>
      </c>
      <c r="C6" s="3044">
        <f t="shared" ref="C6:C8" ca="1" si="0">ROUND(B6*10000/$B$1,0)</f>
        <v>2930</v>
      </c>
      <c r="D6" s="3044">
        <f t="shared" ref="D6:D8" ca="1" si="1">ROUND(B6*10000/$B$2,0)</f>
        <v>10254</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266968.10000000003</v>
      </c>
      <c r="C14" s="3048">
        <f>结果表!K38</f>
        <v>76276.600000000006</v>
      </c>
      <c r="D14" s="3048">
        <f ca="1">结果表!C42</f>
        <v>78213</v>
      </c>
      <c r="E14" s="3048">
        <f ca="1">ROUND(D14*10000/B14,0)</f>
        <v>2930</v>
      </c>
      <c r="F14" s="3048">
        <f ca="1">ROUND(D14*10000/C14,0)</f>
        <v>10254</v>
      </c>
      <c r="G14" s="3048">
        <f ca="1">结果表!C44</f>
        <v>78213</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workbookViewId="0">
      <selection activeCell="AB25" sqref="AB25"/>
    </sheetView>
  </sheetViews>
  <sheetFormatPr defaultColWidth="8.88671875" defaultRowHeight="16.2"/>
  <cols>
    <col min="1" max="1" width="13.6640625" style="3185" customWidth="1"/>
    <col min="2" max="12" width="8.88671875" style="3185"/>
    <col min="13" max="13" width="0" style="3185" hidden="1" customWidth="1"/>
    <col min="14" max="14" width="8.88671875" style="3185"/>
    <col min="15" max="22" width="0" style="3185" hidden="1" customWidth="1"/>
    <col min="23" max="23" width="8.88671875" style="3185"/>
    <col min="24" max="26" width="0" style="3185" hidden="1" customWidth="1"/>
    <col min="27" max="37" width="8.88671875" style="3185"/>
    <col min="38" max="39" width="0" style="3185" hidden="1" customWidth="1"/>
    <col min="40" max="41" width="8.88671875" style="3185"/>
    <col min="42" max="45" width="0" style="3185" hidden="1" customWidth="1"/>
    <col min="46" max="16384" width="8.88671875" style="3185"/>
  </cols>
  <sheetData>
    <row r="1" spans="1:44" s="3184" customFormat="1" ht="12.6">
      <c r="A1" s="3184" t="s">
        <v>3028</v>
      </c>
      <c r="B1" s="3184" t="s">
        <v>3029</v>
      </c>
      <c r="C1" s="3184" t="s">
        <v>3030</v>
      </c>
      <c r="D1" s="3184" t="s">
        <v>3031</v>
      </c>
      <c r="E1" s="3184" t="s">
        <v>3032</v>
      </c>
      <c r="F1" s="3184" t="s">
        <v>3033</v>
      </c>
      <c r="G1" s="3184" t="s">
        <v>3034</v>
      </c>
      <c r="H1" s="3184" t="s">
        <v>3035</v>
      </c>
      <c r="I1" s="3184" t="s">
        <v>3036</v>
      </c>
      <c r="J1" s="3184" t="s">
        <v>3037</v>
      </c>
      <c r="K1" s="3184" t="s">
        <v>3038</v>
      </c>
      <c r="L1" s="3184" t="s">
        <v>1994</v>
      </c>
      <c r="M1" s="3184" t="s">
        <v>3039</v>
      </c>
      <c r="N1" s="3184" t="s">
        <v>3040</v>
      </c>
      <c r="O1" s="3184" t="s">
        <v>3041</v>
      </c>
      <c r="P1" s="3184" t="s">
        <v>3042</v>
      </c>
      <c r="Q1" s="3184" t="s">
        <v>3043</v>
      </c>
      <c r="R1" s="3184" t="s">
        <v>3044</v>
      </c>
      <c r="S1" s="3184" t="s">
        <v>3045</v>
      </c>
      <c r="T1" s="3184" t="s">
        <v>3046</v>
      </c>
      <c r="U1" s="3184" t="s">
        <v>3047</v>
      </c>
      <c r="V1" s="3184" t="s">
        <v>3048</v>
      </c>
      <c r="W1" s="3184" t="s">
        <v>3049</v>
      </c>
      <c r="X1" s="3184" t="s">
        <v>3050</v>
      </c>
      <c r="Y1" s="3184" t="s">
        <v>3051</v>
      </c>
      <c r="Z1" s="3184" t="s">
        <v>3052</v>
      </c>
      <c r="AA1" s="3184" t="s">
        <v>3053</v>
      </c>
      <c r="AB1" s="3184" t="s">
        <v>3054</v>
      </c>
      <c r="AC1" s="3184" t="s">
        <v>3055</v>
      </c>
      <c r="AD1" s="3184" t="s">
        <v>3056</v>
      </c>
      <c r="AE1" s="3184" t="s">
        <v>3057</v>
      </c>
      <c r="AF1" s="3184" t="s">
        <v>3058</v>
      </c>
      <c r="AG1" s="3184" t="s">
        <v>3059</v>
      </c>
      <c r="AH1" s="3184" t="s">
        <v>3060</v>
      </c>
      <c r="AI1" s="3184" t="s">
        <v>3061</v>
      </c>
      <c r="AJ1" s="3184" t="s">
        <v>3062</v>
      </c>
      <c r="AK1" s="3184" t="s">
        <v>3063</v>
      </c>
      <c r="AL1" s="3184" t="s">
        <v>3064</v>
      </c>
      <c r="AM1" s="3184" t="s">
        <v>3065</v>
      </c>
      <c r="AN1" s="3184" t="s">
        <v>3066</v>
      </c>
      <c r="AO1" s="3184" t="s">
        <v>3067</v>
      </c>
      <c r="AP1" s="3184" t="s">
        <v>3068</v>
      </c>
      <c r="AQ1" s="3184" t="s">
        <v>3069</v>
      </c>
      <c r="AR1" s="3184" t="s">
        <v>3070</v>
      </c>
    </row>
    <row r="2" spans="1:44" s="3184" customFormat="1" ht="12.6">
      <c r="A2" s="3184" t="s">
        <v>3071</v>
      </c>
      <c r="B2" s="3184" t="s">
        <v>3072</v>
      </c>
      <c r="C2" s="3184" t="s">
        <v>3073</v>
      </c>
      <c r="D2" s="3184" t="s">
        <v>2995</v>
      </c>
      <c r="E2" s="3184" t="s">
        <v>2780</v>
      </c>
      <c r="F2" s="3184" t="s">
        <v>3071</v>
      </c>
      <c r="G2" s="3184" t="s">
        <v>3074</v>
      </c>
      <c r="H2" s="3184" t="s">
        <v>3075</v>
      </c>
      <c r="I2" s="3184" t="s">
        <v>3076</v>
      </c>
      <c r="J2" s="3184">
        <v>41505</v>
      </c>
      <c r="K2" s="3184">
        <v>83010</v>
      </c>
      <c r="L2" s="3184" t="s">
        <v>3077</v>
      </c>
      <c r="M2" s="3184" t="s">
        <v>2780</v>
      </c>
      <c r="N2" s="3184" t="s">
        <v>3078</v>
      </c>
      <c r="O2" s="3184" t="s">
        <v>2780</v>
      </c>
      <c r="P2" s="3184" t="s">
        <v>2780</v>
      </c>
      <c r="Q2" s="3184" t="s">
        <v>2780</v>
      </c>
      <c r="R2" s="3184" t="s">
        <v>2780</v>
      </c>
      <c r="S2" s="3184" t="s">
        <v>2780</v>
      </c>
      <c r="T2" s="3184" t="s">
        <v>2780</v>
      </c>
      <c r="U2" s="3184" t="s">
        <v>2780</v>
      </c>
      <c r="V2" s="3184" t="s">
        <v>2780</v>
      </c>
      <c r="W2" s="3184" t="s">
        <v>3079</v>
      </c>
      <c r="X2" s="3184" t="s">
        <v>3080</v>
      </c>
      <c r="Y2" s="3184" t="s">
        <v>3081</v>
      </c>
      <c r="Z2" s="3184" t="s">
        <v>3082</v>
      </c>
      <c r="AA2" s="3184" t="s">
        <v>3082</v>
      </c>
      <c r="AB2" s="3184" t="s">
        <v>3083</v>
      </c>
      <c r="AC2" s="3184" t="s">
        <v>3084</v>
      </c>
      <c r="AD2" s="3184" t="s">
        <v>3085</v>
      </c>
      <c r="AE2" s="3184">
        <v>6226</v>
      </c>
      <c r="AF2" s="3184">
        <v>31130</v>
      </c>
      <c r="AG2" s="3184">
        <v>47630</v>
      </c>
      <c r="AH2" s="3184">
        <v>500.02</v>
      </c>
      <c r="AI2" s="3184">
        <v>765.05</v>
      </c>
      <c r="AJ2" s="3184">
        <v>3750.15</v>
      </c>
      <c r="AK2" s="3184">
        <v>5737.85</v>
      </c>
      <c r="AL2" s="3184" t="s">
        <v>2780</v>
      </c>
      <c r="AM2" s="3184" t="s">
        <v>2780</v>
      </c>
      <c r="AN2" s="3184">
        <v>53</v>
      </c>
      <c r="AO2" s="3184" t="s">
        <v>3086</v>
      </c>
      <c r="AP2" s="3184" t="s">
        <v>2780</v>
      </c>
      <c r="AQ2" s="3184" t="s">
        <v>2780</v>
      </c>
      <c r="AR2" s="3184" t="s">
        <v>2780</v>
      </c>
    </row>
    <row r="3" spans="1:44" s="3184" customFormat="1" ht="12.6">
      <c r="A3" s="3184" t="s">
        <v>3087</v>
      </c>
      <c r="B3" s="3184" t="s">
        <v>3072</v>
      </c>
      <c r="C3" s="3184" t="s">
        <v>3073</v>
      </c>
      <c r="D3" s="3184" t="s">
        <v>2995</v>
      </c>
      <c r="E3" s="3184" t="s">
        <v>2780</v>
      </c>
      <c r="F3" s="3184" t="s">
        <v>3087</v>
      </c>
      <c r="G3" s="3184" t="s">
        <v>3074</v>
      </c>
      <c r="H3" s="3184" t="s">
        <v>3088</v>
      </c>
      <c r="I3" s="3184" t="s">
        <v>3076</v>
      </c>
      <c r="J3" s="3184">
        <v>4857</v>
      </c>
      <c r="K3" s="3184">
        <v>10685.4</v>
      </c>
      <c r="L3" s="3184" t="s">
        <v>3089</v>
      </c>
      <c r="M3" s="3184" t="s">
        <v>2780</v>
      </c>
      <c r="N3" s="3184" t="s">
        <v>3078</v>
      </c>
      <c r="O3" s="3184" t="s">
        <v>2780</v>
      </c>
      <c r="P3" s="3184" t="s">
        <v>2780</v>
      </c>
      <c r="Q3" s="3184" t="s">
        <v>2780</v>
      </c>
      <c r="R3" s="3184" t="s">
        <v>2780</v>
      </c>
      <c r="S3" s="3184" t="s">
        <v>2780</v>
      </c>
      <c r="T3" s="3184" t="s">
        <v>2780</v>
      </c>
      <c r="U3" s="3184" t="s">
        <v>2780</v>
      </c>
      <c r="V3" s="3184" t="s">
        <v>2780</v>
      </c>
      <c r="W3" s="3184" t="s">
        <v>3079</v>
      </c>
      <c r="X3" s="3184" t="s">
        <v>3080</v>
      </c>
      <c r="Y3" s="3184" t="s">
        <v>3081</v>
      </c>
      <c r="Z3" s="3184" t="s">
        <v>3082</v>
      </c>
      <c r="AA3" s="3184" t="s">
        <v>3082</v>
      </c>
      <c r="AB3" s="3184" t="s">
        <v>3090</v>
      </c>
      <c r="AC3" s="3184" t="s">
        <v>3084</v>
      </c>
      <c r="AD3" s="3184" t="s">
        <v>3091</v>
      </c>
      <c r="AE3" s="3184">
        <v>524</v>
      </c>
      <c r="AF3" s="3184">
        <v>2620</v>
      </c>
      <c r="AG3" s="3184">
        <v>2620</v>
      </c>
      <c r="AH3" s="3184">
        <v>359.62</v>
      </c>
      <c r="AI3" s="3184">
        <v>359.62</v>
      </c>
      <c r="AJ3" s="3184">
        <v>2451.94</v>
      </c>
      <c r="AK3" s="3184">
        <v>2451.94</v>
      </c>
      <c r="AL3" s="3184" t="s">
        <v>2780</v>
      </c>
      <c r="AM3" s="3184" t="s">
        <v>2780</v>
      </c>
      <c r="AN3" s="3184">
        <v>0</v>
      </c>
      <c r="AO3" s="3184" t="s">
        <v>3086</v>
      </c>
      <c r="AP3" s="3184" t="s">
        <v>2780</v>
      </c>
      <c r="AQ3" s="3184" t="s">
        <v>2780</v>
      </c>
      <c r="AR3" s="3184" t="s">
        <v>2780</v>
      </c>
    </row>
    <row r="4" spans="1:44" s="3184" customFormat="1" ht="12.6">
      <c r="A4" s="3184" t="s">
        <v>3092</v>
      </c>
      <c r="B4" s="3184" t="s">
        <v>3072</v>
      </c>
      <c r="C4" s="3184" t="s">
        <v>3073</v>
      </c>
      <c r="D4" s="3184" t="s">
        <v>2995</v>
      </c>
      <c r="E4" s="3184" t="s">
        <v>2780</v>
      </c>
      <c r="F4" s="3184" t="s">
        <v>3092</v>
      </c>
      <c r="G4" s="3184" t="s">
        <v>3074</v>
      </c>
      <c r="H4" s="3184" t="s">
        <v>3093</v>
      </c>
      <c r="I4" s="3184" t="s">
        <v>3076</v>
      </c>
      <c r="J4" s="3184">
        <v>22487</v>
      </c>
      <c r="K4" s="3184">
        <v>49471.4</v>
      </c>
      <c r="L4" s="3184" t="s">
        <v>3089</v>
      </c>
      <c r="M4" s="3184" t="s">
        <v>2780</v>
      </c>
      <c r="N4" s="3184" t="s">
        <v>3078</v>
      </c>
      <c r="O4" s="3184" t="s">
        <v>2780</v>
      </c>
      <c r="P4" s="3184" t="s">
        <v>2780</v>
      </c>
      <c r="Q4" s="3184" t="s">
        <v>2780</v>
      </c>
      <c r="R4" s="3184" t="s">
        <v>2780</v>
      </c>
      <c r="S4" s="3184" t="s">
        <v>2780</v>
      </c>
      <c r="T4" s="3184" t="s">
        <v>2780</v>
      </c>
      <c r="U4" s="3184" t="s">
        <v>2780</v>
      </c>
      <c r="V4" s="3184" t="s">
        <v>2780</v>
      </c>
      <c r="W4" s="3184" t="s">
        <v>3079</v>
      </c>
      <c r="X4" s="3184" t="s">
        <v>3080</v>
      </c>
      <c r="Y4" s="3184" t="s">
        <v>3081</v>
      </c>
      <c r="Z4" s="3184" t="s">
        <v>3082</v>
      </c>
      <c r="AA4" s="3184" t="s">
        <v>3082</v>
      </c>
      <c r="AB4" s="3184" t="s">
        <v>3094</v>
      </c>
      <c r="AC4" s="3184" t="s">
        <v>3084</v>
      </c>
      <c r="AD4" s="3184" t="s">
        <v>3095</v>
      </c>
      <c r="AE4" s="3184">
        <v>3240</v>
      </c>
      <c r="AF4" s="3184">
        <v>16200</v>
      </c>
      <c r="AG4" s="3184">
        <v>23600</v>
      </c>
      <c r="AH4" s="3184">
        <v>480.28</v>
      </c>
      <c r="AI4" s="3184">
        <v>699.66</v>
      </c>
      <c r="AJ4" s="3184">
        <v>3274.61</v>
      </c>
      <c r="AK4" s="3184">
        <v>4770.43</v>
      </c>
      <c r="AL4" s="3184" t="s">
        <v>2780</v>
      </c>
      <c r="AM4" s="3184" t="s">
        <v>2780</v>
      </c>
      <c r="AN4" s="3184">
        <v>45.68</v>
      </c>
      <c r="AO4" s="3184" t="s">
        <v>3086</v>
      </c>
      <c r="AP4" s="3184" t="s">
        <v>2780</v>
      </c>
      <c r="AQ4" s="3184" t="s">
        <v>2780</v>
      </c>
      <c r="AR4" s="3184" t="s">
        <v>2780</v>
      </c>
    </row>
    <row r="5" spans="1:44" s="3184" customFormat="1" ht="12.6">
      <c r="A5" s="3184" t="s">
        <v>3096</v>
      </c>
      <c r="B5" s="3184" t="s">
        <v>3072</v>
      </c>
      <c r="C5" s="3184" t="s">
        <v>3073</v>
      </c>
      <c r="D5" s="3184" t="s">
        <v>2995</v>
      </c>
      <c r="E5" s="3184" t="s">
        <v>2780</v>
      </c>
      <c r="F5" s="3184" t="s">
        <v>3096</v>
      </c>
      <c r="G5" s="3184" t="s">
        <v>3074</v>
      </c>
      <c r="H5" s="3184" t="s">
        <v>3097</v>
      </c>
      <c r="I5" s="3184" t="s">
        <v>3076</v>
      </c>
      <c r="J5" s="3184">
        <v>2524</v>
      </c>
      <c r="K5" s="3184">
        <v>8834</v>
      </c>
      <c r="L5" s="3184" t="s">
        <v>3098</v>
      </c>
      <c r="M5" s="3184" t="s">
        <v>2780</v>
      </c>
      <c r="N5" s="3184" t="s">
        <v>3078</v>
      </c>
      <c r="O5" s="3184" t="s">
        <v>2780</v>
      </c>
      <c r="P5" s="3184" t="s">
        <v>2780</v>
      </c>
      <c r="Q5" s="3184" t="s">
        <v>2780</v>
      </c>
      <c r="R5" s="3184" t="s">
        <v>2780</v>
      </c>
      <c r="S5" s="3184" t="s">
        <v>2780</v>
      </c>
      <c r="T5" s="3184" t="s">
        <v>2780</v>
      </c>
      <c r="U5" s="3184" t="s">
        <v>2780</v>
      </c>
      <c r="V5" s="3184" t="s">
        <v>2780</v>
      </c>
      <c r="W5" s="3184" t="s">
        <v>3079</v>
      </c>
      <c r="X5" s="3184" t="s">
        <v>3099</v>
      </c>
      <c r="Y5" s="3184" t="s">
        <v>3100</v>
      </c>
      <c r="Z5" s="3184" t="s">
        <v>3101</v>
      </c>
      <c r="AA5" s="3184" t="s">
        <v>3101</v>
      </c>
      <c r="AB5" s="3184" t="s">
        <v>3102</v>
      </c>
      <c r="AC5" s="3184" t="s">
        <v>3084</v>
      </c>
      <c r="AD5" s="3184" t="s">
        <v>3103</v>
      </c>
      <c r="AE5" s="3184">
        <v>606</v>
      </c>
      <c r="AF5" s="3184">
        <v>3030</v>
      </c>
      <c r="AG5" s="3184">
        <v>3030</v>
      </c>
      <c r="AH5" s="3184">
        <v>800.32</v>
      </c>
      <c r="AI5" s="3184">
        <v>800.32</v>
      </c>
      <c r="AJ5" s="3184">
        <v>3429.92</v>
      </c>
      <c r="AK5" s="3184">
        <v>3429.92</v>
      </c>
      <c r="AL5" s="3184" t="s">
        <v>2780</v>
      </c>
      <c r="AM5" s="3184" t="s">
        <v>2780</v>
      </c>
      <c r="AN5" s="3184">
        <v>0</v>
      </c>
      <c r="AO5" s="3184" t="s">
        <v>3086</v>
      </c>
      <c r="AP5" s="3184" t="s">
        <v>2780</v>
      </c>
      <c r="AQ5" s="3184" t="s">
        <v>2780</v>
      </c>
      <c r="AR5" s="3184" t="s">
        <v>2780</v>
      </c>
    </row>
    <row r="6" spans="1:44" s="3184" customFormat="1" ht="12.6">
      <c r="A6" s="3184" t="s">
        <v>3104</v>
      </c>
      <c r="B6" s="3184" t="s">
        <v>3072</v>
      </c>
      <c r="C6" s="3184" t="s">
        <v>3073</v>
      </c>
      <c r="D6" s="3184" t="s">
        <v>2995</v>
      </c>
      <c r="E6" s="3184" t="s">
        <v>2780</v>
      </c>
      <c r="F6" s="3184" t="s">
        <v>3104</v>
      </c>
      <c r="G6" s="3184" t="s">
        <v>3074</v>
      </c>
      <c r="H6" s="3184" t="s">
        <v>3105</v>
      </c>
      <c r="I6" s="3184" t="s">
        <v>3076</v>
      </c>
      <c r="J6" s="3184">
        <v>793</v>
      </c>
      <c r="K6" s="3184">
        <v>1982.5</v>
      </c>
      <c r="L6" s="3184" t="s">
        <v>3106</v>
      </c>
      <c r="M6" s="3184" t="s">
        <v>2780</v>
      </c>
      <c r="N6" s="3184" t="s">
        <v>3107</v>
      </c>
      <c r="O6" s="3184" t="s">
        <v>2780</v>
      </c>
      <c r="P6" s="3184" t="s">
        <v>2780</v>
      </c>
      <c r="Q6" s="3184" t="s">
        <v>2780</v>
      </c>
      <c r="R6" s="3184" t="s">
        <v>2780</v>
      </c>
      <c r="S6" s="3184" t="s">
        <v>2780</v>
      </c>
      <c r="T6" s="3184" t="s">
        <v>2780</v>
      </c>
      <c r="U6" s="3184" t="s">
        <v>2780</v>
      </c>
      <c r="V6" s="3184" t="s">
        <v>2780</v>
      </c>
      <c r="W6" s="3184" t="s">
        <v>3079</v>
      </c>
      <c r="X6" s="3184" t="s">
        <v>3099</v>
      </c>
      <c r="Y6" s="3184" t="s">
        <v>3100</v>
      </c>
      <c r="Z6" s="3184" t="s">
        <v>3101</v>
      </c>
      <c r="AA6" s="3184" t="s">
        <v>3101</v>
      </c>
      <c r="AB6" s="3184" t="s">
        <v>3108</v>
      </c>
      <c r="AC6" s="3184" t="s">
        <v>3084</v>
      </c>
      <c r="AD6" s="3184" t="s">
        <v>3109</v>
      </c>
      <c r="AE6" s="3184">
        <v>134</v>
      </c>
      <c r="AF6" s="3184">
        <v>670</v>
      </c>
      <c r="AG6" s="3184">
        <v>670</v>
      </c>
      <c r="AH6" s="3184">
        <v>563.26</v>
      </c>
      <c r="AI6" s="3184">
        <v>563.26</v>
      </c>
      <c r="AJ6" s="3184">
        <v>3379.57</v>
      </c>
      <c r="AK6" s="3184">
        <v>3379.57</v>
      </c>
      <c r="AL6" s="3184" t="s">
        <v>2780</v>
      </c>
      <c r="AM6" s="3184" t="s">
        <v>2780</v>
      </c>
      <c r="AN6" s="3184">
        <v>0</v>
      </c>
      <c r="AO6" s="3184" t="s">
        <v>3086</v>
      </c>
      <c r="AP6" s="3184" t="s">
        <v>2780</v>
      </c>
      <c r="AQ6" s="3184" t="s">
        <v>2780</v>
      </c>
      <c r="AR6" s="3184" t="s">
        <v>2780</v>
      </c>
    </row>
    <row r="7" spans="1:44" s="3184" customFormat="1" ht="12.6">
      <c r="A7" s="3184" t="s">
        <v>3110</v>
      </c>
      <c r="B7" s="3184" t="s">
        <v>3072</v>
      </c>
      <c r="C7" s="3184" t="s">
        <v>3073</v>
      </c>
      <c r="D7" s="3184" t="s">
        <v>2995</v>
      </c>
      <c r="E7" s="3184" t="s">
        <v>2780</v>
      </c>
      <c r="F7" s="3184" t="s">
        <v>3110</v>
      </c>
      <c r="G7" s="3184" t="s">
        <v>3074</v>
      </c>
      <c r="H7" s="3184" t="s">
        <v>3111</v>
      </c>
      <c r="I7" s="3184" t="s">
        <v>3076</v>
      </c>
      <c r="J7" s="3184">
        <v>13765</v>
      </c>
      <c r="K7" s="3184">
        <v>27530</v>
      </c>
      <c r="L7" s="3184" t="s">
        <v>3077</v>
      </c>
      <c r="M7" s="3184" t="s">
        <v>2780</v>
      </c>
      <c r="N7" s="3184" t="s">
        <v>3112</v>
      </c>
      <c r="O7" s="3184" t="s">
        <v>2780</v>
      </c>
      <c r="P7" s="3184" t="s">
        <v>2780</v>
      </c>
      <c r="Q7" s="3184" t="s">
        <v>2780</v>
      </c>
      <c r="R7" s="3184" t="s">
        <v>2780</v>
      </c>
      <c r="S7" s="3184" t="s">
        <v>2780</v>
      </c>
      <c r="T7" s="3184" t="s">
        <v>2780</v>
      </c>
      <c r="U7" s="3184" t="s">
        <v>2780</v>
      </c>
      <c r="V7" s="3184" t="s">
        <v>2780</v>
      </c>
      <c r="W7" s="3184" t="s">
        <v>3079</v>
      </c>
      <c r="X7" s="3184" t="s">
        <v>3099</v>
      </c>
      <c r="Y7" s="3184" t="s">
        <v>3100</v>
      </c>
      <c r="Z7" s="3184" t="s">
        <v>3101</v>
      </c>
      <c r="AA7" s="3184" t="s">
        <v>3101</v>
      </c>
      <c r="AB7" s="3184" t="s">
        <v>3113</v>
      </c>
      <c r="AC7" s="3184" t="s">
        <v>3084</v>
      </c>
      <c r="AD7" s="3184" t="s">
        <v>3114</v>
      </c>
      <c r="AE7" s="3184">
        <v>496</v>
      </c>
      <c r="AF7" s="3184">
        <v>2478</v>
      </c>
      <c r="AG7" s="3184">
        <v>2478</v>
      </c>
      <c r="AH7" s="3184">
        <v>120.01</v>
      </c>
      <c r="AI7" s="3184">
        <v>120.01</v>
      </c>
      <c r="AJ7" s="3184">
        <v>900.1</v>
      </c>
      <c r="AK7" s="3184">
        <v>900.11</v>
      </c>
      <c r="AL7" s="3184" t="s">
        <v>2780</v>
      </c>
      <c r="AM7" s="3184" t="s">
        <v>2780</v>
      </c>
      <c r="AN7" s="3184">
        <v>0</v>
      </c>
      <c r="AO7" s="3184" t="s">
        <v>3086</v>
      </c>
      <c r="AP7" s="3184" t="s">
        <v>2780</v>
      </c>
      <c r="AQ7" s="3184" t="s">
        <v>2780</v>
      </c>
      <c r="AR7" s="3184" t="s">
        <v>2780</v>
      </c>
    </row>
    <row r="8" spans="1:44" s="3184" customFormat="1" ht="12.6">
      <c r="A8" s="3184" t="s">
        <v>3104</v>
      </c>
      <c r="B8" s="3184" t="s">
        <v>3072</v>
      </c>
      <c r="C8" s="3184" t="s">
        <v>3073</v>
      </c>
      <c r="D8" s="3184" t="s">
        <v>2995</v>
      </c>
      <c r="E8" s="3184" t="s">
        <v>2780</v>
      </c>
      <c r="F8" s="3184" t="s">
        <v>3104</v>
      </c>
      <c r="G8" s="3184" t="s">
        <v>3074</v>
      </c>
      <c r="H8" s="3184" t="s">
        <v>3115</v>
      </c>
      <c r="I8" s="3184" t="s">
        <v>3076</v>
      </c>
      <c r="J8" s="3184">
        <v>10799</v>
      </c>
      <c r="K8" s="3184">
        <v>26997.5</v>
      </c>
      <c r="L8" s="3184" t="s">
        <v>3106</v>
      </c>
      <c r="M8" s="3184" t="s">
        <v>2780</v>
      </c>
      <c r="N8" s="3184" t="s">
        <v>3107</v>
      </c>
      <c r="O8" s="3184" t="s">
        <v>2780</v>
      </c>
      <c r="P8" s="3184" t="s">
        <v>2780</v>
      </c>
      <c r="Q8" s="3184" t="s">
        <v>2780</v>
      </c>
      <c r="R8" s="3184" t="s">
        <v>2780</v>
      </c>
      <c r="S8" s="3184" t="s">
        <v>2780</v>
      </c>
      <c r="T8" s="3184" t="s">
        <v>2780</v>
      </c>
      <c r="U8" s="3184" t="s">
        <v>2780</v>
      </c>
      <c r="V8" s="3184" t="s">
        <v>2780</v>
      </c>
      <c r="W8" s="3184" t="s">
        <v>3079</v>
      </c>
      <c r="X8" s="3184" t="s">
        <v>3099</v>
      </c>
      <c r="Y8" s="3184" t="s">
        <v>3100</v>
      </c>
      <c r="Z8" s="3184" t="s">
        <v>3101</v>
      </c>
      <c r="AA8" s="3184" t="s">
        <v>3101</v>
      </c>
      <c r="AB8" s="3184" t="s">
        <v>3116</v>
      </c>
      <c r="AC8" s="3184" t="s">
        <v>3084</v>
      </c>
      <c r="AD8" s="3184" t="s">
        <v>3109</v>
      </c>
      <c r="AE8" s="3184">
        <v>1816</v>
      </c>
      <c r="AF8" s="3184">
        <v>9080</v>
      </c>
      <c r="AG8" s="3184">
        <v>9080</v>
      </c>
      <c r="AH8" s="3184">
        <v>560.54999999999995</v>
      </c>
      <c r="AI8" s="3184">
        <v>560.54999999999995</v>
      </c>
      <c r="AJ8" s="3184">
        <v>3363.27</v>
      </c>
      <c r="AK8" s="3184">
        <v>3363.26</v>
      </c>
      <c r="AL8" s="3184" t="s">
        <v>2780</v>
      </c>
      <c r="AM8" s="3184" t="s">
        <v>2780</v>
      </c>
      <c r="AN8" s="3184">
        <v>0</v>
      </c>
      <c r="AO8" s="3184" t="s">
        <v>3086</v>
      </c>
      <c r="AP8" s="3184" t="s">
        <v>2780</v>
      </c>
      <c r="AQ8" s="3184" t="s">
        <v>2780</v>
      </c>
      <c r="AR8" s="3184" t="s">
        <v>2780</v>
      </c>
    </row>
    <row r="9" spans="1:44" s="3184" customFormat="1" ht="12.6">
      <c r="A9" s="3184" t="s">
        <v>3117</v>
      </c>
      <c r="B9" s="3184" t="s">
        <v>3072</v>
      </c>
      <c r="C9" s="3184" t="s">
        <v>3073</v>
      </c>
      <c r="D9" s="3184" t="s">
        <v>2995</v>
      </c>
      <c r="E9" s="3184" t="s">
        <v>2780</v>
      </c>
      <c r="F9" s="3184" t="s">
        <v>3117</v>
      </c>
      <c r="G9" s="3184" t="s">
        <v>3074</v>
      </c>
      <c r="H9" s="3184" t="s">
        <v>3118</v>
      </c>
      <c r="I9" s="3184" t="s">
        <v>3076</v>
      </c>
      <c r="J9" s="3184">
        <v>69847</v>
      </c>
      <c r="K9" s="3184">
        <v>153663.4</v>
      </c>
      <c r="L9" s="3184" t="s">
        <v>3089</v>
      </c>
      <c r="M9" s="3184" t="s">
        <v>2780</v>
      </c>
      <c r="N9" s="3184" t="s">
        <v>3078</v>
      </c>
      <c r="O9" s="3184" t="s">
        <v>2780</v>
      </c>
      <c r="P9" s="3184" t="s">
        <v>2780</v>
      </c>
      <c r="Q9" s="3184" t="s">
        <v>2780</v>
      </c>
      <c r="R9" s="3184" t="s">
        <v>2780</v>
      </c>
      <c r="S9" s="3184" t="s">
        <v>2780</v>
      </c>
      <c r="T9" s="3184" t="s">
        <v>2780</v>
      </c>
      <c r="U9" s="3184" t="s">
        <v>2780</v>
      </c>
      <c r="V9" s="3184" t="s">
        <v>2780</v>
      </c>
      <c r="W9" s="3184" t="s">
        <v>3079</v>
      </c>
      <c r="X9" s="3184" t="s">
        <v>3099</v>
      </c>
      <c r="Y9" s="3184" t="s">
        <v>3100</v>
      </c>
      <c r="Z9" s="3184" t="s">
        <v>3101</v>
      </c>
      <c r="AA9" s="3184" t="s">
        <v>3101</v>
      </c>
      <c r="AB9" s="3184" t="s">
        <v>3119</v>
      </c>
      <c r="AC9" s="3184" t="s">
        <v>3084</v>
      </c>
      <c r="AD9" s="3184" t="s">
        <v>3091</v>
      </c>
      <c r="AE9" s="3184">
        <v>8382</v>
      </c>
      <c r="AF9" s="3184">
        <v>41910</v>
      </c>
      <c r="AG9" s="3184">
        <v>41910</v>
      </c>
      <c r="AH9" s="3184">
        <v>400.02</v>
      </c>
      <c r="AI9" s="3184">
        <v>400.02</v>
      </c>
      <c r="AJ9" s="3184">
        <v>2727.38</v>
      </c>
      <c r="AK9" s="3184">
        <v>2727.38</v>
      </c>
      <c r="AL9" s="3184" t="s">
        <v>2780</v>
      </c>
      <c r="AM9" s="3184" t="s">
        <v>2780</v>
      </c>
      <c r="AN9" s="3184">
        <v>0</v>
      </c>
      <c r="AO9" s="3184" t="s">
        <v>3086</v>
      </c>
      <c r="AP9" s="3184" t="s">
        <v>2780</v>
      </c>
      <c r="AQ9" s="3184" t="s">
        <v>2780</v>
      </c>
      <c r="AR9" s="3184" t="s">
        <v>2780</v>
      </c>
    </row>
    <row r="10" spans="1:44" s="3184" customFormat="1" ht="12.6">
      <c r="A10" s="3184" t="s">
        <v>3120</v>
      </c>
      <c r="B10" s="3184" t="s">
        <v>3072</v>
      </c>
      <c r="C10" s="3184" t="s">
        <v>3073</v>
      </c>
      <c r="D10" s="3184" t="s">
        <v>2995</v>
      </c>
      <c r="E10" s="3184" t="s">
        <v>2780</v>
      </c>
      <c r="F10" s="3184" t="s">
        <v>3120</v>
      </c>
      <c r="G10" s="3184" t="s">
        <v>3074</v>
      </c>
      <c r="H10" s="3184" t="s">
        <v>3121</v>
      </c>
      <c r="I10" s="3184" t="s">
        <v>3076</v>
      </c>
      <c r="J10" s="3184">
        <v>24054</v>
      </c>
      <c r="K10" s="3184">
        <v>36081</v>
      </c>
      <c r="L10" s="3184" t="s">
        <v>3122</v>
      </c>
      <c r="M10" s="3184" t="s">
        <v>2780</v>
      </c>
      <c r="N10" s="3184" t="s">
        <v>3078</v>
      </c>
      <c r="O10" s="3184" t="s">
        <v>2780</v>
      </c>
      <c r="P10" s="3184" t="s">
        <v>2780</v>
      </c>
      <c r="Q10" s="3184" t="s">
        <v>2780</v>
      </c>
      <c r="R10" s="3184" t="s">
        <v>2780</v>
      </c>
      <c r="S10" s="3184" t="s">
        <v>2780</v>
      </c>
      <c r="T10" s="3184" t="s">
        <v>2780</v>
      </c>
      <c r="U10" s="3184" t="s">
        <v>2780</v>
      </c>
      <c r="V10" s="3184" t="s">
        <v>2780</v>
      </c>
      <c r="W10" s="3184" t="s">
        <v>3079</v>
      </c>
      <c r="X10" s="3184" t="s">
        <v>3099</v>
      </c>
      <c r="Y10" s="3184" t="s">
        <v>3100</v>
      </c>
      <c r="Z10" s="3184" t="s">
        <v>3101</v>
      </c>
      <c r="AA10" s="3184" t="s">
        <v>3101</v>
      </c>
      <c r="AB10" s="3184" t="s">
        <v>3123</v>
      </c>
      <c r="AC10" s="3184" t="s">
        <v>3084</v>
      </c>
      <c r="AD10" s="3184" t="s">
        <v>3124</v>
      </c>
      <c r="AE10" s="3184">
        <v>2744</v>
      </c>
      <c r="AF10" s="3184">
        <v>13720</v>
      </c>
      <c r="AG10" s="3184">
        <v>13920</v>
      </c>
      <c r="AH10" s="3184">
        <v>380.26</v>
      </c>
      <c r="AI10" s="3184">
        <v>385.8</v>
      </c>
      <c r="AJ10" s="3184">
        <v>3802.55</v>
      </c>
      <c r="AK10" s="3184">
        <v>3857.98</v>
      </c>
      <c r="AL10" s="3184" t="s">
        <v>2780</v>
      </c>
      <c r="AM10" s="3184" t="s">
        <v>2780</v>
      </c>
      <c r="AN10" s="3184">
        <v>1.46</v>
      </c>
      <c r="AO10" s="3184" t="s">
        <v>3086</v>
      </c>
      <c r="AP10" s="3184" t="s">
        <v>2780</v>
      </c>
      <c r="AQ10" s="3184" t="s">
        <v>2780</v>
      </c>
      <c r="AR10" s="3184" t="s">
        <v>2780</v>
      </c>
    </row>
    <row r="11" spans="1:44" s="3186" customFormat="1" ht="12.6">
      <c r="A11" s="3186" t="s">
        <v>3269</v>
      </c>
      <c r="B11" s="3186" t="s">
        <v>3072</v>
      </c>
      <c r="C11" s="3186" t="s">
        <v>3073</v>
      </c>
      <c r="D11" s="3186" t="s">
        <v>2995</v>
      </c>
      <c r="E11" s="3186" t="s">
        <v>2780</v>
      </c>
      <c r="F11" s="3186" t="s">
        <v>3125</v>
      </c>
      <c r="G11" s="3186" t="s">
        <v>3074</v>
      </c>
      <c r="H11" s="3186" t="s">
        <v>3126</v>
      </c>
      <c r="I11" s="3186" t="s">
        <v>3076</v>
      </c>
      <c r="J11" s="3186">
        <v>2615</v>
      </c>
      <c r="K11" s="3186">
        <v>6537.5</v>
      </c>
      <c r="L11" s="3186" t="s">
        <v>3127</v>
      </c>
      <c r="M11" s="3186" t="s">
        <v>2780</v>
      </c>
      <c r="N11" s="3186" t="s">
        <v>3128</v>
      </c>
      <c r="O11" s="3186" t="s">
        <v>2780</v>
      </c>
      <c r="P11" s="3186" t="s">
        <v>2780</v>
      </c>
      <c r="Q11" s="3186" t="s">
        <v>2780</v>
      </c>
      <c r="R11" s="3186" t="s">
        <v>2780</v>
      </c>
      <c r="S11" s="3186" t="s">
        <v>2780</v>
      </c>
      <c r="T11" s="3186" t="s">
        <v>2780</v>
      </c>
      <c r="U11" s="3186" t="s">
        <v>2780</v>
      </c>
      <c r="V11" s="3186" t="s">
        <v>2780</v>
      </c>
      <c r="W11" s="3186" t="s">
        <v>3129</v>
      </c>
      <c r="X11" s="3186" t="s">
        <v>3130</v>
      </c>
      <c r="Y11" s="3186" t="s">
        <v>3131</v>
      </c>
      <c r="Z11" s="3186" t="s">
        <v>3132</v>
      </c>
      <c r="AA11" s="3186" t="s">
        <v>3132</v>
      </c>
      <c r="AB11" s="3186" t="s">
        <v>3133</v>
      </c>
      <c r="AC11" s="3186" t="s">
        <v>3084</v>
      </c>
      <c r="AD11" s="3186" t="s">
        <v>3134</v>
      </c>
      <c r="AE11" s="3186">
        <v>354</v>
      </c>
      <c r="AF11" s="3186">
        <v>1180</v>
      </c>
      <c r="AG11" s="3186">
        <v>1180</v>
      </c>
      <c r="AH11" s="3186">
        <v>300.83</v>
      </c>
      <c r="AI11" s="3186">
        <v>300.83</v>
      </c>
      <c r="AJ11" s="3186">
        <v>1804.97</v>
      </c>
      <c r="AK11" s="3186">
        <v>1804.97</v>
      </c>
      <c r="AL11" s="3186" t="s">
        <v>2780</v>
      </c>
      <c r="AM11" s="3186" t="s">
        <v>2780</v>
      </c>
      <c r="AN11" s="3186">
        <v>0</v>
      </c>
      <c r="AO11" s="3186" t="s">
        <v>3086</v>
      </c>
      <c r="AP11" s="3186" t="s">
        <v>2780</v>
      </c>
      <c r="AQ11" s="3186" t="s">
        <v>2780</v>
      </c>
      <c r="AR11" s="3186" t="s">
        <v>2780</v>
      </c>
    </row>
    <row r="12" spans="1:44" s="3187" customFormat="1" ht="12.6">
      <c r="A12" s="3187" t="s">
        <v>3135</v>
      </c>
      <c r="B12" s="3187" t="s">
        <v>3072</v>
      </c>
      <c r="C12" s="3187" t="s">
        <v>3073</v>
      </c>
      <c r="D12" s="3187" t="s">
        <v>2995</v>
      </c>
      <c r="E12" s="3187" t="s">
        <v>2780</v>
      </c>
      <c r="F12" s="3187" t="s">
        <v>3135</v>
      </c>
      <c r="G12" s="3187" t="s">
        <v>3074</v>
      </c>
      <c r="H12" s="3187" t="s">
        <v>3136</v>
      </c>
      <c r="I12" s="3187" t="s">
        <v>3076</v>
      </c>
      <c r="J12" s="3187">
        <v>30365</v>
      </c>
      <c r="K12" s="3187">
        <v>39474.5</v>
      </c>
      <c r="L12" s="3187" t="s">
        <v>3137</v>
      </c>
      <c r="M12" s="3187" t="s">
        <v>2780</v>
      </c>
      <c r="N12" s="3187" t="s">
        <v>3138</v>
      </c>
      <c r="O12" s="3187" t="s">
        <v>2780</v>
      </c>
      <c r="P12" s="3187" t="s">
        <v>2780</v>
      </c>
      <c r="Q12" s="3187" t="s">
        <v>2780</v>
      </c>
      <c r="R12" s="3187" t="s">
        <v>2780</v>
      </c>
      <c r="S12" s="3187" t="s">
        <v>2780</v>
      </c>
      <c r="T12" s="3187" t="s">
        <v>2780</v>
      </c>
      <c r="U12" s="3187" t="s">
        <v>2780</v>
      </c>
      <c r="V12" s="3187" t="s">
        <v>2780</v>
      </c>
      <c r="W12" s="3187" t="s">
        <v>3129</v>
      </c>
      <c r="X12" s="3187" t="s">
        <v>3130</v>
      </c>
      <c r="Y12" s="3187" t="s">
        <v>3131</v>
      </c>
      <c r="Z12" s="3187" t="s">
        <v>3132</v>
      </c>
      <c r="AA12" s="3187" t="s">
        <v>3132</v>
      </c>
      <c r="AB12" s="3187" t="s">
        <v>3133</v>
      </c>
      <c r="AC12" s="3187" t="s">
        <v>3084</v>
      </c>
      <c r="AD12" s="3187" t="s">
        <v>3139</v>
      </c>
      <c r="AE12" s="3187">
        <v>684</v>
      </c>
      <c r="AF12" s="3187">
        <v>2280</v>
      </c>
      <c r="AG12" s="3187">
        <v>2280</v>
      </c>
      <c r="AH12" s="3187">
        <v>50.06</v>
      </c>
      <c r="AI12" s="3187">
        <v>50.06</v>
      </c>
      <c r="AJ12" s="3187">
        <v>577.58000000000004</v>
      </c>
      <c r="AK12" s="3187">
        <v>577.59</v>
      </c>
      <c r="AL12" s="3187" t="s">
        <v>2780</v>
      </c>
      <c r="AM12" s="3187" t="s">
        <v>2780</v>
      </c>
      <c r="AN12" s="3187">
        <v>0</v>
      </c>
      <c r="AO12" s="3187" t="s">
        <v>3086</v>
      </c>
      <c r="AP12" s="3187" t="s">
        <v>2780</v>
      </c>
      <c r="AQ12" s="3187" t="s">
        <v>2780</v>
      </c>
      <c r="AR12" s="3187" t="s">
        <v>2780</v>
      </c>
    </row>
    <row r="13" spans="1:44" s="3187" customFormat="1" ht="12.6">
      <c r="A13" s="3187" t="s">
        <v>3135</v>
      </c>
      <c r="B13" s="3187" t="s">
        <v>3072</v>
      </c>
      <c r="C13" s="3187" t="s">
        <v>3073</v>
      </c>
      <c r="D13" s="3187" t="s">
        <v>2995</v>
      </c>
      <c r="E13" s="3187" t="s">
        <v>2780</v>
      </c>
      <c r="F13" s="3187" t="s">
        <v>3135</v>
      </c>
      <c r="G13" s="3187" t="s">
        <v>3074</v>
      </c>
      <c r="H13" s="3187" t="s">
        <v>3140</v>
      </c>
      <c r="I13" s="3187" t="s">
        <v>3076</v>
      </c>
      <c r="J13" s="3187">
        <v>29560</v>
      </c>
      <c r="K13" s="3187">
        <v>38428</v>
      </c>
      <c r="L13" s="3187" t="s">
        <v>3137</v>
      </c>
      <c r="M13" s="3187" t="s">
        <v>2780</v>
      </c>
      <c r="N13" s="3187" t="s">
        <v>3138</v>
      </c>
      <c r="O13" s="3187" t="s">
        <v>2780</v>
      </c>
      <c r="P13" s="3187" t="s">
        <v>2780</v>
      </c>
      <c r="Q13" s="3187" t="s">
        <v>2780</v>
      </c>
      <c r="R13" s="3187" t="s">
        <v>2780</v>
      </c>
      <c r="S13" s="3187" t="s">
        <v>2780</v>
      </c>
      <c r="T13" s="3187" t="s">
        <v>2780</v>
      </c>
      <c r="U13" s="3187" t="s">
        <v>2780</v>
      </c>
      <c r="V13" s="3187" t="s">
        <v>2780</v>
      </c>
      <c r="W13" s="3187" t="s">
        <v>3129</v>
      </c>
      <c r="X13" s="3187" t="s">
        <v>3130</v>
      </c>
      <c r="Y13" s="3187" t="s">
        <v>3131</v>
      </c>
      <c r="Z13" s="3187" t="s">
        <v>3132</v>
      </c>
      <c r="AA13" s="3187" t="s">
        <v>3132</v>
      </c>
      <c r="AB13" s="3187" t="s">
        <v>3133</v>
      </c>
      <c r="AC13" s="3187" t="s">
        <v>3084</v>
      </c>
      <c r="AD13" s="3187" t="s">
        <v>3139</v>
      </c>
      <c r="AE13" s="3187">
        <v>666</v>
      </c>
      <c r="AF13" s="3187">
        <v>2220</v>
      </c>
      <c r="AG13" s="3187">
        <v>2220</v>
      </c>
      <c r="AH13" s="3187">
        <v>50.07</v>
      </c>
      <c r="AI13" s="3187">
        <v>50.07</v>
      </c>
      <c r="AJ13" s="3187">
        <v>577.70000000000005</v>
      </c>
      <c r="AK13" s="3187">
        <v>577.70000000000005</v>
      </c>
      <c r="AL13" s="3187" t="s">
        <v>2780</v>
      </c>
      <c r="AM13" s="3187" t="s">
        <v>2780</v>
      </c>
      <c r="AN13" s="3187">
        <v>0</v>
      </c>
      <c r="AO13" s="3187" t="s">
        <v>3086</v>
      </c>
      <c r="AP13" s="3187" t="s">
        <v>2780</v>
      </c>
      <c r="AQ13" s="3187" t="s">
        <v>2780</v>
      </c>
      <c r="AR13" s="3187" t="s">
        <v>2780</v>
      </c>
    </row>
    <row r="14" spans="1:44" s="3187" customFormat="1" ht="12.6">
      <c r="A14" s="3187" t="s">
        <v>3141</v>
      </c>
      <c r="B14" s="3187" t="s">
        <v>3072</v>
      </c>
      <c r="C14" s="3187" t="s">
        <v>3073</v>
      </c>
      <c r="D14" s="3187" t="s">
        <v>2995</v>
      </c>
      <c r="E14" s="3187" t="s">
        <v>2780</v>
      </c>
      <c r="F14" s="3187" t="s">
        <v>3141</v>
      </c>
      <c r="G14" s="3187" t="s">
        <v>3074</v>
      </c>
      <c r="H14" s="3187" t="s">
        <v>3142</v>
      </c>
      <c r="I14" s="3187" t="s">
        <v>3076</v>
      </c>
      <c r="J14" s="3187">
        <v>44892</v>
      </c>
      <c r="K14" s="3187">
        <v>80805.600000000006</v>
      </c>
      <c r="L14" s="3187" t="s">
        <v>3143</v>
      </c>
      <c r="M14" s="3187" t="s">
        <v>2780</v>
      </c>
      <c r="N14" s="3187" t="s">
        <v>3128</v>
      </c>
      <c r="O14" s="3187" t="s">
        <v>2780</v>
      </c>
      <c r="P14" s="3187" t="s">
        <v>2780</v>
      </c>
      <c r="Q14" s="3187" t="s">
        <v>2780</v>
      </c>
      <c r="R14" s="3187" t="s">
        <v>2780</v>
      </c>
      <c r="S14" s="3187" t="s">
        <v>2780</v>
      </c>
      <c r="T14" s="3187" t="s">
        <v>2780</v>
      </c>
      <c r="U14" s="3187" t="s">
        <v>2780</v>
      </c>
      <c r="V14" s="3187" t="s">
        <v>2780</v>
      </c>
      <c r="W14" s="3187" t="s">
        <v>3129</v>
      </c>
      <c r="X14" s="3187" t="s">
        <v>3130</v>
      </c>
      <c r="Y14" s="3187" t="s">
        <v>3131</v>
      </c>
      <c r="Z14" s="3187" t="s">
        <v>3132</v>
      </c>
      <c r="AA14" s="3187" t="s">
        <v>3132</v>
      </c>
      <c r="AB14" s="3187" t="s">
        <v>3133</v>
      </c>
      <c r="AC14" s="3187" t="s">
        <v>3084</v>
      </c>
      <c r="AD14" s="3187" t="s">
        <v>3134</v>
      </c>
      <c r="AE14" s="3187">
        <v>1617</v>
      </c>
      <c r="AF14" s="3187">
        <v>5390</v>
      </c>
      <c r="AG14" s="3187">
        <v>5390</v>
      </c>
      <c r="AH14" s="3187">
        <v>80.040000000000006</v>
      </c>
      <c r="AI14" s="3187">
        <v>80.040000000000006</v>
      </c>
      <c r="AJ14" s="3187">
        <v>667.03</v>
      </c>
      <c r="AK14" s="3187">
        <v>667.02</v>
      </c>
      <c r="AL14" s="3187" t="s">
        <v>2780</v>
      </c>
      <c r="AM14" s="3187" t="s">
        <v>2780</v>
      </c>
      <c r="AN14" s="3187">
        <v>0</v>
      </c>
      <c r="AO14" s="3187" t="s">
        <v>3086</v>
      </c>
      <c r="AP14" s="3187" t="s">
        <v>2780</v>
      </c>
      <c r="AQ14" s="3187" t="s">
        <v>2780</v>
      </c>
      <c r="AR14" s="3187" t="s">
        <v>2780</v>
      </c>
    </row>
    <row r="15" spans="1:44" s="3187" customFormat="1" ht="12.6">
      <c r="A15" s="3187" t="s">
        <v>3144</v>
      </c>
      <c r="B15" s="3187" t="s">
        <v>3072</v>
      </c>
      <c r="C15" s="3187" t="s">
        <v>3073</v>
      </c>
      <c r="D15" s="3187" t="s">
        <v>2995</v>
      </c>
      <c r="E15" s="3187" t="s">
        <v>2780</v>
      </c>
      <c r="F15" s="3187" t="s">
        <v>3144</v>
      </c>
      <c r="G15" s="3187" t="s">
        <v>3074</v>
      </c>
      <c r="H15" s="3187" t="s">
        <v>3145</v>
      </c>
      <c r="I15" s="3187" t="s">
        <v>3076</v>
      </c>
      <c r="J15" s="3187">
        <v>9505</v>
      </c>
      <c r="K15" s="3187">
        <v>23762.5</v>
      </c>
      <c r="L15" s="3187" t="s">
        <v>3127</v>
      </c>
      <c r="M15" s="3187" t="s">
        <v>2780</v>
      </c>
      <c r="N15" s="3187" t="s">
        <v>3128</v>
      </c>
      <c r="O15" s="3187" t="s">
        <v>2780</v>
      </c>
      <c r="P15" s="3187" t="s">
        <v>2780</v>
      </c>
      <c r="Q15" s="3187" t="s">
        <v>2780</v>
      </c>
      <c r="R15" s="3187" t="s">
        <v>2780</v>
      </c>
      <c r="S15" s="3187" t="s">
        <v>2780</v>
      </c>
      <c r="T15" s="3187" t="s">
        <v>2780</v>
      </c>
      <c r="U15" s="3187" t="s">
        <v>2780</v>
      </c>
      <c r="V15" s="3187" t="s">
        <v>2780</v>
      </c>
      <c r="W15" s="3187" t="s">
        <v>3129</v>
      </c>
      <c r="X15" s="3187" t="s">
        <v>3130</v>
      </c>
      <c r="Y15" s="3187" t="s">
        <v>3131</v>
      </c>
      <c r="Z15" s="3187" t="s">
        <v>3132</v>
      </c>
      <c r="AA15" s="3187" t="s">
        <v>3132</v>
      </c>
      <c r="AB15" s="3187" t="s">
        <v>3133</v>
      </c>
      <c r="AC15" s="3187" t="s">
        <v>3084</v>
      </c>
      <c r="AD15" s="3187" t="s">
        <v>3146</v>
      </c>
      <c r="AE15" s="3187">
        <v>642</v>
      </c>
      <c r="AF15" s="3187">
        <v>2140</v>
      </c>
      <c r="AG15" s="3187">
        <v>2140</v>
      </c>
      <c r="AH15" s="3187">
        <v>150.1</v>
      </c>
      <c r="AI15" s="3187">
        <v>150.1</v>
      </c>
      <c r="AJ15" s="3187">
        <v>900.57</v>
      </c>
      <c r="AK15" s="3187">
        <v>900.58</v>
      </c>
      <c r="AL15" s="3187" t="s">
        <v>2780</v>
      </c>
      <c r="AM15" s="3187" t="s">
        <v>2780</v>
      </c>
      <c r="AN15" s="3187">
        <v>0</v>
      </c>
      <c r="AO15" s="3187" t="s">
        <v>3086</v>
      </c>
      <c r="AP15" s="3187" t="s">
        <v>2780</v>
      </c>
      <c r="AQ15" s="3187" t="s">
        <v>2780</v>
      </c>
      <c r="AR15" s="3187" t="s">
        <v>2780</v>
      </c>
    </row>
    <row r="16" spans="1:44" s="3187" customFormat="1" ht="12.6">
      <c r="A16" s="3187" t="s">
        <v>2997</v>
      </c>
      <c r="B16" s="3187" t="s">
        <v>3072</v>
      </c>
      <c r="C16" s="3187" t="s">
        <v>3073</v>
      </c>
      <c r="D16" s="3187" t="s">
        <v>2995</v>
      </c>
      <c r="E16" s="3187" t="s">
        <v>2780</v>
      </c>
      <c r="F16" s="3187" t="s">
        <v>2997</v>
      </c>
      <c r="G16" s="3187" t="s">
        <v>3074</v>
      </c>
      <c r="H16" s="3187" t="s">
        <v>3147</v>
      </c>
      <c r="I16" s="3187" t="s">
        <v>3076</v>
      </c>
      <c r="J16" s="3187">
        <v>29970</v>
      </c>
      <c r="K16" s="3187">
        <v>89910</v>
      </c>
      <c r="L16" s="3187" t="s">
        <v>3148</v>
      </c>
      <c r="M16" s="3187" t="s">
        <v>2780</v>
      </c>
      <c r="N16" s="3187" t="s">
        <v>3149</v>
      </c>
      <c r="O16" s="3187" t="s">
        <v>2780</v>
      </c>
      <c r="P16" s="3187" t="s">
        <v>2780</v>
      </c>
      <c r="Q16" s="3187" t="s">
        <v>2780</v>
      </c>
      <c r="R16" s="3187" t="s">
        <v>2780</v>
      </c>
      <c r="S16" s="3187" t="s">
        <v>2780</v>
      </c>
      <c r="T16" s="3187" t="s">
        <v>2780</v>
      </c>
      <c r="U16" s="3187" t="s">
        <v>2780</v>
      </c>
      <c r="V16" s="3187" t="s">
        <v>2780</v>
      </c>
      <c r="W16" s="3187" t="s">
        <v>3129</v>
      </c>
      <c r="X16" s="3187" t="s">
        <v>3130</v>
      </c>
      <c r="Y16" s="3187" t="s">
        <v>3131</v>
      </c>
      <c r="Z16" s="3187" t="s">
        <v>3132</v>
      </c>
      <c r="AA16" s="3187" t="s">
        <v>3132</v>
      </c>
      <c r="AB16" s="3187" t="s">
        <v>3133</v>
      </c>
      <c r="AC16" s="3187" t="s">
        <v>3084</v>
      </c>
      <c r="AD16" s="3187" t="s">
        <v>3134</v>
      </c>
      <c r="AE16" s="3187">
        <v>3372</v>
      </c>
      <c r="AF16" s="3187">
        <v>11240</v>
      </c>
      <c r="AG16" s="3187">
        <v>11240</v>
      </c>
      <c r="AH16" s="3187">
        <v>250.03</v>
      </c>
      <c r="AI16" s="3187">
        <v>250.03</v>
      </c>
      <c r="AJ16" s="3187">
        <v>1250.1300000000001</v>
      </c>
      <c r="AK16" s="3187">
        <v>1250.1400000000001</v>
      </c>
      <c r="AL16" s="3187" t="s">
        <v>2780</v>
      </c>
      <c r="AM16" s="3187" t="s">
        <v>2780</v>
      </c>
      <c r="AN16" s="3187">
        <v>0</v>
      </c>
      <c r="AO16" s="3187" t="s">
        <v>3086</v>
      </c>
      <c r="AP16" s="3187" t="s">
        <v>2780</v>
      </c>
      <c r="AQ16" s="3187" t="s">
        <v>2780</v>
      </c>
      <c r="AR16" s="3187" t="s">
        <v>2780</v>
      </c>
    </row>
    <row r="17" spans="1:44" s="3186" customFormat="1" ht="12.6">
      <c r="A17" s="3186" t="s">
        <v>3271</v>
      </c>
      <c r="B17" s="3186" t="s">
        <v>3072</v>
      </c>
      <c r="C17" s="3186" t="s">
        <v>3073</v>
      </c>
      <c r="D17" s="3186" t="s">
        <v>2995</v>
      </c>
      <c r="E17" s="3186" t="s">
        <v>2780</v>
      </c>
      <c r="F17" s="3186" t="s">
        <v>3150</v>
      </c>
      <c r="G17" s="3186" t="s">
        <v>3074</v>
      </c>
      <c r="H17" s="3186" t="s">
        <v>3151</v>
      </c>
      <c r="I17" s="3186" t="s">
        <v>3076</v>
      </c>
      <c r="J17" s="3186">
        <v>2904</v>
      </c>
      <c r="K17" s="3186">
        <v>7260</v>
      </c>
      <c r="L17" s="3186" t="s">
        <v>3127</v>
      </c>
      <c r="M17" s="3186" t="s">
        <v>2780</v>
      </c>
      <c r="N17" s="3186" t="s">
        <v>3128</v>
      </c>
      <c r="O17" s="3186" t="s">
        <v>2780</v>
      </c>
      <c r="P17" s="3186" t="s">
        <v>2780</v>
      </c>
      <c r="Q17" s="3186" t="s">
        <v>2780</v>
      </c>
      <c r="R17" s="3186" t="s">
        <v>2780</v>
      </c>
      <c r="S17" s="3186" t="s">
        <v>2780</v>
      </c>
      <c r="T17" s="3186" t="s">
        <v>2780</v>
      </c>
      <c r="U17" s="3186" t="s">
        <v>2780</v>
      </c>
      <c r="V17" s="3186" t="s">
        <v>2780</v>
      </c>
      <c r="W17" s="3186" t="s">
        <v>3129</v>
      </c>
      <c r="X17" s="3186" t="s">
        <v>3130</v>
      </c>
      <c r="Y17" s="3186" t="s">
        <v>3131</v>
      </c>
      <c r="Z17" s="3186" t="s">
        <v>3132</v>
      </c>
      <c r="AA17" s="3186" t="s">
        <v>3132</v>
      </c>
      <c r="AB17" s="3186" t="s">
        <v>3133</v>
      </c>
      <c r="AC17" s="3186" t="s">
        <v>3084</v>
      </c>
      <c r="AD17" s="3186" t="s">
        <v>3134</v>
      </c>
      <c r="AE17" s="3186">
        <v>459</v>
      </c>
      <c r="AF17" s="3186">
        <v>1530</v>
      </c>
      <c r="AG17" s="3186">
        <v>1530</v>
      </c>
      <c r="AH17" s="3186">
        <v>351.24</v>
      </c>
      <c r="AI17" s="3186">
        <v>351.24</v>
      </c>
      <c r="AJ17" s="3186">
        <v>2107.4299999999998</v>
      </c>
      <c r="AK17" s="3186">
        <v>2107.44</v>
      </c>
      <c r="AL17" s="3186" t="s">
        <v>2780</v>
      </c>
      <c r="AM17" s="3186" t="s">
        <v>2780</v>
      </c>
      <c r="AN17" s="3186">
        <v>0</v>
      </c>
      <c r="AO17" s="3186" t="s">
        <v>3086</v>
      </c>
      <c r="AP17" s="3186" t="s">
        <v>2780</v>
      </c>
      <c r="AQ17" s="3186" t="s">
        <v>2780</v>
      </c>
      <c r="AR17" s="3186" t="s">
        <v>2780</v>
      </c>
    </row>
    <row r="18" spans="1:44" s="3187" customFormat="1" ht="12.6">
      <c r="A18" s="3187" t="s">
        <v>3152</v>
      </c>
      <c r="B18" s="3187" t="s">
        <v>3072</v>
      </c>
      <c r="C18" s="3187" t="s">
        <v>3073</v>
      </c>
      <c r="D18" s="3187" t="s">
        <v>2995</v>
      </c>
      <c r="E18" s="3187" t="s">
        <v>2780</v>
      </c>
      <c r="F18" s="3187" t="s">
        <v>3152</v>
      </c>
      <c r="G18" s="3187" t="s">
        <v>3074</v>
      </c>
      <c r="H18" s="3187" t="s">
        <v>3153</v>
      </c>
      <c r="I18" s="3187" t="s">
        <v>3073</v>
      </c>
      <c r="J18" s="3187">
        <v>58092</v>
      </c>
      <c r="K18" s="3187">
        <v>127802.4</v>
      </c>
      <c r="L18" s="3187" t="s">
        <v>3154</v>
      </c>
      <c r="M18" s="3187" t="s">
        <v>2780</v>
      </c>
      <c r="N18" s="3187" t="s">
        <v>3155</v>
      </c>
      <c r="O18" s="3187" t="s">
        <v>2780</v>
      </c>
      <c r="P18" s="3187" t="s">
        <v>2780</v>
      </c>
      <c r="Q18" s="3187" t="s">
        <v>2780</v>
      </c>
      <c r="R18" s="3187" t="s">
        <v>2780</v>
      </c>
      <c r="S18" s="3187" t="s">
        <v>2780</v>
      </c>
      <c r="T18" s="3187" t="s">
        <v>2780</v>
      </c>
      <c r="U18" s="3187" t="s">
        <v>2780</v>
      </c>
      <c r="V18" s="3187" t="s">
        <v>2780</v>
      </c>
      <c r="W18" s="3187" t="s">
        <v>3129</v>
      </c>
      <c r="X18" s="3187" t="s">
        <v>3156</v>
      </c>
      <c r="Y18" s="3187" t="s">
        <v>3157</v>
      </c>
      <c r="Z18" s="3187" t="s">
        <v>3158</v>
      </c>
      <c r="AA18" s="3187" t="s">
        <v>3158</v>
      </c>
      <c r="AB18" s="3187" t="s">
        <v>3159</v>
      </c>
      <c r="AC18" s="3187" t="s">
        <v>3084</v>
      </c>
      <c r="AD18" s="3187" t="s">
        <v>3091</v>
      </c>
      <c r="AE18" s="3187">
        <v>9150</v>
      </c>
      <c r="AF18" s="3187">
        <v>30500</v>
      </c>
      <c r="AG18" s="3187">
        <v>31300</v>
      </c>
      <c r="AH18" s="3187">
        <v>350.02</v>
      </c>
      <c r="AI18" s="3187">
        <v>359.2</v>
      </c>
      <c r="AJ18" s="3187">
        <v>2386.4899999999998</v>
      </c>
      <c r="AK18" s="3187">
        <v>2449.09</v>
      </c>
      <c r="AL18" s="3187" t="s">
        <v>2780</v>
      </c>
      <c r="AM18" s="3187" t="s">
        <v>2780</v>
      </c>
      <c r="AN18" s="3187">
        <v>2.62</v>
      </c>
      <c r="AO18" s="3187">
        <v>70</v>
      </c>
      <c r="AP18" s="3187" t="s">
        <v>2780</v>
      </c>
      <c r="AQ18" s="3187" t="s">
        <v>2780</v>
      </c>
      <c r="AR18" s="3187" t="s">
        <v>2780</v>
      </c>
    </row>
    <row r="19" spans="1:44" s="3186" customFormat="1" ht="12.6">
      <c r="A19" s="3186" t="s">
        <v>3270</v>
      </c>
      <c r="B19" s="3186" t="s">
        <v>3072</v>
      </c>
      <c r="C19" s="3186" t="s">
        <v>3073</v>
      </c>
      <c r="D19" s="3186" t="s">
        <v>2995</v>
      </c>
      <c r="E19" s="3186" t="s">
        <v>2780</v>
      </c>
      <c r="F19" s="3186" t="s">
        <v>3160</v>
      </c>
      <c r="G19" s="3186" t="s">
        <v>3074</v>
      </c>
      <c r="H19" s="3186" t="s">
        <v>3161</v>
      </c>
      <c r="I19" s="3186" t="s">
        <v>3073</v>
      </c>
      <c r="J19" s="3186">
        <v>10590</v>
      </c>
      <c r="K19" s="3186">
        <v>37065</v>
      </c>
      <c r="L19" s="3186" t="s">
        <v>3162</v>
      </c>
      <c r="M19" s="3186" t="s">
        <v>2780</v>
      </c>
      <c r="N19" s="3186" t="s">
        <v>3155</v>
      </c>
      <c r="O19" s="3186" t="s">
        <v>2780</v>
      </c>
      <c r="P19" s="3186" t="s">
        <v>2780</v>
      </c>
      <c r="Q19" s="3186" t="s">
        <v>2780</v>
      </c>
      <c r="R19" s="3186" t="s">
        <v>2780</v>
      </c>
      <c r="S19" s="3186" t="s">
        <v>2780</v>
      </c>
      <c r="T19" s="3186" t="s">
        <v>2780</v>
      </c>
      <c r="U19" s="3186" t="s">
        <v>2780</v>
      </c>
      <c r="V19" s="3186" t="s">
        <v>2780</v>
      </c>
      <c r="W19" s="3186" t="s">
        <v>3129</v>
      </c>
      <c r="X19" s="3186" t="s">
        <v>3156</v>
      </c>
      <c r="Y19" s="3186" t="s">
        <v>3157</v>
      </c>
      <c r="Z19" s="3186" t="s">
        <v>3158</v>
      </c>
      <c r="AA19" s="3186" t="s">
        <v>3158</v>
      </c>
      <c r="AB19" s="3186" t="s">
        <v>3159</v>
      </c>
      <c r="AC19" s="3186" t="s">
        <v>3084</v>
      </c>
      <c r="AD19" s="3186" t="s">
        <v>3163</v>
      </c>
      <c r="AE19" s="3186">
        <v>1431</v>
      </c>
      <c r="AF19" s="3186">
        <v>4770</v>
      </c>
      <c r="AG19" s="3186">
        <v>6070</v>
      </c>
      <c r="AH19" s="3186">
        <v>300.27999999999997</v>
      </c>
      <c r="AI19" s="3186">
        <v>382.12</v>
      </c>
      <c r="AJ19" s="3186">
        <v>1286.92</v>
      </c>
      <c r="AK19" s="3186">
        <v>1637.66</v>
      </c>
      <c r="AL19" s="3186" t="s">
        <v>2780</v>
      </c>
      <c r="AM19" s="3186" t="s">
        <v>2780</v>
      </c>
      <c r="AN19" s="3186">
        <v>27.25</v>
      </c>
      <c r="AO19" s="3186">
        <v>70</v>
      </c>
      <c r="AP19" s="3186" t="s">
        <v>2780</v>
      </c>
      <c r="AQ19" s="3186" t="s">
        <v>2780</v>
      </c>
      <c r="AR19" s="3186" t="s">
        <v>2780</v>
      </c>
    </row>
    <row r="20" spans="1:44" s="3184" customFormat="1" ht="12.6">
      <c r="A20" s="3184" t="s">
        <v>3152</v>
      </c>
      <c r="B20" s="3184" t="s">
        <v>3072</v>
      </c>
      <c r="C20" s="3184" t="s">
        <v>3073</v>
      </c>
      <c r="D20" s="3184" t="s">
        <v>2995</v>
      </c>
      <c r="E20" s="3184" t="s">
        <v>2780</v>
      </c>
      <c r="F20" s="3184" t="s">
        <v>3152</v>
      </c>
      <c r="G20" s="3184" t="s">
        <v>3074</v>
      </c>
      <c r="H20" s="3184" t="s">
        <v>3164</v>
      </c>
      <c r="I20" s="3184" t="s">
        <v>3073</v>
      </c>
      <c r="J20" s="3184">
        <v>69062</v>
      </c>
      <c r="K20" s="3184">
        <v>151936.4</v>
      </c>
      <c r="L20" s="3184" t="s">
        <v>3154</v>
      </c>
      <c r="M20" s="3184" t="s">
        <v>2780</v>
      </c>
      <c r="N20" s="3184" t="s">
        <v>3155</v>
      </c>
      <c r="O20" s="3184" t="s">
        <v>2780</v>
      </c>
      <c r="P20" s="3184" t="s">
        <v>2780</v>
      </c>
      <c r="Q20" s="3184" t="s">
        <v>2780</v>
      </c>
      <c r="R20" s="3184" t="s">
        <v>2780</v>
      </c>
      <c r="S20" s="3184" t="s">
        <v>2780</v>
      </c>
      <c r="T20" s="3184" t="s">
        <v>2780</v>
      </c>
      <c r="U20" s="3184" t="s">
        <v>2780</v>
      </c>
      <c r="V20" s="3184" t="s">
        <v>2780</v>
      </c>
      <c r="W20" s="3184" t="s">
        <v>3129</v>
      </c>
      <c r="X20" s="3184" t="s">
        <v>3156</v>
      </c>
      <c r="Y20" s="3184" t="s">
        <v>3157</v>
      </c>
      <c r="Z20" s="3184" t="s">
        <v>3158</v>
      </c>
      <c r="AA20" s="3184" t="s">
        <v>3158</v>
      </c>
      <c r="AB20" s="3184" t="s">
        <v>3159</v>
      </c>
      <c r="AC20" s="3184" t="s">
        <v>3084</v>
      </c>
      <c r="AD20" s="3184" t="s">
        <v>3165</v>
      </c>
      <c r="AE20" s="3184">
        <v>10878</v>
      </c>
      <c r="AF20" s="3184">
        <v>36260</v>
      </c>
      <c r="AG20" s="3184">
        <v>36860</v>
      </c>
      <c r="AH20" s="3184">
        <v>350.02</v>
      </c>
      <c r="AI20" s="3184">
        <v>355.82</v>
      </c>
      <c r="AJ20" s="3184">
        <v>2386.52</v>
      </c>
      <c r="AK20" s="3184">
        <v>2426.0100000000002</v>
      </c>
      <c r="AL20" s="3184" t="s">
        <v>2780</v>
      </c>
      <c r="AM20" s="3184" t="s">
        <v>2780</v>
      </c>
      <c r="AN20" s="3184">
        <v>1.65</v>
      </c>
      <c r="AO20" s="3184">
        <v>70</v>
      </c>
      <c r="AP20" s="3184" t="s">
        <v>2780</v>
      </c>
      <c r="AQ20" s="3184" t="s">
        <v>2780</v>
      </c>
      <c r="AR20" s="3184" t="s">
        <v>2780</v>
      </c>
    </row>
    <row r="21" spans="1:44" s="3184" customFormat="1" ht="12.6">
      <c r="A21" s="3184" t="s">
        <v>3166</v>
      </c>
      <c r="B21" s="3184" t="s">
        <v>3072</v>
      </c>
      <c r="C21" s="3184" t="s">
        <v>3073</v>
      </c>
      <c r="D21" s="3184" t="s">
        <v>2995</v>
      </c>
      <c r="E21" s="3184" t="s">
        <v>2780</v>
      </c>
      <c r="F21" s="3184" t="s">
        <v>3166</v>
      </c>
      <c r="G21" s="3184" t="s">
        <v>3074</v>
      </c>
      <c r="H21" s="3184" t="s">
        <v>3167</v>
      </c>
      <c r="I21" s="3184" t="s">
        <v>3073</v>
      </c>
      <c r="J21" s="3184">
        <v>88498</v>
      </c>
      <c r="K21" s="3184">
        <v>221245</v>
      </c>
      <c r="L21" s="3184" t="s">
        <v>3168</v>
      </c>
      <c r="M21" s="3184" t="s">
        <v>2780</v>
      </c>
      <c r="N21" s="3184" t="s">
        <v>3155</v>
      </c>
      <c r="O21" s="3184" t="s">
        <v>2780</v>
      </c>
      <c r="P21" s="3184" t="s">
        <v>2780</v>
      </c>
      <c r="Q21" s="3184" t="s">
        <v>2780</v>
      </c>
      <c r="R21" s="3184" t="s">
        <v>2780</v>
      </c>
      <c r="S21" s="3184" t="s">
        <v>2780</v>
      </c>
      <c r="T21" s="3184" t="s">
        <v>2780</v>
      </c>
      <c r="U21" s="3184" t="s">
        <v>2780</v>
      </c>
      <c r="V21" s="3184" t="s">
        <v>2780</v>
      </c>
      <c r="W21" s="3184" t="s">
        <v>3129</v>
      </c>
      <c r="X21" s="3184" t="s">
        <v>3156</v>
      </c>
      <c r="Y21" s="3184" t="s">
        <v>3157</v>
      </c>
      <c r="Z21" s="3184" t="s">
        <v>3158</v>
      </c>
      <c r="AA21" s="3184" t="s">
        <v>3158</v>
      </c>
      <c r="AB21" s="3184" t="s">
        <v>3159</v>
      </c>
      <c r="AC21" s="3184" t="s">
        <v>3084</v>
      </c>
      <c r="AD21" s="3184" t="s">
        <v>3169</v>
      </c>
      <c r="AE21" s="3184">
        <v>15930</v>
      </c>
      <c r="AF21" s="3184">
        <v>53100</v>
      </c>
      <c r="AG21" s="3184">
        <v>54700</v>
      </c>
      <c r="AH21" s="3184">
        <v>400.01</v>
      </c>
      <c r="AI21" s="3184">
        <v>412.06</v>
      </c>
      <c r="AJ21" s="3184">
        <v>2400.0500000000002</v>
      </c>
      <c r="AK21" s="3184">
        <v>2472.36</v>
      </c>
      <c r="AL21" s="3184" t="s">
        <v>2780</v>
      </c>
      <c r="AM21" s="3184" t="s">
        <v>2780</v>
      </c>
      <c r="AN21" s="3184">
        <v>3.01</v>
      </c>
      <c r="AO21" s="3184">
        <v>70</v>
      </c>
      <c r="AP21" s="3184" t="s">
        <v>2780</v>
      </c>
      <c r="AQ21" s="3184" t="s">
        <v>2780</v>
      </c>
      <c r="AR21" s="3184" t="s">
        <v>2780</v>
      </c>
    </row>
    <row r="22" spans="1:44" s="3184" customFormat="1" ht="12.6">
      <c r="A22" s="3184" t="s">
        <v>3170</v>
      </c>
      <c r="B22" s="3184" t="s">
        <v>3072</v>
      </c>
      <c r="C22" s="3184" t="s">
        <v>3073</v>
      </c>
      <c r="D22" s="3184" t="s">
        <v>2995</v>
      </c>
      <c r="E22" s="3184" t="s">
        <v>2780</v>
      </c>
      <c r="F22" s="3184" t="s">
        <v>3170</v>
      </c>
      <c r="G22" s="3184" t="s">
        <v>3074</v>
      </c>
      <c r="H22" s="3184" t="s">
        <v>3171</v>
      </c>
      <c r="I22" s="3184" t="s">
        <v>3076</v>
      </c>
      <c r="J22" s="3184">
        <v>37399</v>
      </c>
      <c r="K22" s="3184">
        <v>93497.5</v>
      </c>
      <c r="L22" s="3184" t="s">
        <v>3127</v>
      </c>
      <c r="M22" s="3184" t="s">
        <v>2780</v>
      </c>
      <c r="N22" s="3184" t="s">
        <v>3128</v>
      </c>
      <c r="O22" s="3184" t="s">
        <v>2780</v>
      </c>
      <c r="P22" s="3184" t="s">
        <v>2780</v>
      </c>
      <c r="Q22" s="3184" t="s">
        <v>2780</v>
      </c>
      <c r="R22" s="3184" t="s">
        <v>2780</v>
      </c>
      <c r="S22" s="3184" t="s">
        <v>2780</v>
      </c>
      <c r="T22" s="3184" t="s">
        <v>2780</v>
      </c>
      <c r="U22" s="3184" t="s">
        <v>2780</v>
      </c>
      <c r="V22" s="3184" t="s">
        <v>2780</v>
      </c>
      <c r="W22" s="3184" t="s">
        <v>3129</v>
      </c>
      <c r="X22" s="3184" t="s">
        <v>3172</v>
      </c>
      <c r="Y22" s="3184" t="s">
        <v>3173</v>
      </c>
      <c r="Z22" s="3184" t="s">
        <v>3174</v>
      </c>
      <c r="AA22" s="3184" t="s">
        <v>3174</v>
      </c>
      <c r="AB22" s="3184" t="s">
        <v>3175</v>
      </c>
      <c r="AC22" s="3184" t="s">
        <v>3084</v>
      </c>
      <c r="AD22" s="3184" t="s">
        <v>3176</v>
      </c>
      <c r="AE22" s="3184">
        <v>4041</v>
      </c>
      <c r="AF22" s="3184">
        <v>13470</v>
      </c>
      <c r="AG22" s="3184">
        <v>33770</v>
      </c>
      <c r="AH22" s="3184">
        <v>240.11</v>
      </c>
      <c r="AI22" s="3184">
        <v>601.98</v>
      </c>
      <c r="AJ22" s="3184">
        <v>1440.68</v>
      </c>
      <c r="AK22" s="3184">
        <v>3611.86</v>
      </c>
      <c r="AL22" s="3184" t="s">
        <v>2780</v>
      </c>
      <c r="AM22" s="3184" t="s">
        <v>2780</v>
      </c>
      <c r="AN22" s="3184">
        <v>150.71</v>
      </c>
      <c r="AO22" s="3184" t="s">
        <v>3086</v>
      </c>
      <c r="AP22" s="3184" t="s">
        <v>2780</v>
      </c>
      <c r="AQ22" s="3184" t="s">
        <v>2780</v>
      </c>
      <c r="AR22" s="3184" t="s">
        <v>2780</v>
      </c>
    </row>
    <row r="23" spans="1:44" s="3184" customFormat="1" ht="12.6">
      <c r="A23" s="3184" t="s">
        <v>3177</v>
      </c>
      <c r="B23" s="3184" t="s">
        <v>3072</v>
      </c>
      <c r="C23" s="3184" t="s">
        <v>3073</v>
      </c>
      <c r="D23" s="3184" t="s">
        <v>2995</v>
      </c>
      <c r="E23" s="3184" t="s">
        <v>2780</v>
      </c>
      <c r="F23" s="3184" t="s">
        <v>3177</v>
      </c>
      <c r="G23" s="3184" t="s">
        <v>3074</v>
      </c>
      <c r="H23" s="3184" t="s">
        <v>3178</v>
      </c>
      <c r="I23" s="3184" t="s">
        <v>3076</v>
      </c>
      <c r="J23" s="3184">
        <v>33491</v>
      </c>
      <c r="K23" s="3184">
        <v>83727.5</v>
      </c>
      <c r="L23" s="3184" t="s">
        <v>3127</v>
      </c>
      <c r="M23" s="3184" t="s">
        <v>2780</v>
      </c>
      <c r="N23" s="3184" t="s">
        <v>3128</v>
      </c>
      <c r="O23" s="3184" t="s">
        <v>2780</v>
      </c>
      <c r="P23" s="3184" t="s">
        <v>2780</v>
      </c>
      <c r="Q23" s="3184" t="s">
        <v>2780</v>
      </c>
      <c r="R23" s="3184" t="s">
        <v>2780</v>
      </c>
      <c r="S23" s="3184" t="s">
        <v>2780</v>
      </c>
      <c r="T23" s="3184" t="s">
        <v>2780</v>
      </c>
      <c r="U23" s="3184" t="s">
        <v>2780</v>
      </c>
      <c r="V23" s="3184" t="s">
        <v>2780</v>
      </c>
      <c r="W23" s="3184" t="s">
        <v>3129</v>
      </c>
      <c r="X23" s="3184" t="s">
        <v>3172</v>
      </c>
      <c r="Y23" s="3184" t="s">
        <v>3173</v>
      </c>
      <c r="Z23" s="3184" t="s">
        <v>3174</v>
      </c>
      <c r="AA23" s="3184" t="s">
        <v>3174</v>
      </c>
      <c r="AB23" s="3184" t="s">
        <v>3179</v>
      </c>
      <c r="AC23" s="3184" t="s">
        <v>3084</v>
      </c>
      <c r="AD23" s="3184" t="s">
        <v>3176</v>
      </c>
      <c r="AE23" s="3184">
        <v>3618</v>
      </c>
      <c r="AF23" s="3184">
        <v>12060</v>
      </c>
      <c r="AG23" s="3184">
        <v>42960</v>
      </c>
      <c r="AH23" s="3184">
        <v>240.06</v>
      </c>
      <c r="AI23" s="3184">
        <v>855.16</v>
      </c>
      <c r="AJ23" s="3184">
        <v>1440.38</v>
      </c>
      <c r="AK23" s="3184">
        <v>5130.93</v>
      </c>
      <c r="AL23" s="3184" t="s">
        <v>2780</v>
      </c>
      <c r="AM23" s="3184" t="s">
        <v>2780</v>
      </c>
      <c r="AN23" s="3184">
        <v>256.22000000000003</v>
      </c>
      <c r="AO23" s="3184" t="s">
        <v>3086</v>
      </c>
      <c r="AP23" s="3184" t="s">
        <v>2780</v>
      </c>
      <c r="AQ23" s="3184" t="s">
        <v>2780</v>
      </c>
      <c r="AR23" s="3184" t="s">
        <v>2780</v>
      </c>
    </row>
    <row r="24" spans="1:44" s="3184" customFormat="1" ht="12.6">
      <c r="A24" s="3184" t="s">
        <v>3180</v>
      </c>
      <c r="B24" s="3184" t="s">
        <v>3072</v>
      </c>
      <c r="C24" s="3184" t="s">
        <v>3073</v>
      </c>
      <c r="D24" s="3184" t="s">
        <v>2995</v>
      </c>
      <c r="E24" s="3184" t="s">
        <v>2780</v>
      </c>
      <c r="F24" s="3184" t="s">
        <v>3180</v>
      </c>
      <c r="G24" s="3184" t="s">
        <v>3074</v>
      </c>
      <c r="H24" s="3184" t="s">
        <v>3181</v>
      </c>
      <c r="I24" s="3184" t="s">
        <v>3076</v>
      </c>
      <c r="J24" s="3184">
        <v>58122</v>
      </c>
      <c r="K24" s="3184">
        <v>174366</v>
      </c>
      <c r="L24" s="3184" t="s">
        <v>3182</v>
      </c>
      <c r="M24" s="3184" t="s">
        <v>2780</v>
      </c>
      <c r="N24" s="3184" t="s">
        <v>3149</v>
      </c>
      <c r="O24" s="3184" t="s">
        <v>2780</v>
      </c>
      <c r="P24" s="3184" t="s">
        <v>2780</v>
      </c>
      <c r="Q24" s="3184" t="s">
        <v>2780</v>
      </c>
      <c r="R24" s="3184" t="s">
        <v>2780</v>
      </c>
      <c r="S24" s="3184" t="s">
        <v>2780</v>
      </c>
      <c r="T24" s="3184" t="s">
        <v>2780</v>
      </c>
      <c r="U24" s="3184" t="s">
        <v>2780</v>
      </c>
      <c r="V24" s="3184" t="s">
        <v>2780</v>
      </c>
      <c r="W24" s="3184" t="s">
        <v>3129</v>
      </c>
      <c r="X24" s="3184" t="s">
        <v>3172</v>
      </c>
      <c r="Y24" s="3184" t="s">
        <v>3173</v>
      </c>
      <c r="Z24" s="3184" t="s">
        <v>3174</v>
      </c>
      <c r="AA24" s="3184" t="s">
        <v>3174</v>
      </c>
      <c r="AB24" s="3184" t="s">
        <v>3183</v>
      </c>
      <c r="AC24" s="3184" t="s">
        <v>3084</v>
      </c>
      <c r="AD24" s="3184" t="s">
        <v>3184</v>
      </c>
      <c r="AE24" s="3184">
        <v>1572</v>
      </c>
      <c r="AF24" s="3184">
        <v>5240</v>
      </c>
      <c r="AG24" s="3184">
        <v>5240</v>
      </c>
      <c r="AH24" s="3184">
        <v>60.1</v>
      </c>
      <c r="AI24" s="3184">
        <v>60.1</v>
      </c>
      <c r="AJ24" s="3184">
        <v>300.51</v>
      </c>
      <c r="AK24" s="3184">
        <v>300.51</v>
      </c>
      <c r="AL24" s="3184" t="s">
        <v>2780</v>
      </c>
      <c r="AM24" s="3184" t="s">
        <v>2780</v>
      </c>
      <c r="AN24" s="3184">
        <v>0</v>
      </c>
      <c r="AO24" s="3184" t="s">
        <v>3086</v>
      </c>
      <c r="AP24" s="3184" t="s">
        <v>2780</v>
      </c>
      <c r="AQ24" s="3184" t="s">
        <v>2780</v>
      </c>
      <c r="AR24" s="3184" t="s">
        <v>2780</v>
      </c>
    </row>
    <row r="25" spans="1:44" s="3184" customFormat="1" ht="12.6">
      <c r="A25" s="3184" t="s">
        <v>3185</v>
      </c>
      <c r="B25" s="3184" t="s">
        <v>3072</v>
      </c>
      <c r="C25" s="3184" t="s">
        <v>3073</v>
      </c>
      <c r="D25" s="3184" t="s">
        <v>2995</v>
      </c>
      <c r="E25" s="3184" t="s">
        <v>2780</v>
      </c>
      <c r="F25" s="3184" t="s">
        <v>3185</v>
      </c>
      <c r="G25" s="3184" t="s">
        <v>3074</v>
      </c>
      <c r="H25" s="3184" t="s">
        <v>3186</v>
      </c>
      <c r="I25" s="3184" t="s">
        <v>3076</v>
      </c>
      <c r="J25" s="3184">
        <v>15590</v>
      </c>
      <c r="K25" s="3184">
        <v>46770</v>
      </c>
      <c r="L25" s="3184" t="s">
        <v>3182</v>
      </c>
      <c r="M25" s="3184" t="s">
        <v>2780</v>
      </c>
      <c r="N25" s="3184" t="s">
        <v>3187</v>
      </c>
      <c r="O25" s="3184" t="s">
        <v>2780</v>
      </c>
      <c r="P25" s="3184" t="s">
        <v>2780</v>
      </c>
      <c r="Q25" s="3184" t="s">
        <v>2780</v>
      </c>
      <c r="R25" s="3184" t="s">
        <v>2780</v>
      </c>
      <c r="S25" s="3184" t="s">
        <v>2780</v>
      </c>
      <c r="T25" s="3184" t="s">
        <v>2780</v>
      </c>
      <c r="U25" s="3184" t="s">
        <v>2780</v>
      </c>
      <c r="V25" s="3184" t="s">
        <v>2780</v>
      </c>
      <c r="W25" s="3184" t="s">
        <v>3129</v>
      </c>
      <c r="X25" s="3184" t="s">
        <v>3172</v>
      </c>
      <c r="Y25" s="3184" t="s">
        <v>3173</v>
      </c>
      <c r="Z25" s="3184" t="s">
        <v>3174</v>
      </c>
      <c r="AA25" s="3184" t="s">
        <v>3174</v>
      </c>
      <c r="AB25" s="3184" t="s">
        <v>3188</v>
      </c>
      <c r="AC25" s="3184" t="s">
        <v>3084</v>
      </c>
      <c r="AD25" s="3184" t="s">
        <v>3189</v>
      </c>
      <c r="AE25" s="3184">
        <v>1053</v>
      </c>
      <c r="AF25" s="3184">
        <v>3510</v>
      </c>
      <c r="AG25" s="3184">
        <v>3510</v>
      </c>
      <c r="AH25" s="3184">
        <v>150.1</v>
      </c>
      <c r="AI25" s="3184">
        <v>150.1</v>
      </c>
      <c r="AJ25" s="3184">
        <v>750.48</v>
      </c>
      <c r="AK25" s="3184">
        <v>750.48</v>
      </c>
      <c r="AL25" s="3184" t="s">
        <v>2780</v>
      </c>
      <c r="AM25" s="3184" t="s">
        <v>2780</v>
      </c>
      <c r="AN25" s="3184">
        <v>0</v>
      </c>
      <c r="AO25" s="3184" t="s">
        <v>3086</v>
      </c>
      <c r="AP25" s="3184" t="s">
        <v>2780</v>
      </c>
      <c r="AQ25" s="3184" t="s">
        <v>2780</v>
      </c>
      <c r="AR25" s="3184" t="s">
        <v>2780</v>
      </c>
    </row>
    <row r="26" spans="1:44" s="3184" customFormat="1" ht="12.6">
      <c r="A26" s="3184" t="s">
        <v>3177</v>
      </c>
      <c r="B26" s="3184" t="s">
        <v>3072</v>
      </c>
      <c r="C26" s="3184" t="s">
        <v>3073</v>
      </c>
      <c r="D26" s="3184" t="s">
        <v>2995</v>
      </c>
      <c r="E26" s="3184" t="s">
        <v>2780</v>
      </c>
      <c r="F26" s="3184" t="s">
        <v>3177</v>
      </c>
      <c r="G26" s="3184" t="s">
        <v>3074</v>
      </c>
      <c r="H26" s="3184" t="s">
        <v>3190</v>
      </c>
      <c r="I26" s="3184" t="s">
        <v>3076</v>
      </c>
      <c r="J26" s="3184">
        <v>62381</v>
      </c>
      <c r="K26" s="3184">
        <v>155952.5</v>
      </c>
      <c r="L26" s="3184" t="s">
        <v>3127</v>
      </c>
      <c r="M26" s="3184" t="s">
        <v>2780</v>
      </c>
      <c r="N26" s="3184" t="s">
        <v>3128</v>
      </c>
      <c r="O26" s="3184" t="s">
        <v>2780</v>
      </c>
      <c r="P26" s="3184" t="s">
        <v>2780</v>
      </c>
      <c r="Q26" s="3184" t="s">
        <v>2780</v>
      </c>
      <c r="R26" s="3184" t="s">
        <v>2780</v>
      </c>
      <c r="S26" s="3184" t="s">
        <v>2780</v>
      </c>
      <c r="T26" s="3184" t="s">
        <v>2780</v>
      </c>
      <c r="U26" s="3184" t="s">
        <v>2780</v>
      </c>
      <c r="V26" s="3184" t="s">
        <v>2780</v>
      </c>
      <c r="W26" s="3184" t="s">
        <v>3129</v>
      </c>
      <c r="X26" s="3184" t="s">
        <v>3172</v>
      </c>
      <c r="Y26" s="3184" t="s">
        <v>3173</v>
      </c>
      <c r="Z26" s="3184" t="s">
        <v>3174</v>
      </c>
      <c r="AA26" s="3184" t="s">
        <v>3174</v>
      </c>
      <c r="AB26" s="3184" t="s">
        <v>3191</v>
      </c>
      <c r="AC26" s="3184" t="s">
        <v>3084</v>
      </c>
      <c r="AD26" s="3184" t="s">
        <v>3176</v>
      </c>
      <c r="AE26" s="3184">
        <v>6522</v>
      </c>
      <c r="AF26" s="3184">
        <v>21740</v>
      </c>
      <c r="AG26" s="3184">
        <v>52640</v>
      </c>
      <c r="AH26" s="3184">
        <v>232.34</v>
      </c>
      <c r="AI26" s="3184">
        <v>562.55999999999995</v>
      </c>
      <c r="AJ26" s="3184">
        <v>1394.01</v>
      </c>
      <c r="AK26" s="3184">
        <v>3375.38</v>
      </c>
      <c r="AL26" s="3184" t="s">
        <v>2780</v>
      </c>
      <c r="AM26" s="3184" t="s">
        <v>2780</v>
      </c>
      <c r="AN26" s="3184">
        <v>142.13</v>
      </c>
      <c r="AO26" s="3184" t="s">
        <v>3086</v>
      </c>
      <c r="AP26" s="3184" t="s">
        <v>2780</v>
      </c>
      <c r="AQ26" s="3184" t="s">
        <v>2780</v>
      </c>
      <c r="AR26" s="3184" t="s">
        <v>2780</v>
      </c>
    </row>
    <row r="27" spans="1:44" s="3184" customFormat="1" ht="12.6">
      <c r="A27" s="3184" t="s">
        <v>3180</v>
      </c>
      <c r="B27" s="3184" t="s">
        <v>3072</v>
      </c>
      <c r="C27" s="3184" t="s">
        <v>3073</v>
      </c>
      <c r="D27" s="3184" t="s">
        <v>2995</v>
      </c>
      <c r="E27" s="3184" t="s">
        <v>2780</v>
      </c>
      <c r="F27" s="3184" t="s">
        <v>3180</v>
      </c>
      <c r="G27" s="3184" t="s">
        <v>3074</v>
      </c>
      <c r="H27" s="3184" t="s">
        <v>3192</v>
      </c>
      <c r="I27" s="3184" t="s">
        <v>3076</v>
      </c>
      <c r="J27" s="3184">
        <v>61337</v>
      </c>
      <c r="K27" s="3184">
        <v>184011</v>
      </c>
      <c r="L27" s="3184" t="s">
        <v>3182</v>
      </c>
      <c r="M27" s="3184" t="s">
        <v>2780</v>
      </c>
      <c r="N27" s="3184" t="s">
        <v>3149</v>
      </c>
      <c r="O27" s="3184" t="s">
        <v>2780</v>
      </c>
      <c r="P27" s="3184" t="s">
        <v>2780</v>
      </c>
      <c r="Q27" s="3184" t="s">
        <v>2780</v>
      </c>
      <c r="R27" s="3184" t="s">
        <v>2780</v>
      </c>
      <c r="S27" s="3184" t="s">
        <v>2780</v>
      </c>
      <c r="T27" s="3184" t="s">
        <v>2780</v>
      </c>
      <c r="U27" s="3184" t="s">
        <v>2780</v>
      </c>
      <c r="V27" s="3184" t="s">
        <v>2780</v>
      </c>
      <c r="W27" s="3184" t="s">
        <v>3129</v>
      </c>
      <c r="X27" s="3184" t="s">
        <v>3172</v>
      </c>
      <c r="Y27" s="3184" t="s">
        <v>3173</v>
      </c>
      <c r="Z27" s="3184" t="s">
        <v>3174</v>
      </c>
      <c r="AA27" s="3184" t="s">
        <v>3174</v>
      </c>
      <c r="AB27" s="3184" t="s">
        <v>3193</v>
      </c>
      <c r="AC27" s="3184" t="s">
        <v>3084</v>
      </c>
      <c r="AD27" s="3184" t="s">
        <v>3184</v>
      </c>
      <c r="AE27" s="3184">
        <v>1659</v>
      </c>
      <c r="AF27" s="3184">
        <v>5530</v>
      </c>
      <c r="AG27" s="3184">
        <v>5530</v>
      </c>
      <c r="AH27" s="3184">
        <v>60.11</v>
      </c>
      <c r="AI27" s="3184">
        <v>60.11</v>
      </c>
      <c r="AJ27" s="3184">
        <v>300.52</v>
      </c>
      <c r="AK27" s="3184">
        <v>300.52</v>
      </c>
      <c r="AL27" s="3184" t="s">
        <v>2780</v>
      </c>
      <c r="AM27" s="3184" t="s">
        <v>2780</v>
      </c>
      <c r="AN27" s="3184">
        <v>0</v>
      </c>
      <c r="AO27" s="3184" t="s">
        <v>3086</v>
      </c>
      <c r="AP27" s="3184" t="s">
        <v>2780</v>
      </c>
      <c r="AQ27" s="3184" t="s">
        <v>2780</v>
      </c>
      <c r="AR27" s="3184" t="s">
        <v>2780</v>
      </c>
    </row>
    <row r="28" spans="1:44" s="3187" customFormat="1" ht="12.6">
      <c r="A28" s="3187" t="s">
        <v>3194</v>
      </c>
      <c r="B28" s="3187" t="s">
        <v>3072</v>
      </c>
      <c r="C28" s="3187" t="s">
        <v>3073</v>
      </c>
      <c r="D28" s="3187" t="s">
        <v>2995</v>
      </c>
      <c r="E28" s="3187" t="s">
        <v>2780</v>
      </c>
      <c r="F28" s="3187" t="s">
        <v>3194</v>
      </c>
      <c r="G28" s="3187" t="s">
        <v>3074</v>
      </c>
      <c r="H28" s="3187" t="s">
        <v>3195</v>
      </c>
      <c r="I28" s="3187" t="s">
        <v>3076</v>
      </c>
      <c r="J28" s="3187">
        <v>17218</v>
      </c>
      <c r="K28" s="3187">
        <v>27548.799999999999</v>
      </c>
      <c r="L28" s="3187" t="s">
        <v>3196</v>
      </c>
      <c r="M28" s="3187" t="s">
        <v>2780</v>
      </c>
      <c r="N28" s="3187" t="s">
        <v>3187</v>
      </c>
      <c r="O28" s="3187" t="s">
        <v>2780</v>
      </c>
      <c r="P28" s="3187" t="s">
        <v>2780</v>
      </c>
      <c r="Q28" s="3187" t="s">
        <v>2780</v>
      </c>
      <c r="R28" s="3187" t="s">
        <v>2780</v>
      </c>
      <c r="S28" s="3187" t="s">
        <v>2780</v>
      </c>
      <c r="T28" s="3187" t="s">
        <v>2780</v>
      </c>
      <c r="U28" s="3187" t="s">
        <v>2780</v>
      </c>
      <c r="V28" s="3187" t="s">
        <v>2780</v>
      </c>
      <c r="W28" s="3187" t="s">
        <v>3129</v>
      </c>
      <c r="X28" s="3187" t="s">
        <v>3172</v>
      </c>
      <c r="Y28" s="3187" t="s">
        <v>3173</v>
      </c>
      <c r="Z28" s="3187" t="s">
        <v>3174</v>
      </c>
      <c r="AA28" s="3187" t="s">
        <v>3174</v>
      </c>
      <c r="AB28" s="3187" t="s">
        <v>3197</v>
      </c>
      <c r="AC28" s="3187" t="s">
        <v>3084</v>
      </c>
      <c r="AD28" s="3187" t="s">
        <v>3134</v>
      </c>
      <c r="AE28" s="3187">
        <v>1551</v>
      </c>
      <c r="AF28" s="3187">
        <v>5170</v>
      </c>
      <c r="AG28" s="3187">
        <v>5170</v>
      </c>
      <c r="AH28" s="3187">
        <v>200.18</v>
      </c>
      <c r="AI28" s="3187">
        <v>200.18</v>
      </c>
      <c r="AJ28" s="3187">
        <v>1876.66</v>
      </c>
      <c r="AK28" s="3187">
        <v>1876.67</v>
      </c>
      <c r="AL28" s="3187" t="s">
        <v>2780</v>
      </c>
      <c r="AM28" s="3187" t="s">
        <v>2780</v>
      </c>
      <c r="AN28" s="3187">
        <v>0</v>
      </c>
      <c r="AO28" s="3187" t="s">
        <v>3086</v>
      </c>
      <c r="AP28" s="3187" t="s">
        <v>2780</v>
      </c>
      <c r="AQ28" s="3187" t="s">
        <v>2780</v>
      </c>
      <c r="AR28" s="3187" t="s">
        <v>2780</v>
      </c>
    </row>
    <row r="29" spans="1:44" s="3184" customFormat="1" ht="12.6">
      <c r="A29" s="3184" t="s">
        <v>3180</v>
      </c>
      <c r="B29" s="3184" t="s">
        <v>3072</v>
      </c>
      <c r="C29" s="3184" t="s">
        <v>3073</v>
      </c>
      <c r="D29" s="3184" t="s">
        <v>2995</v>
      </c>
      <c r="E29" s="3184" t="s">
        <v>2780</v>
      </c>
      <c r="F29" s="3184" t="s">
        <v>3180</v>
      </c>
      <c r="G29" s="3184" t="s">
        <v>3074</v>
      </c>
      <c r="H29" s="3184" t="s">
        <v>3198</v>
      </c>
      <c r="I29" s="3184" t="s">
        <v>3076</v>
      </c>
      <c r="J29" s="3184">
        <v>41871</v>
      </c>
      <c r="K29" s="3184">
        <v>125613</v>
      </c>
      <c r="L29" s="3184" t="s">
        <v>3182</v>
      </c>
      <c r="M29" s="3184" t="s">
        <v>2780</v>
      </c>
      <c r="N29" s="3184" t="s">
        <v>3149</v>
      </c>
      <c r="O29" s="3184" t="s">
        <v>2780</v>
      </c>
      <c r="P29" s="3184" t="s">
        <v>2780</v>
      </c>
      <c r="Q29" s="3184" t="s">
        <v>2780</v>
      </c>
      <c r="R29" s="3184" t="s">
        <v>2780</v>
      </c>
      <c r="S29" s="3184" t="s">
        <v>2780</v>
      </c>
      <c r="T29" s="3184" t="s">
        <v>2780</v>
      </c>
      <c r="U29" s="3184" t="s">
        <v>2780</v>
      </c>
      <c r="V29" s="3184" t="s">
        <v>2780</v>
      </c>
      <c r="W29" s="3184" t="s">
        <v>3129</v>
      </c>
      <c r="X29" s="3184" t="s">
        <v>3172</v>
      </c>
      <c r="Y29" s="3184" t="s">
        <v>3173</v>
      </c>
      <c r="Z29" s="3184" t="s">
        <v>3174</v>
      </c>
      <c r="AA29" s="3184" t="s">
        <v>3174</v>
      </c>
      <c r="AB29" s="3184" t="s">
        <v>3199</v>
      </c>
      <c r="AC29" s="3184" t="s">
        <v>3084</v>
      </c>
      <c r="AD29" s="3184" t="s">
        <v>3184</v>
      </c>
      <c r="AE29" s="3184">
        <v>1131</v>
      </c>
      <c r="AF29" s="3184">
        <v>3770</v>
      </c>
      <c r="AG29" s="3184">
        <v>3770</v>
      </c>
      <c r="AH29" s="3184">
        <v>60.03</v>
      </c>
      <c r="AI29" s="3184">
        <v>60.03</v>
      </c>
      <c r="AJ29" s="3184">
        <v>300.12</v>
      </c>
      <c r="AK29" s="3184">
        <v>300.12</v>
      </c>
      <c r="AL29" s="3184" t="s">
        <v>2780</v>
      </c>
      <c r="AM29" s="3184" t="s">
        <v>2780</v>
      </c>
      <c r="AN29" s="3184">
        <v>0</v>
      </c>
      <c r="AO29" s="3184" t="s">
        <v>3086</v>
      </c>
      <c r="AP29" s="3184" t="s">
        <v>2780</v>
      </c>
      <c r="AQ29" s="3184" t="s">
        <v>2780</v>
      </c>
      <c r="AR29" s="3184" t="s">
        <v>2780</v>
      </c>
    </row>
    <row r="30" spans="1:44" s="3184" customFormat="1" ht="12.6">
      <c r="A30" s="3184" t="s">
        <v>3177</v>
      </c>
      <c r="B30" s="3184" t="s">
        <v>3072</v>
      </c>
      <c r="C30" s="3184" t="s">
        <v>3073</v>
      </c>
      <c r="D30" s="3184" t="s">
        <v>2995</v>
      </c>
      <c r="E30" s="3184" t="s">
        <v>2780</v>
      </c>
      <c r="F30" s="3184" t="s">
        <v>3177</v>
      </c>
      <c r="G30" s="3184" t="s">
        <v>3074</v>
      </c>
      <c r="H30" s="3184" t="s">
        <v>3200</v>
      </c>
      <c r="I30" s="3184" t="s">
        <v>3076</v>
      </c>
      <c r="J30" s="3184">
        <v>58070</v>
      </c>
      <c r="K30" s="3184">
        <v>145175</v>
      </c>
      <c r="L30" s="3184" t="s">
        <v>3127</v>
      </c>
      <c r="M30" s="3184" t="s">
        <v>2780</v>
      </c>
      <c r="N30" s="3184" t="s">
        <v>3128</v>
      </c>
      <c r="O30" s="3184" t="s">
        <v>2780</v>
      </c>
      <c r="P30" s="3184" t="s">
        <v>2780</v>
      </c>
      <c r="Q30" s="3184" t="s">
        <v>2780</v>
      </c>
      <c r="R30" s="3184" t="s">
        <v>2780</v>
      </c>
      <c r="S30" s="3184" t="s">
        <v>2780</v>
      </c>
      <c r="T30" s="3184" t="s">
        <v>2780</v>
      </c>
      <c r="U30" s="3184" t="s">
        <v>2780</v>
      </c>
      <c r="V30" s="3184" t="s">
        <v>2780</v>
      </c>
      <c r="W30" s="3184" t="s">
        <v>3129</v>
      </c>
      <c r="X30" s="3184" t="s">
        <v>3172</v>
      </c>
      <c r="Y30" s="3184" t="s">
        <v>3173</v>
      </c>
      <c r="Z30" s="3184" t="s">
        <v>3174</v>
      </c>
      <c r="AA30" s="3184" t="s">
        <v>3174</v>
      </c>
      <c r="AB30" s="3184" t="s">
        <v>3201</v>
      </c>
      <c r="AC30" s="3184" t="s">
        <v>3084</v>
      </c>
      <c r="AD30" s="3184" t="s">
        <v>3176</v>
      </c>
      <c r="AE30" s="3184">
        <v>6273</v>
      </c>
      <c r="AF30" s="3184">
        <v>20910</v>
      </c>
      <c r="AG30" s="3184">
        <v>51810</v>
      </c>
      <c r="AH30" s="3184">
        <v>240.06</v>
      </c>
      <c r="AI30" s="3184">
        <v>594.79999999999995</v>
      </c>
      <c r="AJ30" s="3184">
        <v>1440.33</v>
      </c>
      <c r="AK30" s="3184">
        <v>3568.8</v>
      </c>
      <c r="AL30" s="3184" t="s">
        <v>2780</v>
      </c>
      <c r="AM30" s="3184" t="s">
        <v>2780</v>
      </c>
      <c r="AN30" s="3184">
        <v>147.78</v>
      </c>
      <c r="AO30" s="3184" t="s">
        <v>3086</v>
      </c>
      <c r="AP30" s="3184" t="s">
        <v>2780</v>
      </c>
      <c r="AQ30" s="3184" t="s">
        <v>2780</v>
      </c>
      <c r="AR30" s="3184" t="s">
        <v>2780</v>
      </c>
    </row>
    <row r="31" spans="1:44" s="3184" customFormat="1" ht="12.6">
      <c r="A31" s="3184" t="s">
        <v>3170</v>
      </c>
      <c r="B31" s="3184" t="s">
        <v>3072</v>
      </c>
      <c r="C31" s="3184" t="s">
        <v>3073</v>
      </c>
      <c r="D31" s="3184" t="s">
        <v>2995</v>
      </c>
      <c r="E31" s="3184" t="s">
        <v>2780</v>
      </c>
      <c r="F31" s="3184" t="s">
        <v>3170</v>
      </c>
      <c r="G31" s="3184" t="s">
        <v>3074</v>
      </c>
      <c r="H31" s="3184" t="s">
        <v>3202</v>
      </c>
      <c r="I31" s="3184" t="s">
        <v>3076</v>
      </c>
      <c r="J31" s="3184">
        <v>44718</v>
      </c>
      <c r="K31" s="3184">
        <v>111795</v>
      </c>
      <c r="L31" s="3184" t="s">
        <v>3127</v>
      </c>
      <c r="M31" s="3184" t="s">
        <v>2780</v>
      </c>
      <c r="N31" s="3184" t="s">
        <v>3128</v>
      </c>
      <c r="O31" s="3184" t="s">
        <v>2780</v>
      </c>
      <c r="P31" s="3184" t="s">
        <v>2780</v>
      </c>
      <c r="Q31" s="3184" t="s">
        <v>2780</v>
      </c>
      <c r="R31" s="3184" t="s">
        <v>2780</v>
      </c>
      <c r="S31" s="3184" t="s">
        <v>2780</v>
      </c>
      <c r="T31" s="3184" t="s">
        <v>2780</v>
      </c>
      <c r="U31" s="3184" t="s">
        <v>2780</v>
      </c>
      <c r="V31" s="3184" t="s">
        <v>2780</v>
      </c>
      <c r="W31" s="3184" t="s">
        <v>3129</v>
      </c>
      <c r="X31" s="3184" t="s">
        <v>3172</v>
      </c>
      <c r="Y31" s="3184" t="s">
        <v>3173</v>
      </c>
      <c r="Z31" s="3184" t="s">
        <v>3174</v>
      </c>
      <c r="AA31" s="3184" t="s">
        <v>3174</v>
      </c>
      <c r="AB31" s="3184" t="s">
        <v>3203</v>
      </c>
      <c r="AC31" s="3184" t="s">
        <v>3084</v>
      </c>
      <c r="AD31" s="3184" t="s">
        <v>3176</v>
      </c>
      <c r="AE31" s="3184">
        <v>4830</v>
      </c>
      <c r="AF31" s="3184">
        <v>16100</v>
      </c>
      <c r="AG31" s="3184">
        <v>36400</v>
      </c>
      <c r="AH31" s="3184">
        <v>240.02</v>
      </c>
      <c r="AI31" s="3184">
        <v>542.66</v>
      </c>
      <c r="AJ31" s="3184">
        <v>1440.13</v>
      </c>
      <c r="AK31" s="3184">
        <v>3255.96</v>
      </c>
      <c r="AL31" s="3184" t="s">
        <v>2780</v>
      </c>
      <c r="AM31" s="3184" t="s">
        <v>2780</v>
      </c>
      <c r="AN31" s="3184">
        <v>126.09</v>
      </c>
      <c r="AO31" s="3184" t="s">
        <v>3086</v>
      </c>
      <c r="AP31" s="3184" t="s">
        <v>2780</v>
      </c>
      <c r="AQ31" s="3184" t="s">
        <v>2780</v>
      </c>
      <c r="AR31" s="3184" t="s">
        <v>2780</v>
      </c>
    </row>
    <row r="32" spans="1:44" s="3184" customFormat="1" ht="12.6">
      <c r="A32" s="3184" t="s">
        <v>3180</v>
      </c>
      <c r="B32" s="3184" t="s">
        <v>3072</v>
      </c>
      <c r="C32" s="3184" t="s">
        <v>3073</v>
      </c>
      <c r="D32" s="3184" t="s">
        <v>2995</v>
      </c>
      <c r="E32" s="3184" t="s">
        <v>2780</v>
      </c>
      <c r="F32" s="3184" t="s">
        <v>3180</v>
      </c>
      <c r="G32" s="3184" t="s">
        <v>3074</v>
      </c>
      <c r="H32" s="3184" t="s">
        <v>3204</v>
      </c>
      <c r="I32" s="3184" t="s">
        <v>3076</v>
      </c>
      <c r="J32" s="3184">
        <v>53544</v>
      </c>
      <c r="K32" s="3184">
        <v>160632</v>
      </c>
      <c r="L32" s="3184" t="s">
        <v>3182</v>
      </c>
      <c r="M32" s="3184" t="s">
        <v>2780</v>
      </c>
      <c r="N32" s="3184" t="s">
        <v>3149</v>
      </c>
      <c r="O32" s="3184" t="s">
        <v>2780</v>
      </c>
      <c r="P32" s="3184" t="s">
        <v>2780</v>
      </c>
      <c r="Q32" s="3184" t="s">
        <v>2780</v>
      </c>
      <c r="R32" s="3184" t="s">
        <v>2780</v>
      </c>
      <c r="S32" s="3184" t="s">
        <v>2780</v>
      </c>
      <c r="T32" s="3184" t="s">
        <v>2780</v>
      </c>
      <c r="U32" s="3184" t="s">
        <v>2780</v>
      </c>
      <c r="V32" s="3184" t="s">
        <v>2780</v>
      </c>
      <c r="W32" s="3184" t="s">
        <v>3129</v>
      </c>
      <c r="X32" s="3184" t="s">
        <v>3172</v>
      </c>
      <c r="Y32" s="3184" t="s">
        <v>3173</v>
      </c>
      <c r="Z32" s="3184" t="s">
        <v>3174</v>
      </c>
      <c r="AA32" s="3184" t="s">
        <v>3174</v>
      </c>
      <c r="AB32" s="3184" t="s">
        <v>3205</v>
      </c>
      <c r="AC32" s="3184" t="s">
        <v>3084</v>
      </c>
      <c r="AD32" s="3184" t="s">
        <v>3184</v>
      </c>
      <c r="AE32" s="3184">
        <v>1446</v>
      </c>
      <c r="AF32" s="3184">
        <v>4820</v>
      </c>
      <c r="AG32" s="3184">
        <v>4820</v>
      </c>
      <c r="AH32" s="3184">
        <v>60.01</v>
      </c>
      <c r="AI32" s="3184">
        <v>60.01</v>
      </c>
      <c r="AJ32" s="3184">
        <v>300.06</v>
      </c>
      <c r="AK32" s="3184">
        <v>300.06</v>
      </c>
      <c r="AL32" s="3184" t="s">
        <v>2780</v>
      </c>
      <c r="AM32" s="3184" t="s">
        <v>2780</v>
      </c>
      <c r="AN32" s="3184">
        <v>0</v>
      </c>
      <c r="AO32" s="3184" t="s">
        <v>3086</v>
      </c>
      <c r="AP32" s="3184" t="s">
        <v>2780</v>
      </c>
      <c r="AQ32" s="3184" t="s">
        <v>2780</v>
      </c>
      <c r="AR32" s="3184" t="s">
        <v>2780</v>
      </c>
    </row>
    <row r="33" spans="1:44" s="3184" customFormat="1" ht="12.6">
      <c r="A33" s="3184" t="s">
        <v>3180</v>
      </c>
      <c r="B33" s="3184" t="s">
        <v>3072</v>
      </c>
      <c r="C33" s="3184" t="s">
        <v>3073</v>
      </c>
      <c r="D33" s="3184" t="s">
        <v>2995</v>
      </c>
      <c r="E33" s="3184" t="s">
        <v>2780</v>
      </c>
      <c r="F33" s="3184" t="s">
        <v>3180</v>
      </c>
      <c r="G33" s="3184" t="s">
        <v>3074</v>
      </c>
      <c r="H33" s="3184" t="s">
        <v>3206</v>
      </c>
      <c r="I33" s="3184" t="s">
        <v>3076</v>
      </c>
      <c r="J33" s="3184">
        <v>42448</v>
      </c>
      <c r="K33" s="3184">
        <v>127344</v>
      </c>
      <c r="L33" s="3184" t="s">
        <v>3182</v>
      </c>
      <c r="M33" s="3184" t="s">
        <v>2780</v>
      </c>
      <c r="N33" s="3184" t="s">
        <v>3149</v>
      </c>
      <c r="O33" s="3184" t="s">
        <v>2780</v>
      </c>
      <c r="P33" s="3184" t="s">
        <v>2780</v>
      </c>
      <c r="Q33" s="3184" t="s">
        <v>2780</v>
      </c>
      <c r="R33" s="3184" t="s">
        <v>2780</v>
      </c>
      <c r="S33" s="3184" t="s">
        <v>2780</v>
      </c>
      <c r="T33" s="3184" t="s">
        <v>2780</v>
      </c>
      <c r="U33" s="3184" t="s">
        <v>2780</v>
      </c>
      <c r="V33" s="3184" t="s">
        <v>2780</v>
      </c>
      <c r="W33" s="3184" t="s">
        <v>3129</v>
      </c>
      <c r="X33" s="3184" t="s">
        <v>3172</v>
      </c>
      <c r="Y33" s="3184" t="s">
        <v>3173</v>
      </c>
      <c r="Z33" s="3184" t="s">
        <v>3174</v>
      </c>
      <c r="AA33" s="3184" t="s">
        <v>3174</v>
      </c>
      <c r="AB33" s="3184" t="s">
        <v>3207</v>
      </c>
      <c r="AC33" s="3184" t="s">
        <v>3084</v>
      </c>
      <c r="AD33" s="3184" t="s">
        <v>3184</v>
      </c>
      <c r="AE33" s="3184">
        <v>1149</v>
      </c>
      <c r="AF33" s="3184">
        <v>3830</v>
      </c>
      <c r="AG33" s="3184">
        <v>3830</v>
      </c>
      <c r="AH33" s="3184">
        <v>60.15</v>
      </c>
      <c r="AI33" s="3184">
        <v>60.15</v>
      </c>
      <c r="AJ33" s="3184">
        <v>300.76</v>
      </c>
      <c r="AK33" s="3184">
        <v>300.75</v>
      </c>
      <c r="AL33" s="3184" t="s">
        <v>2780</v>
      </c>
      <c r="AM33" s="3184" t="s">
        <v>2780</v>
      </c>
      <c r="AN33" s="3184">
        <v>0</v>
      </c>
      <c r="AO33" s="3184" t="s">
        <v>3086</v>
      </c>
      <c r="AP33" s="3184" t="s">
        <v>2780</v>
      </c>
      <c r="AQ33" s="3184" t="s">
        <v>2780</v>
      </c>
      <c r="AR33" s="3184" t="s">
        <v>2780</v>
      </c>
    </row>
    <row r="34" spans="1:44" s="3184" customFormat="1" ht="12.6">
      <c r="A34" s="3184" t="s">
        <v>3117</v>
      </c>
      <c r="B34" s="3184" t="s">
        <v>3072</v>
      </c>
      <c r="C34" s="3184" t="s">
        <v>3073</v>
      </c>
      <c r="D34" s="3184" t="s">
        <v>2995</v>
      </c>
      <c r="E34" s="3184" t="s">
        <v>2780</v>
      </c>
      <c r="F34" s="3184" t="s">
        <v>3117</v>
      </c>
      <c r="G34" s="3184" t="s">
        <v>3074</v>
      </c>
      <c r="H34" s="3184" t="s">
        <v>3208</v>
      </c>
      <c r="I34" s="3184" t="s">
        <v>3076</v>
      </c>
      <c r="J34" s="3184">
        <v>9271</v>
      </c>
      <c r="K34" s="3184">
        <v>27813</v>
      </c>
      <c r="L34" s="3184" t="s">
        <v>3182</v>
      </c>
      <c r="M34" s="3184" t="s">
        <v>2780</v>
      </c>
      <c r="N34" s="3184" t="s">
        <v>3187</v>
      </c>
      <c r="O34" s="3184" t="s">
        <v>2780</v>
      </c>
      <c r="P34" s="3184" t="s">
        <v>2780</v>
      </c>
      <c r="Q34" s="3184" t="s">
        <v>2780</v>
      </c>
      <c r="R34" s="3184" t="s">
        <v>2780</v>
      </c>
      <c r="S34" s="3184" t="s">
        <v>2780</v>
      </c>
      <c r="T34" s="3184" t="s">
        <v>2780</v>
      </c>
      <c r="U34" s="3184" t="s">
        <v>2780</v>
      </c>
      <c r="V34" s="3184" t="s">
        <v>2780</v>
      </c>
      <c r="W34" s="3184" t="s">
        <v>3129</v>
      </c>
      <c r="X34" s="3184" t="s">
        <v>3209</v>
      </c>
      <c r="Y34" s="3184" t="s">
        <v>3172</v>
      </c>
      <c r="Z34" s="3184" t="s">
        <v>3210</v>
      </c>
      <c r="AA34" s="3184" t="s">
        <v>3210</v>
      </c>
      <c r="AB34" s="3184" t="s">
        <v>3211</v>
      </c>
      <c r="AC34" s="3184" t="s">
        <v>3084</v>
      </c>
      <c r="AD34" s="3184" t="s">
        <v>3212</v>
      </c>
      <c r="AE34" s="3184">
        <v>1002</v>
      </c>
      <c r="AF34" s="3184">
        <v>3340</v>
      </c>
      <c r="AG34" s="3184">
        <v>4440</v>
      </c>
      <c r="AH34" s="3184">
        <v>240.18</v>
      </c>
      <c r="AI34" s="3184">
        <v>319.27999999999997</v>
      </c>
      <c r="AJ34" s="3184">
        <v>1200.8699999999999</v>
      </c>
      <c r="AK34" s="3184">
        <v>1596.38</v>
      </c>
      <c r="AL34" s="3184" t="s">
        <v>2780</v>
      </c>
      <c r="AM34" s="3184" t="s">
        <v>2780</v>
      </c>
      <c r="AN34" s="3184">
        <v>32.93</v>
      </c>
      <c r="AO34" s="3184" t="s">
        <v>3086</v>
      </c>
      <c r="AP34" s="3184" t="s">
        <v>2780</v>
      </c>
      <c r="AQ34" s="3184" t="s">
        <v>2780</v>
      </c>
      <c r="AR34" s="3184" t="s">
        <v>2780</v>
      </c>
    </row>
    <row r="35" spans="1:44" s="3184" customFormat="1" ht="12.6">
      <c r="A35" s="3184" t="s">
        <v>3150</v>
      </c>
      <c r="B35" s="3184" t="s">
        <v>3072</v>
      </c>
      <c r="C35" s="3184" t="s">
        <v>3073</v>
      </c>
      <c r="D35" s="3184" t="s">
        <v>2995</v>
      </c>
      <c r="E35" s="3184" t="s">
        <v>2780</v>
      </c>
      <c r="F35" s="3184" t="s">
        <v>3150</v>
      </c>
      <c r="G35" s="3184" t="s">
        <v>3074</v>
      </c>
      <c r="H35" s="3184" t="s">
        <v>3213</v>
      </c>
      <c r="I35" s="3184" t="s">
        <v>3076</v>
      </c>
      <c r="J35" s="3184">
        <v>10538</v>
      </c>
      <c r="K35" s="3184">
        <v>26345</v>
      </c>
      <c r="L35" s="3184" t="s">
        <v>3127</v>
      </c>
      <c r="M35" s="3184" t="s">
        <v>2780</v>
      </c>
      <c r="N35" s="3184" t="s">
        <v>3128</v>
      </c>
      <c r="O35" s="3184" t="s">
        <v>2780</v>
      </c>
      <c r="P35" s="3184" t="s">
        <v>2780</v>
      </c>
      <c r="Q35" s="3184" t="s">
        <v>2780</v>
      </c>
      <c r="R35" s="3184" t="s">
        <v>2780</v>
      </c>
      <c r="S35" s="3184" t="s">
        <v>2780</v>
      </c>
      <c r="T35" s="3184" t="s">
        <v>2780</v>
      </c>
      <c r="U35" s="3184" t="s">
        <v>2780</v>
      </c>
      <c r="V35" s="3184" t="s">
        <v>2780</v>
      </c>
      <c r="W35" s="3184" t="s">
        <v>3129</v>
      </c>
      <c r="X35" s="3184" t="s">
        <v>3209</v>
      </c>
      <c r="Y35" s="3184" t="s">
        <v>3172</v>
      </c>
      <c r="Z35" s="3184" t="s">
        <v>3210</v>
      </c>
      <c r="AA35" s="3184" t="s">
        <v>3210</v>
      </c>
      <c r="AB35" s="3184" t="s">
        <v>3214</v>
      </c>
      <c r="AC35" s="3184" t="s">
        <v>3084</v>
      </c>
      <c r="AD35" s="3184" t="s">
        <v>3134</v>
      </c>
      <c r="AE35" s="3184">
        <v>1233</v>
      </c>
      <c r="AF35" s="3184">
        <v>4110</v>
      </c>
      <c r="AG35" s="3184">
        <v>4110</v>
      </c>
      <c r="AH35" s="3184">
        <v>260.01</v>
      </c>
      <c r="AI35" s="3184">
        <v>260.01</v>
      </c>
      <c r="AJ35" s="3184">
        <v>1560.06</v>
      </c>
      <c r="AK35" s="3184">
        <v>1560.06</v>
      </c>
      <c r="AL35" s="3184" t="s">
        <v>2780</v>
      </c>
      <c r="AM35" s="3184" t="s">
        <v>2780</v>
      </c>
      <c r="AN35" s="3184">
        <v>0</v>
      </c>
      <c r="AO35" s="3184" t="s">
        <v>3086</v>
      </c>
      <c r="AP35" s="3184" t="s">
        <v>2780</v>
      </c>
      <c r="AQ35" s="3184" t="s">
        <v>2780</v>
      </c>
      <c r="AR35" s="3184" t="s">
        <v>2780</v>
      </c>
    </row>
    <row r="36" spans="1:44" s="3184" customFormat="1" ht="12.6">
      <c r="A36" s="3184" t="s">
        <v>3215</v>
      </c>
      <c r="B36" s="3184" t="s">
        <v>3072</v>
      </c>
      <c r="C36" s="3184" t="s">
        <v>3073</v>
      </c>
      <c r="D36" s="3184" t="s">
        <v>2995</v>
      </c>
      <c r="E36" s="3184" t="s">
        <v>2780</v>
      </c>
      <c r="F36" s="3184" t="s">
        <v>3215</v>
      </c>
      <c r="G36" s="3184" t="s">
        <v>3074</v>
      </c>
      <c r="H36" s="3184" t="s">
        <v>3216</v>
      </c>
      <c r="I36" s="3184" t="s">
        <v>3076</v>
      </c>
      <c r="J36" s="3184">
        <v>32327</v>
      </c>
      <c r="K36" s="3184">
        <v>96981</v>
      </c>
      <c r="L36" s="3184" t="s">
        <v>3182</v>
      </c>
      <c r="M36" s="3184" t="s">
        <v>2780</v>
      </c>
      <c r="N36" s="3184" t="s">
        <v>3187</v>
      </c>
      <c r="O36" s="3184" t="s">
        <v>2780</v>
      </c>
      <c r="P36" s="3184" t="s">
        <v>2780</v>
      </c>
      <c r="Q36" s="3184" t="s">
        <v>2780</v>
      </c>
      <c r="R36" s="3184" t="s">
        <v>2780</v>
      </c>
      <c r="S36" s="3184" t="s">
        <v>2780</v>
      </c>
      <c r="T36" s="3184" t="s">
        <v>2780</v>
      </c>
      <c r="U36" s="3184" t="s">
        <v>2780</v>
      </c>
      <c r="V36" s="3184" t="s">
        <v>2780</v>
      </c>
      <c r="W36" s="3184" t="s">
        <v>3129</v>
      </c>
      <c r="X36" s="3184" t="s">
        <v>3209</v>
      </c>
      <c r="Y36" s="3184" t="s">
        <v>3172</v>
      </c>
      <c r="Z36" s="3184" t="s">
        <v>3210</v>
      </c>
      <c r="AA36" s="3184" t="s">
        <v>3210</v>
      </c>
      <c r="AB36" s="3184" t="s">
        <v>3217</v>
      </c>
      <c r="AC36" s="3184" t="s">
        <v>3084</v>
      </c>
      <c r="AD36" s="3184" t="s">
        <v>3212</v>
      </c>
      <c r="AE36" s="3184">
        <v>3492</v>
      </c>
      <c r="AF36" s="3184">
        <v>11640</v>
      </c>
      <c r="AG36" s="3184">
        <v>14540</v>
      </c>
      <c r="AH36" s="3184">
        <v>240.05</v>
      </c>
      <c r="AI36" s="3184">
        <v>299.85000000000002</v>
      </c>
      <c r="AJ36" s="3184">
        <v>1200.23</v>
      </c>
      <c r="AK36" s="3184">
        <v>1499.25</v>
      </c>
      <c r="AL36" s="3184" t="s">
        <v>2780</v>
      </c>
      <c r="AM36" s="3184" t="s">
        <v>2780</v>
      </c>
      <c r="AN36" s="3184">
        <v>24.91</v>
      </c>
      <c r="AO36" s="3184" t="s">
        <v>3086</v>
      </c>
      <c r="AP36" s="3184" t="s">
        <v>2780</v>
      </c>
      <c r="AQ36" s="3184" t="s">
        <v>2780</v>
      </c>
      <c r="AR36" s="3184" t="s">
        <v>2780</v>
      </c>
    </row>
    <row r="37" spans="1:44" s="3184" customFormat="1" ht="12.6">
      <c r="A37" s="3184" t="s">
        <v>3218</v>
      </c>
      <c r="B37" s="3184" t="s">
        <v>3072</v>
      </c>
      <c r="C37" s="3184" t="s">
        <v>3073</v>
      </c>
      <c r="D37" s="3184" t="s">
        <v>2995</v>
      </c>
      <c r="E37" s="3184" t="s">
        <v>2780</v>
      </c>
      <c r="F37" s="3184" t="s">
        <v>3218</v>
      </c>
      <c r="G37" s="3184" t="s">
        <v>3074</v>
      </c>
      <c r="H37" s="3184" t="s">
        <v>3219</v>
      </c>
      <c r="I37" s="3184" t="s">
        <v>3076</v>
      </c>
      <c r="J37" s="3184">
        <v>19135</v>
      </c>
      <c r="K37" s="3184">
        <v>57405</v>
      </c>
      <c r="L37" s="3184" t="s">
        <v>3182</v>
      </c>
      <c r="M37" s="3184" t="s">
        <v>2780</v>
      </c>
      <c r="N37" s="3184" t="s">
        <v>3187</v>
      </c>
      <c r="O37" s="3184" t="s">
        <v>2780</v>
      </c>
      <c r="P37" s="3184" t="s">
        <v>2780</v>
      </c>
      <c r="Q37" s="3184" t="s">
        <v>2780</v>
      </c>
      <c r="R37" s="3184" t="s">
        <v>2780</v>
      </c>
      <c r="S37" s="3184" t="s">
        <v>2780</v>
      </c>
      <c r="T37" s="3184" t="s">
        <v>2780</v>
      </c>
      <c r="U37" s="3184" t="s">
        <v>2780</v>
      </c>
      <c r="V37" s="3184" t="s">
        <v>2780</v>
      </c>
      <c r="W37" s="3184" t="s">
        <v>3129</v>
      </c>
      <c r="X37" s="3184" t="s">
        <v>3209</v>
      </c>
      <c r="Y37" s="3184" t="s">
        <v>3172</v>
      </c>
      <c r="Z37" s="3184" t="s">
        <v>3210</v>
      </c>
      <c r="AA37" s="3184" t="s">
        <v>3210</v>
      </c>
      <c r="AB37" s="3184" t="s">
        <v>3220</v>
      </c>
      <c r="AC37" s="3184" t="s">
        <v>3084</v>
      </c>
      <c r="AD37" s="3184" t="s">
        <v>3212</v>
      </c>
      <c r="AE37" s="3184">
        <v>2067</v>
      </c>
      <c r="AF37" s="3184">
        <v>6890</v>
      </c>
      <c r="AG37" s="3184">
        <v>8690</v>
      </c>
      <c r="AH37" s="3184">
        <v>240.05</v>
      </c>
      <c r="AI37" s="3184">
        <v>302.76</v>
      </c>
      <c r="AJ37" s="3184">
        <v>1200.24</v>
      </c>
      <c r="AK37" s="3184">
        <v>1513.8</v>
      </c>
      <c r="AL37" s="3184" t="s">
        <v>2780</v>
      </c>
      <c r="AM37" s="3184" t="s">
        <v>2780</v>
      </c>
      <c r="AN37" s="3184">
        <v>26.12</v>
      </c>
      <c r="AO37" s="3184" t="s">
        <v>3086</v>
      </c>
      <c r="AP37" s="3184" t="s">
        <v>2780</v>
      </c>
      <c r="AQ37" s="3184" t="s">
        <v>2780</v>
      </c>
      <c r="AR37" s="3184" t="s">
        <v>2780</v>
      </c>
    </row>
    <row r="38" spans="1:44" s="3184" customFormat="1" ht="12.6">
      <c r="A38" s="3184" t="s">
        <v>3117</v>
      </c>
      <c r="B38" s="3184" t="s">
        <v>3072</v>
      </c>
      <c r="C38" s="3184" t="s">
        <v>3073</v>
      </c>
      <c r="D38" s="3184" t="s">
        <v>2995</v>
      </c>
      <c r="E38" s="3184" t="s">
        <v>2780</v>
      </c>
      <c r="F38" s="3184" t="s">
        <v>3117</v>
      </c>
      <c r="G38" s="3184" t="s">
        <v>3074</v>
      </c>
      <c r="H38" s="3184" t="s">
        <v>3221</v>
      </c>
      <c r="I38" s="3184" t="s">
        <v>3076</v>
      </c>
      <c r="J38" s="3184">
        <v>66123</v>
      </c>
      <c r="K38" s="3184">
        <v>198369</v>
      </c>
      <c r="L38" s="3184" t="s">
        <v>3182</v>
      </c>
      <c r="M38" s="3184" t="s">
        <v>2780</v>
      </c>
      <c r="N38" s="3184" t="s">
        <v>3187</v>
      </c>
      <c r="O38" s="3184" t="s">
        <v>2780</v>
      </c>
      <c r="P38" s="3184" t="s">
        <v>2780</v>
      </c>
      <c r="Q38" s="3184" t="s">
        <v>2780</v>
      </c>
      <c r="R38" s="3184" t="s">
        <v>2780</v>
      </c>
      <c r="S38" s="3184" t="s">
        <v>2780</v>
      </c>
      <c r="T38" s="3184" t="s">
        <v>2780</v>
      </c>
      <c r="U38" s="3184" t="s">
        <v>2780</v>
      </c>
      <c r="V38" s="3184" t="s">
        <v>2780</v>
      </c>
      <c r="W38" s="3184" t="s">
        <v>3129</v>
      </c>
      <c r="X38" s="3184" t="s">
        <v>3209</v>
      </c>
      <c r="Y38" s="3184" t="s">
        <v>3172</v>
      </c>
      <c r="Z38" s="3184" t="s">
        <v>3210</v>
      </c>
      <c r="AA38" s="3184" t="s">
        <v>3210</v>
      </c>
      <c r="AB38" s="3184" t="s">
        <v>3222</v>
      </c>
      <c r="AC38" s="3184" t="s">
        <v>3084</v>
      </c>
      <c r="AD38" s="3184" t="s">
        <v>3212</v>
      </c>
      <c r="AE38" s="3184">
        <v>7143</v>
      </c>
      <c r="AF38" s="3184">
        <v>23810</v>
      </c>
      <c r="AG38" s="3184">
        <v>31810</v>
      </c>
      <c r="AH38" s="3184">
        <v>240.06</v>
      </c>
      <c r="AI38" s="3184">
        <v>320.72000000000003</v>
      </c>
      <c r="AJ38" s="3184">
        <v>1200.28</v>
      </c>
      <c r="AK38" s="3184">
        <v>1603.57</v>
      </c>
      <c r="AL38" s="3184" t="s">
        <v>2780</v>
      </c>
      <c r="AM38" s="3184" t="s">
        <v>2780</v>
      </c>
      <c r="AN38" s="3184">
        <v>33.6</v>
      </c>
      <c r="AO38" s="3184" t="s">
        <v>3086</v>
      </c>
      <c r="AP38" s="3184" t="s">
        <v>2780</v>
      </c>
      <c r="AQ38" s="3184" t="s">
        <v>2780</v>
      </c>
      <c r="AR38" s="3184" t="s">
        <v>2780</v>
      </c>
    </row>
    <row r="39" spans="1:44" s="3184" customFormat="1" ht="12.6">
      <c r="A39" s="3184" t="s">
        <v>3223</v>
      </c>
      <c r="B39" s="3184" t="s">
        <v>3072</v>
      </c>
      <c r="C39" s="3184" t="s">
        <v>3073</v>
      </c>
      <c r="D39" s="3184" t="s">
        <v>2995</v>
      </c>
      <c r="E39" s="3184" t="s">
        <v>2780</v>
      </c>
      <c r="F39" s="3184" t="s">
        <v>3223</v>
      </c>
      <c r="G39" s="3184" t="s">
        <v>3074</v>
      </c>
      <c r="H39" s="3184" t="s">
        <v>3224</v>
      </c>
      <c r="I39" s="3184" t="s">
        <v>3076</v>
      </c>
      <c r="J39" s="3184">
        <v>7460</v>
      </c>
      <c r="K39" s="3184">
        <v>22380</v>
      </c>
      <c r="L39" s="3184" t="s">
        <v>3182</v>
      </c>
      <c r="M39" s="3184" t="s">
        <v>2780</v>
      </c>
      <c r="N39" s="3184" t="s">
        <v>3187</v>
      </c>
      <c r="O39" s="3184" t="s">
        <v>2780</v>
      </c>
      <c r="P39" s="3184" t="s">
        <v>2780</v>
      </c>
      <c r="Q39" s="3184" t="s">
        <v>2780</v>
      </c>
      <c r="R39" s="3184" t="s">
        <v>2780</v>
      </c>
      <c r="S39" s="3184" t="s">
        <v>2780</v>
      </c>
      <c r="T39" s="3184" t="s">
        <v>2780</v>
      </c>
      <c r="U39" s="3184" t="s">
        <v>2780</v>
      </c>
      <c r="V39" s="3184" t="s">
        <v>2780</v>
      </c>
      <c r="W39" s="3184" t="s">
        <v>3129</v>
      </c>
      <c r="X39" s="3184" t="s">
        <v>3209</v>
      </c>
      <c r="Y39" s="3184" t="s">
        <v>3172</v>
      </c>
      <c r="Z39" s="3184" t="s">
        <v>3210</v>
      </c>
      <c r="AA39" s="3184" t="s">
        <v>3210</v>
      </c>
      <c r="AB39" s="3184" t="s">
        <v>3225</v>
      </c>
      <c r="AC39" s="3184" t="s">
        <v>3084</v>
      </c>
      <c r="AD39" s="3184" t="s">
        <v>3212</v>
      </c>
      <c r="AE39" s="3184">
        <v>807</v>
      </c>
      <c r="AF39" s="3184">
        <v>2690</v>
      </c>
      <c r="AG39" s="3184">
        <v>3140</v>
      </c>
      <c r="AH39" s="3184">
        <v>240.39</v>
      </c>
      <c r="AI39" s="3184">
        <v>280.61</v>
      </c>
      <c r="AJ39" s="3184">
        <v>1201.96</v>
      </c>
      <c r="AK39" s="3184">
        <v>1403.03</v>
      </c>
      <c r="AL39" s="3184" t="s">
        <v>2780</v>
      </c>
      <c r="AM39" s="3184" t="s">
        <v>2780</v>
      </c>
      <c r="AN39" s="3184">
        <v>16.73</v>
      </c>
      <c r="AO39" s="3184" t="s">
        <v>3086</v>
      </c>
      <c r="AP39" s="3184" t="s">
        <v>2780</v>
      </c>
      <c r="AQ39" s="3184" t="s">
        <v>2780</v>
      </c>
      <c r="AR39" s="3184" t="s">
        <v>2780</v>
      </c>
    </row>
    <row r="40" spans="1:44" s="3184" customFormat="1" ht="12.6">
      <c r="A40" s="3184" t="s">
        <v>3226</v>
      </c>
      <c r="B40" s="3184" t="s">
        <v>3072</v>
      </c>
      <c r="C40" s="3184" t="s">
        <v>3073</v>
      </c>
      <c r="D40" s="3184" t="s">
        <v>2995</v>
      </c>
      <c r="E40" s="3184" t="s">
        <v>2780</v>
      </c>
      <c r="F40" s="3184" t="s">
        <v>3226</v>
      </c>
      <c r="G40" s="3184" t="s">
        <v>3074</v>
      </c>
      <c r="H40" s="3184" t="s">
        <v>3227</v>
      </c>
      <c r="I40" s="3184" t="s">
        <v>3076</v>
      </c>
      <c r="J40" s="3184">
        <v>21371</v>
      </c>
      <c r="K40" s="3184">
        <v>53427.5</v>
      </c>
      <c r="L40" s="3184" t="s">
        <v>3127</v>
      </c>
      <c r="M40" s="3184" t="s">
        <v>2780</v>
      </c>
      <c r="N40" s="3184" t="s">
        <v>3128</v>
      </c>
      <c r="O40" s="3184" t="s">
        <v>2780</v>
      </c>
      <c r="P40" s="3184" t="s">
        <v>2780</v>
      </c>
      <c r="Q40" s="3184" t="s">
        <v>2780</v>
      </c>
      <c r="R40" s="3184" t="s">
        <v>2780</v>
      </c>
      <c r="S40" s="3184" t="s">
        <v>2780</v>
      </c>
      <c r="T40" s="3184" t="s">
        <v>2780</v>
      </c>
      <c r="U40" s="3184" t="s">
        <v>2780</v>
      </c>
      <c r="V40" s="3184" t="s">
        <v>2780</v>
      </c>
      <c r="W40" s="3184" t="s">
        <v>3129</v>
      </c>
      <c r="X40" s="3184" t="s">
        <v>3209</v>
      </c>
      <c r="Y40" s="3184" t="s">
        <v>3172</v>
      </c>
      <c r="Z40" s="3184" t="s">
        <v>3210</v>
      </c>
      <c r="AA40" s="3184" t="s">
        <v>3210</v>
      </c>
      <c r="AB40" s="3184" t="s">
        <v>3228</v>
      </c>
      <c r="AC40" s="3184" t="s">
        <v>3084</v>
      </c>
      <c r="AD40" s="3184" t="s">
        <v>3146</v>
      </c>
      <c r="AE40" s="3184">
        <v>1443</v>
      </c>
      <c r="AF40" s="3184">
        <v>4810</v>
      </c>
      <c r="AG40" s="3184">
        <v>4810</v>
      </c>
      <c r="AH40" s="3184">
        <v>150.05000000000001</v>
      </c>
      <c r="AI40" s="3184">
        <v>150.05000000000001</v>
      </c>
      <c r="AJ40" s="3184">
        <v>900.28</v>
      </c>
      <c r="AK40" s="3184">
        <v>900.28</v>
      </c>
      <c r="AL40" s="3184" t="s">
        <v>2780</v>
      </c>
      <c r="AM40" s="3184" t="s">
        <v>2780</v>
      </c>
      <c r="AN40" s="3184">
        <v>0</v>
      </c>
      <c r="AO40" s="3184" t="s">
        <v>3086</v>
      </c>
      <c r="AP40" s="3184" t="s">
        <v>2780</v>
      </c>
      <c r="AQ40" s="3184" t="s">
        <v>2780</v>
      </c>
      <c r="AR40" s="3184" t="s">
        <v>2780</v>
      </c>
    </row>
    <row r="41" spans="1:44" s="3184" customFormat="1" ht="12.6">
      <c r="A41" s="3184" t="s">
        <v>3144</v>
      </c>
      <c r="B41" s="3184" t="s">
        <v>3072</v>
      </c>
      <c r="C41" s="3184" t="s">
        <v>3073</v>
      </c>
      <c r="D41" s="3184" t="s">
        <v>2995</v>
      </c>
      <c r="E41" s="3184" t="s">
        <v>2780</v>
      </c>
      <c r="F41" s="3184" t="s">
        <v>3144</v>
      </c>
      <c r="G41" s="3184" t="s">
        <v>3074</v>
      </c>
      <c r="H41" s="3184" t="s">
        <v>3229</v>
      </c>
      <c r="I41" s="3184" t="s">
        <v>3076</v>
      </c>
      <c r="J41" s="3184">
        <v>10729</v>
      </c>
      <c r="K41" s="3184">
        <v>32187</v>
      </c>
      <c r="L41" s="3184" t="s">
        <v>3148</v>
      </c>
      <c r="M41" s="3184" t="s">
        <v>2780</v>
      </c>
      <c r="N41" s="3184" t="s">
        <v>3128</v>
      </c>
      <c r="O41" s="3184" t="s">
        <v>2780</v>
      </c>
      <c r="P41" s="3184" t="s">
        <v>2780</v>
      </c>
      <c r="Q41" s="3184" t="s">
        <v>2780</v>
      </c>
      <c r="R41" s="3184" t="s">
        <v>2780</v>
      </c>
      <c r="S41" s="3184" t="s">
        <v>2780</v>
      </c>
      <c r="T41" s="3184" t="s">
        <v>2780</v>
      </c>
      <c r="U41" s="3184" t="s">
        <v>2780</v>
      </c>
      <c r="V41" s="3184" t="s">
        <v>2780</v>
      </c>
      <c r="W41" s="3184" t="s">
        <v>3129</v>
      </c>
      <c r="X41" s="3184" t="s">
        <v>3230</v>
      </c>
      <c r="Y41" s="3184" t="s">
        <v>3231</v>
      </c>
      <c r="Z41" s="3184" t="s">
        <v>3232</v>
      </c>
      <c r="AA41" s="3184" t="s">
        <v>3232</v>
      </c>
      <c r="AB41" s="3184" t="s">
        <v>3233</v>
      </c>
      <c r="AC41" s="3184" t="s">
        <v>3084</v>
      </c>
      <c r="AD41" s="3184" t="s">
        <v>3146</v>
      </c>
      <c r="AE41" s="3184">
        <v>484</v>
      </c>
      <c r="AF41" s="3184">
        <v>2420</v>
      </c>
      <c r="AG41" s="3184">
        <v>2420</v>
      </c>
      <c r="AH41" s="3184">
        <v>150.37</v>
      </c>
      <c r="AI41" s="3184">
        <v>150.37</v>
      </c>
      <c r="AJ41" s="3184">
        <v>751.85</v>
      </c>
      <c r="AK41" s="3184">
        <v>751.86</v>
      </c>
      <c r="AL41" s="3184" t="s">
        <v>2780</v>
      </c>
      <c r="AM41" s="3184" t="s">
        <v>2780</v>
      </c>
      <c r="AN41" s="3184">
        <v>0</v>
      </c>
      <c r="AO41" s="3184" t="s">
        <v>3086</v>
      </c>
      <c r="AP41" s="3184" t="s">
        <v>2780</v>
      </c>
      <c r="AQ41" s="3184" t="s">
        <v>2780</v>
      </c>
      <c r="AR41" s="3184" t="s">
        <v>2780</v>
      </c>
    </row>
    <row r="42" spans="1:44" s="3184" customFormat="1" ht="12.6">
      <c r="A42" s="3184" t="s">
        <v>3144</v>
      </c>
      <c r="B42" s="3184" t="s">
        <v>3072</v>
      </c>
      <c r="C42" s="3184" t="s">
        <v>3073</v>
      </c>
      <c r="D42" s="3184" t="s">
        <v>2995</v>
      </c>
      <c r="E42" s="3184" t="s">
        <v>2780</v>
      </c>
      <c r="F42" s="3184" t="s">
        <v>3144</v>
      </c>
      <c r="G42" s="3184" t="s">
        <v>3074</v>
      </c>
      <c r="H42" s="3184" t="s">
        <v>3234</v>
      </c>
      <c r="I42" s="3184" t="s">
        <v>3076</v>
      </c>
      <c r="J42" s="3184">
        <v>32484</v>
      </c>
      <c r="K42" s="3184">
        <v>97452</v>
      </c>
      <c r="L42" s="3184" t="s">
        <v>3148</v>
      </c>
      <c r="M42" s="3184" t="s">
        <v>2780</v>
      </c>
      <c r="N42" s="3184" t="s">
        <v>3128</v>
      </c>
      <c r="O42" s="3184" t="s">
        <v>2780</v>
      </c>
      <c r="P42" s="3184" t="s">
        <v>2780</v>
      </c>
      <c r="Q42" s="3184" t="s">
        <v>2780</v>
      </c>
      <c r="R42" s="3184" t="s">
        <v>2780</v>
      </c>
      <c r="S42" s="3184" t="s">
        <v>2780</v>
      </c>
      <c r="T42" s="3184" t="s">
        <v>2780</v>
      </c>
      <c r="U42" s="3184" t="s">
        <v>2780</v>
      </c>
      <c r="V42" s="3184" t="s">
        <v>2780</v>
      </c>
      <c r="W42" s="3184" t="s">
        <v>3129</v>
      </c>
      <c r="X42" s="3184" t="s">
        <v>3230</v>
      </c>
      <c r="Y42" s="3184" t="s">
        <v>3231</v>
      </c>
      <c r="Z42" s="3184" t="s">
        <v>3232</v>
      </c>
      <c r="AA42" s="3184" t="s">
        <v>3232</v>
      </c>
      <c r="AB42" s="3184" t="s">
        <v>3235</v>
      </c>
      <c r="AC42" s="3184" t="s">
        <v>3084</v>
      </c>
      <c r="AD42" s="3184" t="s">
        <v>3146</v>
      </c>
      <c r="AE42" s="3184">
        <v>1462</v>
      </c>
      <c r="AF42" s="3184">
        <v>7310</v>
      </c>
      <c r="AG42" s="3184">
        <v>7310</v>
      </c>
      <c r="AH42" s="3184">
        <v>150.02000000000001</v>
      </c>
      <c r="AI42" s="3184">
        <v>150.02000000000001</v>
      </c>
      <c r="AJ42" s="3184">
        <v>750.11</v>
      </c>
      <c r="AK42" s="3184">
        <v>750.11</v>
      </c>
      <c r="AL42" s="3184" t="s">
        <v>2780</v>
      </c>
      <c r="AM42" s="3184" t="s">
        <v>2780</v>
      </c>
      <c r="AN42" s="3184">
        <v>0</v>
      </c>
      <c r="AO42" s="3184" t="s">
        <v>3086</v>
      </c>
      <c r="AP42" s="3184" t="s">
        <v>2780</v>
      </c>
      <c r="AQ42" s="3184" t="s">
        <v>2780</v>
      </c>
      <c r="AR42" s="3184" t="s">
        <v>2780</v>
      </c>
    </row>
    <row r="43" spans="1:44" s="3184" customFormat="1" ht="12.6">
      <c r="A43" s="3184" t="s">
        <v>3144</v>
      </c>
      <c r="B43" s="3184" t="s">
        <v>3072</v>
      </c>
      <c r="C43" s="3184" t="s">
        <v>3073</v>
      </c>
      <c r="D43" s="3184" t="s">
        <v>2995</v>
      </c>
      <c r="E43" s="3184" t="s">
        <v>2780</v>
      </c>
      <c r="F43" s="3184" t="s">
        <v>3144</v>
      </c>
      <c r="G43" s="3184" t="s">
        <v>3074</v>
      </c>
      <c r="H43" s="3184" t="s">
        <v>3236</v>
      </c>
      <c r="I43" s="3184" t="s">
        <v>3076</v>
      </c>
      <c r="J43" s="3184">
        <v>42183</v>
      </c>
      <c r="K43" s="3184">
        <v>126549</v>
      </c>
      <c r="L43" s="3184" t="s">
        <v>3148</v>
      </c>
      <c r="M43" s="3184" t="s">
        <v>2780</v>
      </c>
      <c r="N43" s="3184" t="s">
        <v>3128</v>
      </c>
      <c r="O43" s="3184" t="s">
        <v>2780</v>
      </c>
      <c r="P43" s="3184" t="s">
        <v>2780</v>
      </c>
      <c r="Q43" s="3184" t="s">
        <v>2780</v>
      </c>
      <c r="R43" s="3184" t="s">
        <v>2780</v>
      </c>
      <c r="S43" s="3184" t="s">
        <v>2780</v>
      </c>
      <c r="T43" s="3184" t="s">
        <v>2780</v>
      </c>
      <c r="U43" s="3184" t="s">
        <v>2780</v>
      </c>
      <c r="V43" s="3184" t="s">
        <v>2780</v>
      </c>
      <c r="W43" s="3184" t="s">
        <v>3129</v>
      </c>
      <c r="X43" s="3184" t="s">
        <v>3230</v>
      </c>
      <c r="Y43" s="3184" t="s">
        <v>3231</v>
      </c>
      <c r="Z43" s="3184" t="s">
        <v>3232</v>
      </c>
      <c r="AA43" s="3184" t="s">
        <v>3232</v>
      </c>
      <c r="AB43" s="3184" t="s">
        <v>3237</v>
      </c>
      <c r="AC43" s="3184" t="s">
        <v>3084</v>
      </c>
      <c r="AD43" s="3184" t="s">
        <v>3146</v>
      </c>
      <c r="AE43" s="3184">
        <v>1900</v>
      </c>
      <c r="AF43" s="3184">
        <v>9500</v>
      </c>
      <c r="AG43" s="3184">
        <v>9500</v>
      </c>
      <c r="AH43" s="3184">
        <v>150.13999999999999</v>
      </c>
      <c r="AI43" s="3184">
        <v>150.13999999999999</v>
      </c>
      <c r="AJ43" s="3184">
        <v>750.69</v>
      </c>
      <c r="AK43" s="3184">
        <v>750.7</v>
      </c>
      <c r="AL43" s="3184" t="s">
        <v>2780</v>
      </c>
      <c r="AM43" s="3184" t="s">
        <v>2780</v>
      </c>
      <c r="AN43" s="3184">
        <v>0</v>
      </c>
      <c r="AO43" s="3184" t="s">
        <v>3086</v>
      </c>
      <c r="AP43" s="3184" t="s">
        <v>2780</v>
      </c>
      <c r="AQ43" s="3184" t="s">
        <v>2780</v>
      </c>
      <c r="AR43" s="3184" t="s">
        <v>2780</v>
      </c>
    </row>
    <row r="44" spans="1:44" s="3184" customFormat="1" ht="12.6">
      <c r="A44" s="3184" t="s">
        <v>3144</v>
      </c>
      <c r="B44" s="3184" t="s">
        <v>3072</v>
      </c>
      <c r="C44" s="3184" t="s">
        <v>3073</v>
      </c>
      <c r="D44" s="3184" t="s">
        <v>2995</v>
      </c>
      <c r="E44" s="3184" t="s">
        <v>2780</v>
      </c>
      <c r="F44" s="3184" t="s">
        <v>3144</v>
      </c>
      <c r="G44" s="3184" t="s">
        <v>3074</v>
      </c>
      <c r="H44" s="3184" t="s">
        <v>3238</v>
      </c>
      <c r="I44" s="3184" t="s">
        <v>3076</v>
      </c>
      <c r="J44" s="3184">
        <v>21232</v>
      </c>
      <c r="K44" s="3184">
        <v>63696</v>
      </c>
      <c r="L44" s="3184" t="s">
        <v>3148</v>
      </c>
      <c r="M44" s="3184" t="s">
        <v>2780</v>
      </c>
      <c r="N44" s="3184" t="s">
        <v>3128</v>
      </c>
      <c r="O44" s="3184" t="s">
        <v>2780</v>
      </c>
      <c r="P44" s="3184" t="s">
        <v>2780</v>
      </c>
      <c r="Q44" s="3184" t="s">
        <v>2780</v>
      </c>
      <c r="R44" s="3184" t="s">
        <v>2780</v>
      </c>
      <c r="S44" s="3184" t="s">
        <v>2780</v>
      </c>
      <c r="T44" s="3184" t="s">
        <v>2780</v>
      </c>
      <c r="U44" s="3184" t="s">
        <v>2780</v>
      </c>
      <c r="V44" s="3184" t="s">
        <v>2780</v>
      </c>
      <c r="W44" s="3184" t="s">
        <v>3129</v>
      </c>
      <c r="X44" s="3184" t="s">
        <v>3230</v>
      </c>
      <c r="Y44" s="3184" t="s">
        <v>3231</v>
      </c>
      <c r="Z44" s="3184" t="s">
        <v>3232</v>
      </c>
      <c r="AA44" s="3184" t="s">
        <v>3232</v>
      </c>
      <c r="AB44" s="3184" t="s">
        <v>3239</v>
      </c>
      <c r="AC44" s="3184" t="s">
        <v>3084</v>
      </c>
      <c r="AD44" s="3184" t="s">
        <v>3146</v>
      </c>
      <c r="AE44" s="3184">
        <v>956</v>
      </c>
      <c r="AF44" s="3184">
        <v>4780</v>
      </c>
      <c r="AG44" s="3184">
        <v>4780</v>
      </c>
      <c r="AH44" s="3184">
        <v>150.09</v>
      </c>
      <c r="AI44" s="3184">
        <v>150.09</v>
      </c>
      <c r="AJ44" s="3184">
        <v>750.43</v>
      </c>
      <c r="AK44" s="3184">
        <v>750.44</v>
      </c>
      <c r="AL44" s="3184" t="s">
        <v>2780</v>
      </c>
      <c r="AM44" s="3184" t="s">
        <v>2780</v>
      </c>
      <c r="AN44" s="3184">
        <v>0</v>
      </c>
      <c r="AO44" s="3184" t="s">
        <v>3086</v>
      </c>
      <c r="AP44" s="3184" t="s">
        <v>2780</v>
      </c>
      <c r="AQ44" s="3184" t="s">
        <v>2780</v>
      </c>
      <c r="AR44" s="3184" t="s">
        <v>2780</v>
      </c>
    </row>
    <row r="45" spans="1:44" s="3184" customFormat="1" ht="12.6">
      <c r="A45" s="3184" t="s">
        <v>3144</v>
      </c>
      <c r="B45" s="3184" t="s">
        <v>3072</v>
      </c>
      <c r="C45" s="3184" t="s">
        <v>3073</v>
      </c>
      <c r="D45" s="3184" t="s">
        <v>2995</v>
      </c>
      <c r="E45" s="3184" t="s">
        <v>2780</v>
      </c>
      <c r="F45" s="3184" t="s">
        <v>3144</v>
      </c>
      <c r="G45" s="3184" t="s">
        <v>3074</v>
      </c>
      <c r="H45" s="3184" t="s">
        <v>3240</v>
      </c>
      <c r="I45" s="3184" t="s">
        <v>3076</v>
      </c>
      <c r="J45" s="3184">
        <v>31570</v>
      </c>
      <c r="K45" s="3184">
        <v>94710</v>
      </c>
      <c r="L45" s="3184" t="s">
        <v>3148</v>
      </c>
      <c r="M45" s="3184" t="s">
        <v>2780</v>
      </c>
      <c r="N45" s="3184" t="s">
        <v>3128</v>
      </c>
      <c r="O45" s="3184" t="s">
        <v>2780</v>
      </c>
      <c r="P45" s="3184" t="s">
        <v>2780</v>
      </c>
      <c r="Q45" s="3184" t="s">
        <v>2780</v>
      </c>
      <c r="R45" s="3184" t="s">
        <v>2780</v>
      </c>
      <c r="S45" s="3184" t="s">
        <v>2780</v>
      </c>
      <c r="T45" s="3184" t="s">
        <v>2780</v>
      </c>
      <c r="U45" s="3184" t="s">
        <v>2780</v>
      </c>
      <c r="V45" s="3184" t="s">
        <v>2780</v>
      </c>
      <c r="W45" s="3184" t="s">
        <v>3129</v>
      </c>
      <c r="X45" s="3184" t="s">
        <v>3230</v>
      </c>
      <c r="Y45" s="3184" t="s">
        <v>3231</v>
      </c>
      <c r="Z45" s="3184" t="s">
        <v>3232</v>
      </c>
      <c r="AA45" s="3184" t="s">
        <v>3232</v>
      </c>
      <c r="AB45" s="3184" t="s">
        <v>3241</v>
      </c>
      <c r="AC45" s="3184" t="s">
        <v>3084</v>
      </c>
      <c r="AD45" s="3184" t="s">
        <v>3146</v>
      </c>
      <c r="AE45" s="3184">
        <v>1422</v>
      </c>
      <c r="AF45" s="3184">
        <v>7110</v>
      </c>
      <c r="AG45" s="3184">
        <v>7110</v>
      </c>
      <c r="AH45" s="3184">
        <v>150.13999999999999</v>
      </c>
      <c r="AI45" s="3184">
        <v>150.13999999999999</v>
      </c>
      <c r="AJ45" s="3184">
        <v>750.71</v>
      </c>
      <c r="AK45" s="3184">
        <v>750.71</v>
      </c>
      <c r="AL45" s="3184" t="s">
        <v>2780</v>
      </c>
      <c r="AM45" s="3184" t="s">
        <v>2780</v>
      </c>
      <c r="AN45" s="3184">
        <v>0</v>
      </c>
      <c r="AO45" s="3184" t="s">
        <v>3086</v>
      </c>
      <c r="AP45" s="3184" t="s">
        <v>2780</v>
      </c>
      <c r="AQ45" s="3184" t="s">
        <v>2780</v>
      </c>
      <c r="AR45" s="3184" t="s">
        <v>2780</v>
      </c>
    </row>
    <row r="46" spans="1:44" s="3184" customFormat="1" ht="12.6">
      <c r="A46" s="3184" t="s">
        <v>3144</v>
      </c>
      <c r="B46" s="3184" t="s">
        <v>3072</v>
      </c>
      <c r="C46" s="3184" t="s">
        <v>3073</v>
      </c>
      <c r="D46" s="3184" t="s">
        <v>2995</v>
      </c>
      <c r="E46" s="3184" t="s">
        <v>2780</v>
      </c>
      <c r="F46" s="3184" t="s">
        <v>3144</v>
      </c>
      <c r="G46" s="3184" t="s">
        <v>3074</v>
      </c>
      <c r="H46" s="3184" t="s">
        <v>3242</v>
      </c>
      <c r="I46" s="3184" t="s">
        <v>3076</v>
      </c>
      <c r="J46" s="3184">
        <v>66652</v>
      </c>
      <c r="K46" s="3184">
        <v>199956</v>
      </c>
      <c r="L46" s="3184" t="s">
        <v>3148</v>
      </c>
      <c r="M46" s="3184" t="s">
        <v>2780</v>
      </c>
      <c r="N46" s="3184" t="s">
        <v>3128</v>
      </c>
      <c r="O46" s="3184" t="s">
        <v>2780</v>
      </c>
      <c r="P46" s="3184" t="s">
        <v>2780</v>
      </c>
      <c r="Q46" s="3184" t="s">
        <v>2780</v>
      </c>
      <c r="R46" s="3184" t="s">
        <v>2780</v>
      </c>
      <c r="S46" s="3184" t="s">
        <v>2780</v>
      </c>
      <c r="T46" s="3184" t="s">
        <v>2780</v>
      </c>
      <c r="U46" s="3184" t="s">
        <v>2780</v>
      </c>
      <c r="V46" s="3184" t="s">
        <v>2780</v>
      </c>
      <c r="W46" s="3184" t="s">
        <v>3129</v>
      </c>
      <c r="X46" s="3184" t="s">
        <v>3230</v>
      </c>
      <c r="Y46" s="3184" t="s">
        <v>3231</v>
      </c>
      <c r="Z46" s="3184" t="s">
        <v>3232</v>
      </c>
      <c r="AA46" s="3184" t="s">
        <v>3232</v>
      </c>
      <c r="AB46" s="3184" t="s">
        <v>3243</v>
      </c>
      <c r="AC46" s="3184" t="s">
        <v>3084</v>
      </c>
      <c r="AD46" s="3184" t="s">
        <v>3146</v>
      </c>
      <c r="AE46" s="3184">
        <v>3000</v>
      </c>
      <c r="AF46" s="3184">
        <v>15000</v>
      </c>
      <c r="AG46" s="3184">
        <v>15000</v>
      </c>
      <c r="AH46" s="3184">
        <v>150.03</v>
      </c>
      <c r="AI46" s="3184">
        <v>150.03</v>
      </c>
      <c r="AJ46" s="3184">
        <v>750.16</v>
      </c>
      <c r="AK46" s="3184">
        <v>750.16</v>
      </c>
      <c r="AL46" s="3184" t="s">
        <v>2780</v>
      </c>
      <c r="AM46" s="3184" t="s">
        <v>2780</v>
      </c>
      <c r="AN46" s="3184">
        <v>0</v>
      </c>
      <c r="AO46" s="3184" t="s">
        <v>3086</v>
      </c>
      <c r="AP46" s="3184" t="s">
        <v>2780</v>
      </c>
      <c r="AQ46" s="3184" t="s">
        <v>2780</v>
      </c>
      <c r="AR46" s="3184" t="s">
        <v>2780</v>
      </c>
    </row>
    <row r="47" spans="1:44" s="3184" customFormat="1" ht="12.6">
      <c r="A47" s="3184" t="s">
        <v>3244</v>
      </c>
      <c r="B47" s="3184" t="s">
        <v>3072</v>
      </c>
      <c r="C47" s="3184" t="s">
        <v>3073</v>
      </c>
      <c r="D47" s="3184" t="s">
        <v>2995</v>
      </c>
      <c r="E47" s="3184" t="s">
        <v>2780</v>
      </c>
      <c r="F47" s="3184" t="s">
        <v>3244</v>
      </c>
      <c r="G47" s="3184" t="s">
        <v>3074</v>
      </c>
      <c r="H47" s="3184" t="s">
        <v>3245</v>
      </c>
      <c r="I47" s="3184" t="s">
        <v>3076</v>
      </c>
      <c r="J47" s="3184">
        <v>26701</v>
      </c>
      <c r="K47" s="3184">
        <v>64082.400000000001</v>
      </c>
      <c r="L47" s="3184" t="s">
        <v>3246</v>
      </c>
      <c r="M47" s="3184" t="s">
        <v>2780</v>
      </c>
      <c r="N47" s="3184" t="s">
        <v>3187</v>
      </c>
      <c r="O47" s="3184" t="s">
        <v>2780</v>
      </c>
      <c r="P47" s="3184" t="s">
        <v>2780</v>
      </c>
      <c r="Q47" s="3184" t="s">
        <v>2780</v>
      </c>
      <c r="R47" s="3184" t="s">
        <v>2780</v>
      </c>
      <c r="S47" s="3184" t="s">
        <v>2780</v>
      </c>
      <c r="T47" s="3184" t="s">
        <v>2780</v>
      </c>
      <c r="U47" s="3184" t="s">
        <v>2780</v>
      </c>
      <c r="V47" s="3184" t="s">
        <v>2780</v>
      </c>
      <c r="W47" s="3184" t="s">
        <v>3129</v>
      </c>
      <c r="X47" s="3184" t="s">
        <v>3247</v>
      </c>
      <c r="Y47" s="3184" t="s">
        <v>3248</v>
      </c>
      <c r="Z47" s="3184" t="s">
        <v>3249</v>
      </c>
      <c r="AA47" s="3184" t="s">
        <v>3249</v>
      </c>
      <c r="AB47" s="3184" t="s">
        <v>3250</v>
      </c>
      <c r="AC47" s="3184" t="s">
        <v>3084</v>
      </c>
      <c r="AD47" s="3184" t="s">
        <v>3134</v>
      </c>
      <c r="AE47" s="3184">
        <v>2406</v>
      </c>
      <c r="AF47" s="3184">
        <v>8020</v>
      </c>
      <c r="AG47" s="3184">
        <v>8020</v>
      </c>
      <c r="AH47" s="3184">
        <v>200.24</v>
      </c>
      <c r="AI47" s="3184">
        <v>200.24</v>
      </c>
      <c r="AJ47" s="3184">
        <v>1251.51</v>
      </c>
      <c r="AK47" s="3184">
        <v>1251.5</v>
      </c>
      <c r="AL47" s="3184" t="s">
        <v>2780</v>
      </c>
      <c r="AM47" s="3184" t="s">
        <v>2780</v>
      </c>
      <c r="AN47" s="3184">
        <v>0</v>
      </c>
      <c r="AO47" s="3184" t="s">
        <v>3086</v>
      </c>
      <c r="AP47" s="3184" t="s">
        <v>2780</v>
      </c>
      <c r="AQ47" s="3184" t="s">
        <v>2780</v>
      </c>
      <c r="AR47" s="3184" t="s">
        <v>2780</v>
      </c>
    </row>
    <row r="48" spans="1:44" s="3184" customFormat="1" ht="12.6">
      <c r="A48" s="3184" t="s">
        <v>3251</v>
      </c>
      <c r="B48" s="3184" t="s">
        <v>3072</v>
      </c>
      <c r="C48" s="3184" t="s">
        <v>3073</v>
      </c>
      <c r="D48" s="3184" t="s">
        <v>2995</v>
      </c>
      <c r="E48" s="3184" t="s">
        <v>2780</v>
      </c>
      <c r="F48" s="3184" t="s">
        <v>3251</v>
      </c>
      <c r="G48" s="3184" t="s">
        <v>3074</v>
      </c>
      <c r="H48" s="3184" t="s">
        <v>3252</v>
      </c>
      <c r="I48" s="3184" t="s">
        <v>3076</v>
      </c>
      <c r="J48" s="3184">
        <v>25272</v>
      </c>
      <c r="K48" s="3184">
        <v>50544</v>
      </c>
      <c r="L48" s="3184" t="s">
        <v>3253</v>
      </c>
      <c r="M48" s="3184" t="s">
        <v>2780</v>
      </c>
      <c r="N48" s="3184" t="s">
        <v>3128</v>
      </c>
      <c r="O48" s="3184" t="s">
        <v>2780</v>
      </c>
      <c r="P48" s="3184" t="s">
        <v>2780</v>
      </c>
      <c r="Q48" s="3184" t="s">
        <v>2780</v>
      </c>
      <c r="R48" s="3184" t="s">
        <v>2780</v>
      </c>
      <c r="S48" s="3184" t="s">
        <v>2780</v>
      </c>
      <c r="T48" s="3184" t="s">
        <v>2780</v>
      </c>
      <c r="U48" s="3184" t="s">
        <v>2780</v>
      </c>
      <c r="V48" s="3184" t="s">
        <v>2780</v>
      </c>
      <c r="W48" s="3184" t="s">
        <v>3129</v>
      </c>
      <c r="X48" s="3184" t="s">
        <v>3247</v>
      </c>
      <c r="Y48" s="3184" t="s">
        <v>3248</v>
      </c>
      <c r="Z48" s="3184" t="s">
        <v>3249</v>
      </c>
      <c r="AA48" s="3184" t="s">
        <v>3249</v>
      </c>
      <c r="AB48" s="3184" t="s">
        <v>3254</v>
      </c>
      <c r="AC48" s="3184" t="s">
        <v>3084</v>
      </c>
      <c r="AD48" s="3184" t="s">
        <v>3134</v>
      </c>
      <c r="AE48" s="3184">
        <v>2730</v>
      </c>
      <c r="AF48" s="3184">
        <v>9100</v>
      </c>
      <c r="AG48" s="3184">
        <v>9100</v>
      </c>
      <c r="AH48" s="3184">
        <v>240.05</v>
      </c>
      <c r="AI48" s="3184">
        <v>240.05</v>
      </c>
      <c r="AJ48" s="3184">
        <v>1800.41</v>
      </c>
      <c r="AK48" s="3184">
        <v>1800.41</v>
      </c>
      <c r="AL48" s="3184" t="s">
        <v>2780</v>
      </c>
      <c r="AM48" s="3184" t="s">
        <v>2780</v>
      </c>
      <c r="AN48" s="3184">
        <v>0</v>
      </c>
      <c r="AO48" s="3184" t="s">
        <v>3086</v>
      </c>
      <c r="AP48" s="3184" t="s">
        <v>2780</v>
      </c>
      <c r="AQ48" s="3184" t="s">
        <v>2780</v>
      </c>
      <c r="AR48" s="3184" t="s">
        <v>2780</v>
      </c>
    </row>
    <row r="49" spans="1:44" s="3184" customFormat="1" ht="12.6">
      <c r="A49" s="3184" t="s">
        <v>3110</v>
      </c>
      <c r="B49" s="3184" t="s">
        <v>3072</v>
      </c>
      <c r="C49" s="3184" t="s">
        <v>3073</v>
      </c>
      <c r="D49" s="3184" t="s">
        <v>2995</v>
      </c>
      <c r="E49" s="3184" t="s">
        <v>2780</v>
      </c>
      <c r="F49" s="3184" t="s">
        <v>3110</v>
      </c>
      <c r="G49" s="3184" t="s">
        <v>3074</v>
      </c>
      <c r="H49" s="3184" t="s">
        <v>3255</v>
      </c>
      <c r="I49" s="3184" t="s">
        <v>3076</v>
      </c>
      <c r="J49" s="3184">
        <v>27758</v>
      </c>
      <c r="K49" s="3184">
        <v>66619.199999999997</v>
      </c>
      <c r="L49" s="3184" t="s">
        <v>3246</v>
      </c>
      <c r="M49" s="3184" t="s">
        <v>2780</v>
      </c>
      <c r="N49" s="3184" t="s">
        <v>3187</v>
      </c>
      <c r="O49" s="3184" t="s">
        <v>2780</v>
      </c>
      <c r="P49" s="3184" t="s">
        <v>2780</v>
      </c>
      <c r="Q49" s="3184" t="s">
        <v>2780</v>
      </c>
      <c r="R49" s="3184" t="s">
        <v>2780</v>
      </c>
      <c r="S49" s="3184" t="s">
        <v>2780</v>
      </c>
      <c r="T49" s="3184" t="s">
        <v>2780</v>
      </c>
      <c r="U49" s="3184" t="s">
        <v>2780</v>
      </c>
      <c r="V49" s="3184" t="s">
        <v>2780</v>
      </c>
      <c r="W49" s="3184" t="s">
        <v>3129</v>
      </c>
      <c r="X49" s="3184" t="s">
        <v>3247</v>
      </c>
      <c r="Y49" s="3184" t="s">
        <v>3248</v>
      </c>
      <c r="Z49" s="3184" t="s">
        <v>3249</v>
      </c>
      <c r="AA49" s="3184" t="s">
        <v>3249</v>
      </c>
      <c r="AB49" s="3184" t="s">
        <v>3256</v>
      </c>
      <c r="AC49" s="3184" t="s">
        <v>3084</v>
      </c>
      <c r="AD49" s="3184" t="s">
        <v>3134</v>
      </c>
      <c r="AE49" s="3184">
        <v>2499</v>
      </c>
      <c r="AF49" s="3184">
        <v>8330</v>
      </c>
      <c r="AG49" s="3184">
        <v>8530</v>
      </c>
      <c r="AH49" s="3184">
        <v>200.06</v>
      </c>
      <c r="AI49" s="3184">
        <v>204.87</v>
      </c>
      <c r="AJ49" s="3184">
        <v>1250.3900000000001</v>
      </c>
      <c r="AK49" s="3184">
        <v>1280.4100000000001</v>
      </c>
      <c r="AL49" s="3184" t="s">
        <v>2780</v>
      </c>
      <c r="AM49" s="3184" t="s">
        <v>2780</v>
      </c>
      <c r="AN49" s="3184">
        <v>2.4</v>
      </c>
      <c r="AO49" s="3184" t="s">
        <v>3086</v>
      </c>
      <c r="AP49" s="3184" t="s">
        <v>2780</v>
      </c>
      <c r="AQ49" s="3184" t="s">
        <v>2780</v>
      </c>
      <c r="AR49" s="3184" t="s">
        <v>2780</v>
      </c>
    </row>
    <row r="50" spans="1:44" s="3184" customFormat="1" ht="12.6">
      <c r="A50" s="3184" t="s">
        <v>3257</v>
      </c>
      <c r="B50" s="3184" t="s">
        <v>3072</v>
      </c>
      <c r="C50" s="3184" t="s">
        <v>3073</v>
      </c>
      <c r="D50" s="3184" t="s">
        <v>2995</v>
      </c>
      <c r="E50" s="3184" t="s">
        <v>2780</v>
      </c>
      <c r="F50" s="3184" t="s">
        <v>3257</v>
      </c>
      <c r="G50" s="3184" t="s">
        <v>3074</v>
      </c>
      <c r="H50" s="3184" t="s">
        <v>3258</v>
      </c>
      <c r="I50" s="3184" t="s">
        <v>3076</v>
      </c>
      <c r="J50" s="3184">
        <v>27388</v>
      </c>
      <c r="K50" s="3184">
        <v>82164</v>
      </c>
      <c r="L50" s="3184" t="s">
        <v>3148</v>
      </c>
      <c r="M50" s="3184" t="s">
        <v>2780</v>
      </c>
      <c r="N50" s="3184" t="s">
        <v>3259</v>
      </c>
      <c r="O50" s="3184" t="s">
        <v>2780</v>
      </c>
      <c r="P50" s="3184" t="s">
        <v>2780</v>
      </c>
      <c r="Q50" s="3184" t="s">
        <v>2780</v>
      </c>
      <c r="R50" s="3184" t="s">
        <v>2780</v>
      </c>
      <c r="S50" s="3184" t="s">
        <v>2780</v>
      </c>
      <c r="T50" s="3184" t="s">
        <v>2780</v>
      </c>
      <c r="U50" s="3184" t="s">
        <v>2780</v>
      </c>
      <c r="V50" s="3184" t="s">
        <v>2780</v>
      </c>
      <c r="W50" s="3184" t="s">
        <v>3129</v>
      </c>
      <c r="X50" s="3184" t="s">
        <v>3247</v>
      </c>
      <c r="Y50" s="3184" t="s">
        <v>3248</v>
      </c>
      <c r="Z50" s="3184" t="s">
        <v>3249</v>
      </c>
      <c r="AA50" s="3184" t="s">
        <v>3249</v>
      </c>
      <c r="AB50" s="3184" t="s">
        <v>3260</v>
      </c>
      <c r="AC50" s="3184" t="s">
        <v>3084</v>
      </c>
      <c r="AD50" s="3184" t="s">
        <v>3134</v>
      </c>
      <c r="AE50" s="3184">
        <v>2712</v>
      </c>
      <c r="AF50" s="3184">
        <v>9040</v>
      </c>
      <c r="AG50" s="3184">
        <v>9240</v>
      </c>
      <c r="AH50" s="3184">
        <v>220.05</v>
      </c>
      <c r="AI50" s="3184">
        <v>224.92</v>
      </c>
      <c r="AJ50" s="3184">
        <v>1100.23</v>
      </c>
      <c r="AK50" s="3184">
        <v>1124.57</v>
      </c>
      <c r="AL50" s="3184" t="s">
        <v>2780</v>
      </c>
      <c r="AM50" s="3184" t="s">
        <v>2780</v>
      </c>
      <c r="AN50" s="3184">
        <v>2.21</v>
      </c>
      <c r="AO50" s="3184" t="s">
        <v>3086</v>
      </c>
      <c r="AP50" s="3184" t="s">
        <v>2780</v>
      </c>
      <c r="AQ50" s="3184" t="s">
        <v>2780</v>
      </c>
      <c r="AR50" s="3184" t="s">
        <v>2780</v>
      </c>
    </row>
    <row r="51" spans="1:44" s="3184" customFormat="1" ht="12.6">
      <c r="A51" s="3184" t="s">
        <v>3261</v>
      </c>
      <c r="B51" s="3184" t="s">
        <v>3072</v>
      </c>
      <c r="C51" s="3184" t="s">
        <v>3073</v>
      </c>
      <c r="D51" s="3184" t="s">
        <v>2995</v>
      </c>
      <c r="E51" s="3184" t="s">
        <v>2780</v>
      </c>
      <c r="F51" s="3184" t="s">
        <v>3261</v>
      </c>
      <c r="G51" s="3184" t="s">
        <v>3074</v>
      </c>
      <c r="H51" s="3184" t="s">
        <v>3262</v>
      </c>
      <c r="I51" s="3184" t="s">
        <v>3076</v>
      </c>
      <c r="J51" s="3184">
        <v>62518</v>
      </c>
      <c r="K51" s="3184">
        <v>150043.20000000001</v>
      </c>
      <c r="L51" s="3184" t="s">
        <v>3246</v>
      </c>
      <c r="M51" s="3184" t="s">
        <v>2780</v>
      </c>
      <c r="N51" s="3184" t="s">
        <v>3187</v>
      </c>
      <c r="O51" s="3184" t="s">
        <v>2780</v>
      </c>
      <c r="P51" s="3184" t="s">
        <v>2780</v>
      </c>
      <c r="Q51" s="3184" t="s">
        <v>2780</v>
      </c>
      <c r="R51" s="3184" t="s">
        <v>2780</v>
      </c>
      <c r="S51" s="3184" t="s">
        <v>2780</v>
      </c>
      <c r="T51" s="3184" t="s">
        <v>2780</v>
      </c>
      <c r="U51" s="3184" t="s">
        <v>2780</v>
      </c>
      <c r="V51" s="3184" t="s">
        <v>2780</v>
      </c>
      <c r="W51" s="3184" t="s">
        <v>3129</v>
      </c>
      <c r="X51" s="3184" t="s">
        <v>3247</v>
      </c>
      <c r="Y51" s="3184" t="s">
        <v>3248</v>
      </c>
      <c r="Z51" s="3184" t="s">
        <v>3249</v>
      </c>
      <c r="AA51" s="3184" t="s">
        <v>3249</v>
      </c>
      <c r="AB51" s="3184" t="s">
        <v>3263</v>
      </c>
      <c r="AC51" s="3184" t="s">
        <v>3084</v>
      </c>
      <c r="AD51" s="3184" t="s">
        <v>3091</v>
      </c>
      <c r="AE51" s="3184">
        <v>5910</v>
      </c>
      <c r="AF51" s="3184">
        <v>19700</v>
      </c>
      <c r="AG51" s="3184">
        <v>19700</v>
      </c>
      <c r="AH51" s="3184">
        <v>210.07</v>
      </c>
      <c r="AI51" s="3184">
        <v>210.07</v>
      </c>
      <c r="AJ51" s="3184">
        <v>1312.95</v>
      </c>
      <c r="AK51" s="3184">
        <v>1312.96</v>
      </c>
      <c r="AL51" s="3184" t="s">
        <v>2780</v>
      </c>
      <c r="AM51" s="3184" t="s">
        <v>2780</v>
      </c>
      <c r="AN51" s="3184">
        <v>0</v>
      </c>
      <c r="AO51" s="3184" t="s">
        <v>3086</v>
      </c>
      <c r="AP51" s="3184" t="s">
        <v>2780</v>
      </c>
      <c r="AQ51" s="3184" t="s">
        <v>2780</v>
      </c>
      <c r="AR51" s="3184" t="s">
        <v>2780</v>
      </c>
    </row>
  </sheetData>
  <autoFilter ref="A1:AR51"/>
  <phoneticPr fontId="232"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34" zoomScaleNormal="100" zoomScaleSheetLayoutView="100" zoomScalePageLayoutView="80" workbookViewId="0">
      <selection activeCell="P36" sqref="P36"/>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2981</v>
      </c>
      <c r="E1" s="1803" t="s">
        <v>2019</v>
      </c>
      <c r="F1" s="1805" t="s">
        <v>2982</v>
      </c>
      <c r="G1" s="310"/>
      <c r="H1" s="310"/>
      <c r="I1" s="310"/>
      <c r="J1" s="2027"/>
      <c r="K1" s="2027"/>
      <c r="L1" s="2027"/>
      <c r="M1" s="2027"/>
      <c r="N1" s="2027"/>
      <c r="O1" s="2027"/>
      <c r="P1" s="2027"/>
      <c r="Q1" s="2027"/>
      <c r="R1" s="2027"/>
      <c r="S1" s="2027"/>
      <c r="T1" s="2027"/>
      <c r="U1" s="2027"/>
      <c r="V1" s="2027"/>
    </row>
    <row r="2" spans="1:22" ht="21.75" customHeight="1" thickBot="1">
      <c r="A2" s="3323" t="str">
        <f>项目基本情况!K2</f>
        <v>丹阳出让国有建设用地使用权</v>
      </c>
      <c r="B2" s="3324"/>
      <c r="C2" s="3325"/>
      <c r="D2" s="3325"/>
      <c r="E2" s="3325"/>
      <c r="F2" s="3325"/>
      <c r="G2" s="3324"/>
      <c r="H2" s="3324"/>
      <c r="I2" s="3326"/>
      <c r="J2" s="2028"/>
      <c r="K2" s="2027"/>
      <c r="L2" s="2027"/>
      <c r="M2" s="2027"/>
      <c r="N2" s="2027"/>
      <c r="O2" s="2027"/>
      <c r="P2" s="2027"/>
      <c r="Q2" s="2027"/>
      <c r="R2" s="2027"/>
      <c r="S2" s="2027"/>
      <c r="T2" s="2027"/>
      <c r="U2" s="2027"/>
      <c r="V2" s="2027"/>
    </row>
    <row r="3" spans="1:22" ht="13.8">
      <c r="A3" s="3334" t="s">
        <v>263</v>
      </c>
      <c r="B3" s="3335"/>
      <c r="C3" s="3335"/>
      <c r="D3" s="3335"/>
      <c r="E3" s="3335"/>
      <c r="F3" s="3335"/>
      <c r="G3" s="3335"/>
      <c r="H3" s="3335"/>
      <c r="I3" s="3335"/>
      <c r="J3" s="2028"/>
      <c r="K3" s="2027"/>
      <c r="L3" s="2027"/>
      <c r="M3" s="2027"/>
      <c r="N3" s="2027"/>
      <c r="O3" s="2027"/>
      <c r="P3" s="2027"/>
      <c r="Q3" s="2027"/>
      <c r="R3" s="2027"/>
      <c r="S3" s="2027"/>
      <c r="T3" s="2027"/>
      <c r="U3" s="2027"/>
      <c r="V3" s="2027"/>
    </row>
    <row r="4" spans="1:22" ht="14.4">
      <c r="A4" s="257" t="s">
        <v>264</v>
      </c>
      <c r="B4" s="258" t="s">
        <v>265</v>
      </c>
      <c r="C4" s="259" t="s">
        <v>2983</v>
      </c>
      <c r="D4" s="259" t="s">
        <v>2984</v>
      </c>
      <c r="E4" s="3298" t="s">
        <v>266</v>
      </c>
      <c r="F4" s="3340"/>
      <c r="G4" s="3340"/>
      <c r="H4" s="3340"/>
      <c r="I4" s="3299"/>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7" t="s">
        <v>267</v>
      </c>
      <c r="B5" s="3328">
        <v>25</v>
      </c>
      <c r="C5" s="3336"/>
      <c r="D5" s="3339"/>
      <c r="E5" s="260" t="s">
        <v>268</v>
      </c>
      <c r="F5" s="261"/>
      <c r="G5" s="261"/>
      <c r="H5" s="261"/>
      <c r="I5" s="262"/>
      <c r="J5" s="2028"/>
      <c r="K5" s="2027"/>
      <c r="L5" s="2027"/>
      <c r="M5" s="2027"/>
      <c r="N5" s="2027"/>
      <c r="O5" s="2027"/>
      <c r="P5" s="2027"/>
      <c r="Q5" s="2027"/>
      <c r="R5" s="2027"/>
      <c r="S5" s="2027"/>
      <c r="T5" s="2027"/>
      <c r="U5" s="2027"/>
      <c r="V5" s="2027"/>
    </row>
    <row r="6" spans="1:22" ht="13.8">
      <c r="A6" s="3327"/>
      <c r="B6" s="3328"/>
      <c r="C6" s="3337"/>
      <c r="D6" s="3339"/>
      <c r="E6" s="260" t="s">
        <v>269</v>
      </c>
      <c r="F6" s="261"/>
      <c r="G6" s="261"/>
      <c r="H6" s="261"/>
      <c r="I6" s="262"/>
      <c r="J6" s="2028"/>
      <c r="K6" s="2027"/>
      <c r="L6" s="2027"/>
      <c r="M6" s="2027"/>
      <c r="N6" s="2027"/>
      <c r="O6" s="2027"/>
      <c r="P6" s="2027"/>
      <c r="Q6" s="2027"/>
      <c r="R6" s="2027"/>
      <c r="S6" s="2027"/>
      <c r="T6" s="2027"/>
      <c r="U6" s="2027"/>
      <c r="V6" s="2027"/>
    </row>
    <row r="7" spans="1:22" ht="13.8">
      <c r="A7" s="3327"/>
      <c r="B7" s="3328"/>
      <c r="C7" s="3338"/>
      <c r="D7" s="3339"/>
      <c r="E7" s="260" t="s">
        <v>270</v>
      </c>
      <c r="F7" s="261"/>
      <c r="G7" s="261"/>
      <c r="H7" s="261"/>
      <c r="I7" s="262"/>
      <c r="J7" s="2028"/>
      <c r="K7" s="2027"/>
      <c r="L7" s="2027"/>
      <c r="M7" s="2027"/>
      <c r="N7" s="2027"/>
      <c r="O7" s="2027"/>
      <c r="P7" s="2027"/>
      <c r="Q7" s="2027"/>
      <c r="R7" s="2027"/>
      <c r="S7" s="2027"/>
      <c r="T7" s="2027"/>
      <c r="U7" s="2027"/>
      <c r="V7" s="2027"/>
    </row>
    <row r="8" spans="1:22" ht="13.8">
      <c r="A8" s="3327" t="s">
        <v>271</v>
      </c>
      <c r="B8" s="3328">
        <v>15</v>
      </c>
      <c r="C8" s="3336"/>
      <c r="D8" s="3339"/>
      <c r="E8" s="260" t="s">
        <v>272</v>
      </c>
      <c r="F8" s="261"/>
      <c r="G8" s="261"/>
      <c r="H8" s="261"/>
      <c r="I8" s="262"/>
      <c r="J8" s="2028"/>
      <c r="K8" s="2027"/>
      <c r="L8" s="2027" t="s">
        <v>2991</v>
      </c>
      <c r="M8" s="2027"/>
      <c r="N8" s="2027"/>
      <c r="O8" s="2027"/>
      <c r="P8" s="2027"/>
      <c r="Q8" s="2027"/>
      <c r="R8" s="2027"/>
      <c r="S8" s="2027"/>
      <c r="T8" s="2027"/>
      <c r="U8" s="2027"/>
      <c r="V8" s="2027"/>
    </row>
    <row r="9" spans="1:22" ht="13.8">
      <c r="A9" s="3327"/>
      <c r="B9" s="3328"/>
      <c r="C9" s="3338"/>
      <c r="D9" s="3339"/>
      <c r="E9" s="260" t="s">
        <v>273</v>
      </c>
      <c r="F9" s="261"/>
      <c r="G9" s="261"/>
      <c r="H9" s="261"/>
      <c r="I9" s="262"/>
      <c r="J9" s="2028"/>
      <c r="K9" s="2027"/>
      <c r="L9" s="2027"/>
      <c r="M9" s="2027"/>
      <c r="N9" s="2027"/>
      <c r="O9" s="2027"/>
      <c r="P9" s="2027"/>
      <c r="Q9" s="2027"/>
      <c r="R9" s="2027"/>
      <c r="S9" s="2027"/>
      <c r="T9" s="2027"/>
      <c r="U9" s="2027"/>
      <c r="V9" s="2027"/>
    </row>
    <row r="10" spans="1:22" ht="13.8">
      <c r="A10" s="3327" t="s">
        <v>274</v>
      </c>
      <c r="B10" s="3328">
        <v>15</v>
      </c>
      <c r="C10" s="3336"/>
      <c r="D10" s="3339"/>
      <c r="E10" s="260" t="s">
        <v>275</v>
      </c>
      <c r="F10" s="261"/>
      <c r="G10" s="261"/>
      <c r="H10" s="261"/>
      <c r="I10" s="262"/>
      <c r="J10" s="2028"/>
      <c r="K10" s="2027"/>
      <c r="L10" s="2027"/>
      <c r="M10" s="2027"/>
      <c r="N10" s="2027"/>
      <c r="O10" s="2027"/>
      <c r="P10" s="2027"/>
      <c r="Q10" s="2027"/>
      <c r="R10" s="2027"/>
      <c r="S10" s="2027"/>
      <c r="T10" s="2027"/>
      <c r="U10" s="2027"/>
      <c r="V10" s="2027"/>
    </row>
    <row r="11" spans="1:22" ht="13.8">
      <c r="A11" s="3327"/>
      <c r="B11" s="3328"/>
      <c r="C11" s="3338"/>
      <c r="D11" s="3339"/>
      <c r="E11" s="260" t="s">
        <v>276</v>
      </c>
      <c r="F11" s="261"/>
      <c r="G11" s="261"/>
      <c r="H11" s="261"/>
      <c r="I11" s="262"/>
      <c r="J11" s="2028"/>
      <c r="K11" s="2027"/>
      <c r="L11" s="2027"/>
      <c r="M11" s="2027"/>
      <c r="N11" s="2027"/>
      <c r="O11" s="2027"/>
      <c r="P11" s="2027"/>
      <c r="Q11" s="2027"/>
      <c r="R11" s="2027"/>
      <c r="S11" s="2027"/>
      <c r="T11" s="2027"/>
      <c r="U11" s="2027"/>
      <c r="V11" s="2027"/>
    </row>
    <row r="12" spans="1:22" ht="13.8">
      <c r="A12" s="3327" t="s">
        <v>277</v>
      </c>
      <c r="B12" s="3328">
        <v>15</v>
      </c>
      <c r="C12" s="3336"/>
      <c r="D12" s="3339"/>
      <c r="E12" s="260" t="s">
        <v>278</v>
      </c>
      <c r="F12" s="261"/>
      <c r="G12" s="261"/>
      <c r="H12" s="261"/>
      <c r="I12" s="262"/>
      <c r="J12" s="2028"/>
      <c r="K12" s="2027"/>
      <c r="L12" s="2027"/>
      <c r="M12" s="2027"/>
      <c r="N12" s="2027"/>
      <c r="O12" s="2027"/>
      <c r="P12" s="2027"/>
      <c r="Q12" s="2027"/>
      <c r="R12" s="2027"/>
      <c r="S12" s="2027"/>
      <c r="T12" s="2027"/>
      <c r="U12" s="2027"/>
      <c r="V12" s="2027"/>
    </row>
    <row r="13" spans="1:22" ht="13.8">
      <c r="A13" s="3327"/>
      <c r="B13" s="3328"/>
      <c r="C13" s="3338"/>
      <c r="D13" s="3339"/>
      <c r="E13" s="260" t="s">
        <v>279</v>
      </c>
      <c r="F13" s="261"/>
      <c r="G13" s="261"/>
      <c r="H13" s="261"/>
      <c r="I13" s="262"/>
      <c r="J13" s="2028"/>
      <c r="K13" s="2027"/>
      <c r="L13" s="2027"/>
      <c r="M13" s="2027"/>
      <c r="N13" s="2027"/>
      <c r="O13" s="2027"/>
      <c r="P13" s="2027"/>
      <c r="Q13" s="2027"/>
      <c r="R13" s="2027"/>
      <c r="S13" s="2027"/>
      <c r="T13" s="2027"/>
      <c r="U13" s="2027"/>
      <c r="V13" s="2027"/>
    </row>
    <row r="14" spans="1:22" ht="13.8">
      <c r="A14" s="3327" t="s">
        <v>280</v>
      </c>
      <c r="B14" s="3328">
        <v>30</v>
      </c>
      <c r="C14" s="3336">
        <v>4</v>
      </c>
      <c r="D14" s="3339">
        <v>6</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7"/>
      <c r="B15" s="3328"/>
      <c r="C15" s="3337"/>
      <c r="D15" s="3339"/>
      <c r="E15" s="260" t="s">
        <v>282</v>
      </c>
      <c r="F15" s="261"/>
      <c r="G15" s="261"/>
      <c r="H15" s="261"/>
      <c r="I15" s="262"/>
      <c r="J15" s="2028"/>
      <c r="K15" s="2027"/>
      <c r="L15" s="2027"/>
      <c r="M15" s="2027"/>
      <c r="N15" s="2027"/>
      <c r="O15" s="2027"/>
      <c r="P15" s="2027"/>
      <c r="Q15" s="2027"/>
      <c r="R15" s="2027"/>
      <c r="S15" s="2027"/>
      <c r="T15" s="2027"/>
      <c r="U15" s="2027"/>
      <c r="V15" s="2027"/>
    </row>
    <row r="16" spans="1:22" ht="13.8">
      <c r="A16" s="3327"/>
      <c r="B16" s="3328"/>
      <c r="C16" s="3338"/>
      <c r="D16" s="3339"/>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51311</v>
      </c>
      <c r="D19" s="270">
        <f ca="1">SUMIF(INDIRECT("'"&amp;D4&amp;"'"&amp;"!A:A"),结果表!B19,INDIRECT("'"&amp;D4&amp;"'"&amp;"!B:B"))</f>
        <v>96147</v>
      </c>
      <c r="E19" s="267" t="s">
        <v>288</v>
      </c>
      <c r="F19" s="268" t="s">
        <v>287</v>
      </c>
      <c r="G19" s="271">
        <f ca="1">ROUND(C19*$C$18+D19*$D$18,0)</f>
        <v>78213</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1922</v>
      </c>
      <c r="D20" s="276">
        <f ca="1">SUMIF(INDIRECT("'"&amp;D4&amp;"'"&amp;"!A:A"),结果表!B20,INDIRECT("'"&amp;D4&amp;"'"&amp;"!B:B"))</f>
        <v>3601</v>
      </c>
      <c r="E20" s="273"/>
      <c r="F20" s="274" t="s">
        <v>290</v>
      </c>
      <c r="G20" s="277">
        <f ca="1">ROUND(C20*$C$18+D20*$D$18,0)</f>
        <v>2929</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6727</v>
      </c>
      <c r="D21" s="150">
        <f ca="1">SUMIF(INDIRECT("'"&amp;D4&amp;"'"&amp;"!A:A"),结果表!B21,INDIRECT("'"&amp;D4&amp;"'"&amp;"!B:B"))</f>
        <v>12605</v>
      </c>
      <c r="E21" s="273"/>
      <c r="F21" s="279" t="s">
        <v>292</v>
      </c>
      <c r="G21" s="281">
        <f ca="1">ROUND(C21*$C$18+D21*$D$18,0)</f>
        <v>10254</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0.87380873496910993</v>
      </c>
      <c r="E22" s="283"/>
      <c r="F22" s="284"/>
      <c r="G22" s="285">
        <f ca="1">ROUND(G19/('数据-汇总表'!D3/666.67),0)</f>
        <v>684</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0"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42"/>
      <c r="B25" s="1319" t="s">
        <v>296</v>
      </c>
      <c r="C25" s="289">
        <f>IF(B30=0,0,C30)</f>
        <v>0</v>
      </c>
      <c r="D25" s="290"/>
      <c r="E25" s="310"/>
      <c r="F25" s="310"/>
      <c r="G25" s="310"/>
      <c r="H25" s="310"/>
      <c r="I25" s="310"/>
      <c r="J25" s="2027"/>
      <c r="K25" s="1253" t="str">
        <f ca="1">项目基本情况!B16&amp;"国有建设用地使用权价格："&amp;O38&amp;"万元"</f>
        <v>出让国有建设用地使用权价格：78213万元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大写金额：人民币柒亿捌仟贰佰壹拾叁万元整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c r="E27" s="310"/>
      <c r="F27" s="310"/>
      <c r="G27" s="310"/>
      <c r="H27" s="310"/>
      <c r="I27" s="310"/>
      <c r="J27" s="2027"/>
      <c r="K27" s="1256" t="str">
        <f ca="1">"单位面积地价："&amp;M38&amp;"元/平方米"</f>
        <v>单位面积地价：10254元/平方米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楼面地价：2930元/平方米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抵押价格：78213万元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大写金额：人民币柒亿捌仟贰佰壹拾叁万元整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78213</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2930</v>
      </c>
      <c r="D33" s="1383" t="s">
        <v>1653</v>
      </c>
      <c r="E33" s="3300"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10254</v>
      </c>
      <c r="D34" s="1385" t="s">
        <v>1653</v>
      </c>
      <c r="E34" s="3301"/>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684</v>
      </c>
      <c r="D35" s="1388" t="s">
        <v>1655</v>
      </c>
      <c r="E35" s="3302"/>
      <c r="F35" s="300" t="s">
        <v>307</v>
      </c>
      <c r="G35" s="980"/>
      <c r="H35" s="979" t="s">
        <v>308</v>
      </c>
      <c r="I35" s="310"/>
      <c r="J35" s="2027"/>
      <c r="K35" s="3306" t="s">
        <v>315</v>
      </c>
      <c r="L35" s="3306" t="s">
        <v>316</v>
      </c>
      <c r="M35" s="1262" t="s">
        <v>317</v>
      </c>
      <c r="N35" s="3306" t="s">
        <v>318</v>
      </c>
      <c r="O35" s="3306" t="s">
        <v>319</v>
      </c>
      <c r="P35" s="2027"/>
      <c r="V35" s="2027"/>
    </row>
    <row r="36" spans="1:26" ht="16.5" customHeight="1">
      <c r="A36" s="302" t="s">
        <v>309</v>
      </c>
      <c r="B36" s="303" t="s">
        <v>298</v>
      </c>
      <c r="C36" s="304" t="s">
        <v>310</v>
      </c>
      <c r="D36" s="304" t="s">
        <v>311</v>
      </c>
      <c r="E36" s="305" t="s">
        <v>312</v>
      </c>
      <c r="F36" s="310"/>
      <c r="G36" s="310"/>
      <c r="H36" s="310"/>
      <c r="I36" s="310"/>
      <c r="J36" s="2029"/>
      <c r="K36" s="3307"/>
      <c r="L36" s="3307"/>
      <c r="M36" s="1264" t="s">
        <v>320</v>
      </c>
      <c r="N36" s="3307"/>
      <c r="O36" s="3307"/>
      <c r="P36" s="2027"/>
      <c r="V36" s="2027"/>
    </row>
    <row r="37" spans="1:26" ht="16.5" customHeight="1" thickBot="1">
      <c r="A37" s="1258" t="s">
        <v>313</v>
      </c>
      <c r="B37" s="306"/>
      <c r="C37" s="293"/>
      <c r="D37" s="293"/>
      <c r="E37" s="294"/>
      <c r="F37" s="310"/>
      <c r="G37" s="310"/>
      <c r="H37" s="310"/>
      <c r="I37" s="310"/>
      <c r="J37" s="2029"/>
      <c r="K37" s="3308"/>
      <c r="L37" s="3308"/>
      <c r="M37" s="1265"/>
      <c r="N37" s="3308"/>
      <c r="O37" s="3308"/>
      <c r="P37" s="2027"/>
      <c r="V37" s="2027"/>
    </row>
    <row r="38" spans="1:26" ht="16.5" customHeight="1" thickBot="1">
      <c r="A38" s="1258" t="s">
        <v>314</v>
      </c>
      <c r="B38" s="306"/>
      <c r="C38" s="293"/>
      <c r="D38" s="293"/>
      <c r="E38" s="294"/>
      <c r="F38" s="310"/>
      <c r="G38" s="310"/>
      <c r="H38" s="310"/>
      <c r="I38" s="310"/>
      <c r="J38" s="2029"/>
      <c r="K38" s="1266">
        <f>'数据-汇总表'!D3</f>
        <v>76276.600000000006</v>
      </c>
      <c r="L38" s="1267">
        <f>'数据-汇总表'!E3</f>
        <v>266968.10000000003</v>
      </c>
      <c r="M38" s="1267">
        <f ca="1">C34</f>
        <v>10254</v>
      </c>
      <c r="N38" s="1267">
        <f ca="1">C33</f>
        <v>2930</v>
      </c>
      <c r="O38" s="1268">
        <f ca="1">C32</f>
        <v>78213</v>
      </c>
      <c r="P38" s="2027"/>
      <c r="V38" s="2027"/>
    </row>
    <row r="39" spans="1:26" ht="16.5" customHeight="1" thickBot="1">
      <c r="A39" s="1263"/>
      <c r="B39" s="307"/>
      <c r="C39" s="308"/>
      <c r="D39" s="308"/>
      <c r="E39" s="309"/>
      <c r="F39" s="310"/>
      <c r="G39" s="310"/>
      <c r="H39" s="310"/>
      <c r="I39" s="310"/>
      <c r="J39" s="2029"/>
      <c r="K39" s="3283" t="str">
        <f>MID(A44,3,LEN(A44)-2)</f>
        <v>抵押价格</v>
      </c>
      <c r="L39" s="3284"/>
      <c r="M39" s="3284"/>
      <c r="N39" s="3285"/>
      <c r="O39" s="1390">
        <f ca="1">C44</f>
        <v>78213</v>
      </c>
      <c r="P39" s="2027"/>
      <c r="V39" s="2027"/>
    </row>
    <row r="40" spans="1:26" ht="18" thickBot="1">
      <c r="A40" s="103" t="s">
        <v>838</v>
      </c>
      <c r="B40" s="310"/>
      <c r="C40" s="310"/>
      <c r="D40" s="310"/>
      <c r="E40" s="310"/>
      <c r="F40" s="310"/>
      <c r="G40" s="310"/>
      <c r="H40" s="310"/>
      <c r="I40" s="310"/>
      <c r="J40" s="2029"/>
      <c r="K40" s="3283" t="str">
        <f t="shared" ref="K40:K41" si="0">MID(A45,3,LEN(A45)-2)</f>
        <v/>
      </c>
      <c r="L40" s="3284"/>
      <c r="M40" s="3284"/>
      <c r="N40" s="3285"/>
      <c r="O40" s="1390" t="str">
        <f>C45</f>
        <v>——</v>
      </c>
      <c r="P40" s="2027"/>
      <c r="V40" s="2027"/>
    </row>
    <row r="41" spans="1:26" ht="16.2" thickBot="1">
      <c r="A41" s="311" t="s">
        <v>321</v>
      </c>
      <c r="B41" s="312"/>
      <c r="C41" s="313" t="s">
        <v>322</v>
      </c>
      <c r="D41" s="314" t="s">
        <v>323</v>
      </c>
      <c r="E41" s="314" t="s">
        <v>324</v>
      </c>
      <c r="F41" s="315" t="s">
        <v>325</v>
      </c>
      <c r="G41" s="310"/>
      <c r="H41" s="310"/>
      <c r="I41" s="310"/>
      <c r="J41" s="2029"/>
      <c r="K41" s="3283" t="str">
        <f t="shared" si="0"/>
        <v/>
      </c>
      <c r="L41" s="3284"/>
      <c r="M41" s="3284"/>
      <c r="N41" s="3285"/>
      <c r="O41" s="1390" t="str">
        <f>C46</f>
        <v>——</v>
      </c>
      <c r="P41" s="2027"/>
      <c r="V41" s="2027"/>
    </row>
    <row r="42" spans="1:26" ht="31.2">
      <c r="A42" s="3343" t="s">
        <v>2029</v>
      </c>
      <c r="B42" s="3344"/>
      <c r="C42" s="263">
        <f ca="1">C32</f>
        <v>78213</v>
      </c>
      <c r="D42" s="316">
        <f ca="1">C33</f>
        <v>2930</v>
      </c>
      <c r="E42" s="316">
        <f ca="1">C34</f>
        <v>10254</v>
      </c>
      <c r="F42" s="317">
        <f ca="1">C35</f>
        <v>684</v>
      </c>
      <c r="G42" s="310"/>
      <c r="H42" s="310"/>
      <c r="I42" s="318"/>
      <c r="J42" s="2029"/>
      <c r="K42" s="1269" t="s">
        <v>326</v>
      </c>
      <c r="L42" s="2046" t="s">
        <v>327</v>
      </c>
      <c r="M42" s="1270" t="s">
        <v>328</v>
      </c>
      <c r="N42" s="2047" t="s">
        <v>329</v>
      </c>
      <c r="O42" s="2048" t="s">
        <v>330</v>
      </c>
      <c r="P42" s="2027"/>
      <c r="V42" s="2027"/>
    </row>
    <row r="43" spans="1:26" ht="30">
      <c r="A43" s="3353" t="s">
        <v>2692</v>
      </c>
      <c r="B43" s="3354"/>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51311</v>
      </c>
      <c r="M43" s="1273">
        <f>C18</f>
        <v>0.4</v>
      </c>
      <c r="N43" s="1274">
        <f ca="1">IF(N42="测算结果/万元",G19,G20)</f>
        <v>78213</v>
      </c>
      <c r="O43" s="1275">
        <f ca="1">IF(O42="最终结果/万元",C32,C33)</f>
        <v>78213</v>
      </c>
      <c r="P43" s="2027"/>
      <c r="V43" s="2027"/>
    </row>
    <row r="44" spans="1:26" ht="30.6" thickBot="1">
      <c r="A44" s="3343" t="str">
        <f>IF(OR(项目基本情况!E8="抵押价格",项目基本情况!E8="已注销及未注销"),"3.抵押价格","——")</f>
        <v>3.抵押价格</v>
      </c>
      <c r="B44" s="3344"/>
      <c r="C44" s="263">
        <f ca="1">IF(A44="——","——",C42-C43)</f>
        <v>78213</v>
      </c>
      <c r="D44" s="316">
        <f ca="1">ROUND(C44*10000/'数据-汇总表'!E3,0)</f>
        <v>2930</v>
      </c>
      <c r="E44" s="316">
        <f ca="1">ROUND(C44*10000/'数据-汇总表'!D3,0)</f>
        <v>10254</v>
      </c>
      <c r="F44" s="317">
        <f ca="1">ROUND(C44/('数据-汇总表'!D3/666.67),0)</f>
        <v>684</v>
      </c>
      <c r="G44" s="310"/>
      <c r="H44" s="310"/>
      <c r="I44" s="318"/>
      <c r="J44" s="2029"/>
      <c r="K44" s="1276" t="str">
        <f>D4</f>
        <v>剩余法-待开发</v>
      </c>
      <c r="L44" s="1277">
        <f ca="1">IF(L42="估价结果/万元",D19,D20)</f>
        <v>96147</v>
      </c>
      <c r="M44" s="1278">
        <f>D18</f>
        <v>0.6</v>
      </c>
      <c r="N44" s="1279"/>
      <c r="O44" s="1280"/>
      <c r="P44" s="2027"/>
      <c r="V44" s="2027"/>
    </row>
    <row r="45" spans="1:26" ht="13.8">
      <c r="A45" s="3348" t="str">
        <f>IF(项目基本情况!E8="已注销及未注销","4.抵押担保权已注销时的抵押价格",IF(项目基本情况!E8="已注销","3.抵押担保权已注销时的抵押价格","——"))</f>
        <v>——</v>
      </c>
      <c r="B45" s="334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45" t="str">
        <f>IF(项目基本情况!E9="抵押净值",IF(A45="——","4.抵押净值","5.抵押净值"),"——")</f>
        <v>——</v>
      </c>
      <c r="B46" s="3346"/>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11" t="s">
        <v>339</v>
      </c>
      <c r="B63" s="3312"/>
      <c r="C63" s="3313"/>
      <c r="D63" s="340">
        <f ca="1">ROUND(C42*F63,0)</f>
        <v>78213</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50" t="s">
        <v>343</v>
      </c>
      <c r="B64" s="3351"/>
      <c r="C64" s="3351"/>
      <c r="D64" s="3351"/>
      <c r="E64" s="3351"/>
      <c r="F64" s="3351"/>
      <c r="G64" s="3352"/>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47" t="s">
        <v>351</v>
      </c>
      <c r="B66" s="3318"/>
      <c r="C66" s="3318"/>
      <c r="D66" s="260">
        <f ca="1">IF(H66="情况1",0,IF(H66="情况2",D70,IF(H66="情况3",D71,IF(H66="情况4",D72))))</f>
        <v>4171</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7" t="s">
        <v>350</v>
      </c>
      <c r="M66" s="3288"/>
      <c r="N66" s="2457"/>
      <c r="O66" s="2458"/>
      <c r="P66" s="2459"/>
      <c r="Q66" s="2027"/>
      <c r="R66" s="2027"/>
      <c r="S66" s="2027"/>
      <c r="T66" s="2027"/>
      <c r="U66" s="2027"/>
      <c r="V66" s="2027"/>
    </row>
    <row r="67" spans="1:22" ht="25.5" customHeight="1">
      <c r="A67" s="351" t="s">
        <v>355</v>
      </c>
      <c r="B67" s="3330" t="s">
        <v>356</v>
      </c>
      <c r="C67" s="3330"/>
      <c r="D67" s="352">
        <v>0</v>
      </c>
      <c r="E67" s="40" t="s">
        <v>357</v>
      </c>
      <c r="F67" s="61" t="s">
        <v>20</v>
      </c>
      <c r="G67" s="3314"/>
      <c r="H67" s="310"/>
      <c r="I67" s="1290"/>
      <c r="J67" s="2034"/>
      <c r="K67" s="1975">
        <v>2</v>
      </c>
      <c r="L67" s="3286" t="s">
        <v>354</v>
      </c>
      <c r="M67" s="3286"/>
      <c r="N67" s="1323">
        <f>'数据-取费表'!B2</f>
        <v>43416</v>
      </c>
      <c r="O67" s="1323"/>
      <c r="P67" s="1323"/>
      <c r="Q67" s="2027"/>
      <c r="R67" s="2027"/>
      <c r="S67" s="2027"/>
      <c r="T67" s="2027"/>
      <c r="U67" s="2027"/>
      <c r="V67" s="2027"/>
    </row>
    <row r="68" spans="1:22" ht="25.5" customHeight="1">
      <c r="A68" s="353"/>
      <c r="B68" s="3330" t="s">
        <v>359</v>
      </c>
      <c r="C68" s="3330"/>
      <c r="D68" s="354"/>
      <c r="E68" s="76"/>
      <c r="F68" s="355"/>
      <c r="G68" s="3315"/>
      <c r="H68" s="310"/>
      <c r="I68" s="1290"/>
      <c r="J68" s="2034"/>
      <c r="K68" s="1975">
        <v>3</v>
      </c>
      <c r="L68" s="3286" t="s">
        <v>358</v>
      </c>
      <c r="M68" s="3286"/>
      <c r="N68" s="1291">
        <f ca="1">C42</f>
        <v>78213</v>
      </c>
      <c r="O68" s="1291"/>
      <c r="P68" s="1291"/>
      <c r="Q68" s="2027"/>
      <c r="R68" s="2027"/>
      <c r="S68" s="2027"/>
      <c r="T68" s="2027"/>
      <c r="U68" s="2027"/>
      <c r="V68" s="2027"/>
    </row>
    <row r="69" spans="1:22" ht="12" customHeight="1">
      <c r="A69" s="356"/>
      <c r="B69" s="3330" t="s">
        <v>360</v>
      </c>
      <c r="C69" s="3330"/>
      <c r="D69" s="357"/>
      <c r="E69" s="72"/>
      <c r="F69" s="355"/>
      <c r="G69" s="3316"/>
      <c r="H69" s="310"/>
      <c r="I69" s="1290"/>
      <c r="J69" s="2034"/>
      <c r="K69" s="1292">
        <v>4</v>
      </c>
      <c r="L69" s="3292" t="s">
        <v>2845</v>
      </c>
      <c r="M69" s="3293"/>
      <c r="N69" s="1293">
        <f ca="1">C44</f>
        <v>78213</v>
      </c>
      <c r="O69" s="1293"/>
      <c r="P69" s="1293"/>
      <c r="Q69" s="2027"/>
      <c r="R69" s="2027"/>
      <c r="S69" s="2027"/>
      <c r="T69" s="2027"/>
      <c r="U69" s="2027"/>
      <c r="V69" s="2027"/>
    </row>
    <row r="70" spans="1:22" ht="24" customHeight="1">
      <c r="A70" s="358" t="s">
        <v>361</v>
      </c>
      <c r="B70" s="3330" t="s">
        <v>362</v>
      </c>
      <c r="C70" s="3330"/>
      <c r="D70" s="357">
        <f ca="1">ROUND(D63*'数据-取费表'!B41/(1+'数据-取费表'!C42),0)</f>
        <v>4171</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29" t="s">
        <v>370</v>
      </c>
      <c r="C71" s="3341"/>
      <c r="D71" s="357">
        <f ca="1">ROUND(D63*'数据-取费表'!B41/(1+'数据-取费表'!C42),0)</f>
        <v>4171</v>
      </c>
      <c r="E71" s="16" t="s">
        <v>363</v>
      </c>
      <c r="F71" s="359">
        <f>'数据-取费表'!B41</f>
        <v>5.6000000000000001E-2</v>
      </c>
      <c r="G71" s="360"/>
      <c r="H71" s="310"/>
      <c r="I71" s="1290"/>
      <c r="J71" s="2034"/>
      <c r="K71" s="3060" t="s">
        <v>364</v>
      </c>
      <c r="L71" s="3294" t="s">
        <v>365</v>
      </c>
      <c r="M71" s="3294"/>
      <c r="N71" s="3060" t="s">
        <v>366</v>
      </c>
      <c r="O71" s="3060" t="s">
        <v>367</v>
      </c>
      <c r="P71" s="3060" t="s">
        <v>368</v>
      </c>
      <c r="Q71" s="2027"/>
      <c r="R71" s="2027"/>
      <c r="S71" s="2027"/>
      <c r="T71" s="2027"/>
      <c r="U71" s="2027"/>
      <c r="V71" s="2027"/>
    </row>
    <row r="72" spans="1:22" ht="12" customHeight="1">
      <c r="A72" s="358" t="s">
        <v>372</v>
      </c>
      <c r="B72" s="3329" t="s">
        <v>373</v>
      </c>
      <c r="C72" s="3341"/>
      <c r="D72" s="357">
        <f ca="1">C86</f>
        <v>4059</v>
      </c>
      <c r="E72" s="72" t="s">
        <v>374</v>
      </c>
      <c r="F72" s="359">
        <f>'数据-取费表'!B41</f>
        <v>5.6000000000000001E-2</v>
      </c>
      <c r="G72" s="360"/>
      <c r="H72" s="1296"/>
      <c r="I72" s="1290"/>
      <c r="J72" s="2034"/>
      <c r="K72" s="1975">
        <v>1</v>
      </c>
      <c r="L72" s="3291" t="s">
        <v>371</v>
      </c>
      <c r="M72" s="3291"/>
      <c r="N72" s="1294">
        <f ca="1">D66</f>
        <v>4171</v>
      </c>
      <c r="O72" s="1858" t="str">
        <f>E66</f>
        <v>销售额×税（费）率</v>
      </c>
      <c r="P72" s="1295">
        <f>F66</f>
        <v>5.6000000000000001E-2</v>
      </c>
      <c r="Q72" s="2027"/>
      <c r="R72" s="2027"/>
      <c r="S72" s="2027"/>
      <c r="T72" s="2027"/>
      <c r="U72" s="2027"/>
      <c r="V72" s="2027"/>
    </row>
    <row r="73" spans="1:22" ht="24" customHeight="1">
      <c r="A73" s="3317" t="s">
        <v>376</v>
      </c>
      <c r="B73" s="3318"/>
      <c r="C73" s="3318"/>
      <c r="D73" s="361">
        <f>IF(H73="个人住宅",0,ROUND(D63*I73,0))</f>
        <v>0</v>
      </c>
      <c r="E73" s="16" t="s">
        <v>377</v>
      </c>
      <c r="F73" s="359" t="str">
        <f>IF(H73="正常",I73,"免征")</f>
        <v>免征</v>
      </c>
      <c r="G73" s="360"/>
      <c r="H73" s="190" t="s">
        <v>2417</v>
      </c>
      <c r="I73" s="359">
        <f>'数据-取费表'!B49</f>
        <v>5.0000000000000001E-4</v>
      </c>
      <c r="J73" s="2034"/>
      <c r="K73" s="1975">
        <v>2</v>
      </c>
      <c r="L73" s="3291" t="s">
        <v>375</v>
      </c>
      <c r="M73" s="3291"/>
      <c r="N73" s="1294">
        <f t="shared" ref="N73:P74" si="1">D73</f>
        <v>0</v>
      </c>
      <c r="O73" s="1858" t="str">
        <f t="shared" si="1"/>
        <v>销售额×税（费）率</v>
      </c>
      <c r="P73" s="1295" t="str">
        <f t="shared" si="1"/>
        <v>免征</v>
      </c>
      <c r="Q73" s="2027"/>
      <c r="R73" s="2027"/>
      <c r="S73" s="2027"/>
      <c r="T73" s="2027"/>
      <c r="U73" s="2027"/>
      <c r="V73" s="2027"/>
    </row>
    <row r="74" spans="1:22" ht="25.2">
      <c r="A74" s="3317" t="s">
        <v>380</v>
      </c>
      <c r="B74" s="3318"/>
      <c r="C74" s="3318"/>
      <c r="D74" s="361">
        <f ca="1">IF(H74="个人住宅",D75,D76)</f>
        <v>44269</v>
      </c>
      <c r="E74" s="16" t="s">
        <v>381</v>
      </c>
      <c r="F74" s="359" t="str">
        <f>IF(H74="正常",F76,"免征")</f>
        <v>——</v>
      </c>
      <c r="G74" s="981" t="s">
        <v>382</v>
      </c>
      <c r="H74" s="362" t="s">
        <v>378</v>
      </c>
      <c r="I74" s="41"/>
      <c r="J74" s="2034"/>
      <c r="K74" s="1975">
        <v>3</v>
      </c>
      <c r="L74" s="3291" t="s">
        <v>379</v>
      </c>
      <c r="M74" s="3291"/>
      <c r="N74" s="1294">
        <f t="shared" ca="1" si="1"/>
        <v>44269</v>
      </c>
      <c r="O74" s="1858" t="str">
        <f t="shared" si="1"/>
        <v>增值额×税（费）率</v>
      </c>
      <c r="P74" s="1297" t="str">
        <f t="shared" si="1"/>
        <v>——</v>
      </c>
      <c r="Q74" s="2027"/>
      <c r="R74" s="2027"/>
      <c r="S74" s="2027"/>
      <c r="T74" s="2027"/>
      <c r="U74" s="2027"/>
      <c r="V74" s="2027"/>
    </row>
    <row r="75" spans="1:22" ht="24">
      <c r="A75" s="358" t="s">
        <v>383</v>
      </c>
      <c r="B75" s="3298" t="s">
        <v>384</v>
      </c>
      <c r="C75" s="3299"/>
      <c r="D75" s="363">
        <v>0</v>
      </c>
      <c r="E75" s="40" t="s">
        <v>385</v>
      </c>
      <c r="F75" s="364"/>
      <c r="G75" s="360"/>
      <c r="H75" s="41"/>
      <c r="I75" s="41"/>
      <c r="J75" s="2034"/>
      <c r="K75" s="3053">
        <f>IF(H77="非个人房产","",4)</f>
        <v>4</v>
      </c>
      <c r="L75" s="3291" t="str">
        <f>IF(H77="非个人房产","——","个人所得税")</f>
        <v>个人所得税</v>
      </c>
      <c r="M75" s="3291"/>
      <c r="N75" s="1298">
        <f ca="1">D77</f>
        <v>782</v>
      </c>
      <c r="O75" s="1871" t="str">
        <f>E77</f>
        <v>销售额×税（费）率</v>
      </c>
      <c r="P75" s="1299">
        <f>F77</f>
        <v>0.01</v>
      </c>
      <c r="Q75" s="2027"/>
      <c r="R75" s="2027"/>
      <c r="S75" s="2027"/>
      <c r="T75" s="2027"/>
      <c r="U75" s="2027"/>
      <c r="V75" s="2027"/>
    </row>
    <row r="76" spans="1:22" ht="25.2">
      <c r="A76" s="358" t="s">
        <v>361</v>
      </c>
      <c r="B76" s="3298" t="s">
        <v>387</v>
      </c>
      <c r="C76" s="3340"/>
      <c r="D76" s="361">
        <f ca="1">IF(H76="转让取得",C99,C115)</f>
        <v>44269</v>
      </c>
      <c r="E76" s="16" t="s">
        <v>388</v>
      </c>
      <c r="F76" s="52" t="s">
        <v>20</v>
      </c>
      <c r="G76" s="360"/>
      <c r="H76" s="362" t="s">
        <v>389</v>
      </c>
      <c r="I76" s="41"/>
      <c r="J76" s="2034"/>
      <c r="K76" s="3053" t="str">
        <f>IF(项目基本情况!K6="上海银行",IF(K75="",4,K75+1),"")</f>
        <v/>
      </c>
      <c r="L76" s="3279" t="str">
        <f>IF(项目基本情况!K6="上海银行","其他处置费用","")</f>
        <v/>
      </c>
      <c r="M76" s="3280"/>
      <c r="N76" s="1294" t="str">
        <f>IF(项目基本情况!K6="上海银行",N89,"")</f>
        <v/>
      </c>
      <c r="O76" s="3281" t="str">
        <f>IF(项目基本情况!K6="上海银行","包含处置中涉及的律师、诉讼、拍卖、评估等费用","")</f>
        <v/>
      </c>
      <c r="P76" s="3282"/>
      <c r="Q76" s="2027"/>
      <c r="R76" s="2027"/>
      <c r="S76" s="2027"/>
      <c r="T76" s="2027"/>
      <c r="U76" s="2027"/>
      <c r="V76" s="2027"/>
    </row>
    <row r="77" spans="1:22" ht="27" thickBot="1">
      <c r="A77" s="3309" t="s">
        <v>391</v>
      </c>
      <c r="B77" s="3310"/>
      <c r="C77" s="3310"/>
      <c r="D77" s="365">
        <f ca="1">IF(H77="非个人房产","——",IF(H77="个人住宅",0,ROUND(D63*I77,0)))</f>
        <v>782</v>
      </c>
      <c r="E77" s="366" t="str">
        <f>IF(H77="非个人房产","——","销售额×税（费）率")</f>
        <v>销售额×税（费）率</v>
      </c>
      <c r="F77" s="367">
        <f>IF(H77="非个人房产","——",IF(H77="个人住宅","免征",I77))</f>
        <v>0.01</v>
      </c>
      <c r="G77" s="982" t="s">
        <v>382</v>
      </c>
      <c r="H77" s="362" t="s">
        <v>2846</v>
      </c>
      <c r="I77" s="368">
        <v>0.01</v>
      </c>
      <c r="J77" s="2034"/>
      <c r="K77" s="3305">
        <f>IF(AND(K75="",K76=""),4,IF(项目基本情况!K6="上海银行",K76+1,K75+1))</f>
        <v>5</v>
      </c>
      <c r="L77" s="3291" t="s">
        <v>2847</v>
      </c>
      <c r="M77" s="3059" t="s">
        <v>386</v>
      </c>
      <c r="N77" s="1300"/>
      <c r="O77" s="1301">
        <f ca="1">SUMIF(N72:N76,"&lt;9e307")</f>
        <v>49222</v>
      </c>
      <c r="P77" s="1302"/>
      <c r="Q77" s="3057">
        <f ca="1">O77/N69</f>
        <v>0.62933271962461479</v>
      </c>
      <c r="R77" s="2027"/>
      <c r="S77" s="2027"/>
      <c r="T77" s="2027"/>
      <c r="U77" s="2027"/>
      <c r="V77" s="2027"/>
    </row>
    <row r="78" spans="1:22" ht="12" customHeight="1">
      <c r="A78" s="1303"/>
      <c r="B78" s="310"/>
      <c r="C78" s="310"/>
      <c r="D78" s="310"/>
      <c r="E78" s="41"/>
      <c r="F78" s="41"/>
      <c r="G78" s="41"/>
      <c r="H78" s="1001"/>
      <c r="I78" s="310"/>
      <c r="J78" s="2034"/>
      <c r="K78" s="3305"/>
      <c r="L78" s="3291"/>
      <c r="M78" s="3059" t="s">
        <v>390</v>
      </c>
      <c r="N78" s="1300"/>
      <c r="O78" s="1301" t="str">
        <f ca="1">NUMBERSTRING(INT(O77*10000),2)&amp;"元整"</f>
        <v>肆亿玖仟贰佰贰拾贰万元整</v>
      </c>
      <c r="P78" s="1302"/>
      <c r="Q78" s="2027"/>
      <c r="R78" s="2027"/>
      <c r="S78" s="2027"/>
      <c r="T78" s="2027"/>
      <c r="U78" s="2027"/>
      <c r="V78" s="2027"/>
    </row>
    <row r="79" spans="1:22" ht="13.8" thickBot="1">
      <c r="A79" s="3295" t="s">
        <v>392</v>
      </c>
      <c r="B79" s="3295"/>
      <c r="C79" s="3295"/>
      <c r="D79" s="3295"/>
      <c r="E79" s="3295"/>
      <c r="F79" s="41"/>
      <c r="G79" s="41"/>
      <c r="H79" s="1001"/>
      <c r="I79" s="310"/>
      <c r="J79" s="2034"/>
      <c r="K79" s="3289">
        <f>K77+1</f>
        <v>6</v>
      </c>
      <c r="L79" s="3291" t="s">
        <v>2848</v>
      </c>
      <c r="M79" s="3059" t="s">
        <v>386</v>
      </c>
      <c r="N79" s="1300"/>
      <c r="O79" s="1301">
        <f ca="1">N69-O77</f>
        <v>28991</v>
      </c>
      <c r="P79" s="1302"/>
      <c r="Q79" s="2027"/>
      <c r="R79" s="2027"/>
      <c r="S79" s="2027"/>
      <c r="T79" s="2027"/>
      <c r="U79" s="2027"/>
      <c r="V79" s="2027"/>
    </row>
    <row r="80" spans="1:22" ht="26.4">
      <c r="A80" s="3296" t="s">
        <v>393</v>
      </c>
      <c r="B80" s="3297"/>
      <c r="C80" s="992"/>
      <c r="D80" s="992" t="s">
        <v>394</v>
      </c>
      <c r="E80" s="369" t="s">
        <v>395</v>
      </c>
      <c r="F80" s="41"/>
      <c r="G80" s="41"/>
      <c r="H80" s="1001"/>
      <c r="I80" s="310"/>
      <c r="J80" s="2027"/>
      <c r="K80" s="3290"/>
      <c r="L80" s="3291"/>
      <c r="M80" s="3059" t="s">
        <v>390</v>
      </c>
      <c r="N80" s="1300"/>
      <c r="O80" s="1301" t="str">
        <f ca="1">NUMBERSTRING(INT(O79*10000),2)&amp;"元整"</f>
        <v>贰亿捌仟玖佰玖拾壹万元整</v>
      </c>
      <c r="P80" s="1302"/>
      <c r="Q80" s="2027"/>
      <c r="R80" s="2027"/>
      <c r="S80" s="2027"/>
      <c r="T80" s="2027"/>
      <c r="U80" s="2027"/>
      <c r="V80" s="2027"/>
    </row>
    <row r="81" spans="1:26" ht="13.8" thickBot="1">
      <c r="A81" s="380" t="s">
        <v>1785</v>
      </c>
      <c r="B81" s="370" t="s">
        <v>396</v>
      </c>
      <c r="C81" s="371">
        <f ca="1">ROUND((C82+C83)/(1+'数据-取费表'!C42),0)</f>
        <v>74489</v>
      </c>
      <c r="D81" s="372"/>
      <c r="E81" s="373"/>
      <c r="F81" s="41"/>
      <c r="G81" s="41"/>
      <c r="H81" s="1001"/>
      <c r="I81" s="310"/>
      <c r="J81" s="2027"/>
      <c r="K81" s="3053">
        <f>K79+1</f>
        <v>7</v>
      </c>
      <c r="L81" s="3303" t="s">
        <v>2849</v>
      </c>
      <c r="M81" s="3304"/>
      <c r="N81" s="1304"/>
      <c r="O81" s="1305">
        <f ca="1">ROUND(O79*10000/'数据-汇总表'!E3,0)</f>
        <v>1086</v>
      </c>
      <c r="P81" s="1306"/>
      <c r="Q81" s="2027"/>
      <c r="R81" s="2027"/>
      <c r="S81" s="2027"/>
      <c r="T81" s="2027"/>
      <c r="U81" s="2027"/>
      <c r="V81" s="2027"/>
    </row>
    <row r="82" spans="1:26" ht="13.8" thickTop="1">
      <c r="A82" s="374" t="s">
        <v>1786</v>
      </c>
      <c r="B82" s="375" t="s">
        <v>397</v>
      </c>
      <c r="C82" s="376">
        <f ca="1">D63</f>
        <v>78213</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278" t="s">
        <v>2836</v>
      </c>
      <c r="L83" s="3065" t="s">
        <v>2837</v>
      </c>
      <c r="M83" s="3055">
        <f ca="1">IF(N69&gt;10000,N69*0.5%,IF(AND(N69&gt;1000,N69&lt;=10000),N69*1%,IF(AND(N69&gt;100,N69&lt;=1000),N69*3%,IF(AND(N69&gt;10,N69&lt;=100),N69*5%,N69*8%))))</f>
        <v>391.065</v>
      </c>
      <c r="N83" s="52">
        <f ca="1">ROUND(M83,1)</f>
        <v>391.1</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278"/>
      <c r="L84" s="3065" t="s">
        <v>2838</v>
      </c>
      <c r="M84" s="3055">
        <f ca="1">IF(N69&gt;2000,N69*0.5%,IF(AND(N69&gt;1000,N69&lt;=2000),N69*0.6%,IF(AND(N69&gt;500,N69&lt;=1000),N69*0.7%,IF(AND(N69&gt;200,N69&lt;=500),N69*0.8%,IF(AND(N69&gt;100,N69&lt;=200),N69*0.9%,IF(AND(N69&gt;50,N69&lt;=100),N69*1%,IF(AND(N69&gt;20,N69&lt;=50),N69*1.5%,IF(AND(N69&gt;10,N69&lt;=20),N69*2%,IF(AND(N69&gt;1,N69&lt;=10),N69*2.5%)))))))))</f>
        <v>391.065</v>
      </c>
      <c r="N84" s="52">
        <f t="shared" ref="N84:N85" ca="1" si="2">ROUND(M84,1)</f>
        <v>391.1</v>
      </c>
      <c r="O84" s="2027" t="s">
        <v>2839</v>
      </c>
      <c r="P84" s="2027"/>
      <c r="Q84" s="2027"/>
      <c r="R84" s="2027"/>
      <c r="S84" s="2027"/>
      <c r="T84" s="2027"/>
      <c r="U84" s="2027"/>
      <c r="V84" s="2027"/>
    </row>
    <row r="85" spans="1:26" ht="13.2">
      <c r="A85" s="380" t="s">
        <v>1789</v>
      </c>
      <c r="B85" s="381" t="s">
        <v>400</v>
      </c>
      <c r="C85" s="384">
        <f ca="1">C81-C84</f>
        <v>72489</v>
      </c>
      <c r="D85" s="377" t="s">
        <v>18</v>
      </c>
      <c r="E85" s="378"/>
      <c r="F85" s="41"/>
      <c r="G85" s="41"/>
      <c r="H85" s="1001"/>
      <c r="I85" s="310"/>
      <c r="J85" s="2027"/>
      <c r="K85" s="3278"/>
      <c r="L85" s="3065" t="s">
        <v>2840</v>
      </c>
      <c r="M85" s="3055">
        <f ca="1">IF(N69&gt;1000,N69*0.1%,IF(AND(N69&gt;500,N69&lt;=1000),N69*0.5%,IF(AND(N69&gt;50,N69&lt;=500),N69*1%,IF(AND(N69&gt;1,N69&lt;=50),N69*1.5%))))</f>
        <v>78.213000000000008</v>
      </c>
      <c r="N85" s="52">
        <f t="shared" ca="1" si="2"/>
        <v>78.2</v>
      </c>
      <c r="O85" s="2027" t="s">
        <v>2839</v>
      </c>
      <c r="P85" s="2027"/>
      <c r="Q85" s="2027"/>
      <c r="R85" s="2027"/>
      <c r="S85" s="2027"/>
      <c r="T85" s="2027"/>
      <c r="U85" s="2027"/>
      <c r="V85" s="2027"/>
    </row>
    <row r="86" spans="1:26" ht="13.8" thickBot="1">
      <c r="A86" s="385" t="s">
        <v>1790</v>
      </c>
      <c r="B86" s="386" t="s">
        <v>401</v>
      </c>
      <c r="C86" s="387">
        <f ca="1">IF(C85&lt;=0,0,ROUND(C85*D86,0))</f>
        <v>4059</v>
      </c>
      <c r="D86" s="388">
        <f>'数据-取费表'!B41</f>
        <v>5.6000000000000001E-2</v>
      </c>
      <c r="E86" s="389"/>
      <c r="F86" s="41"/>
      <c r="G86" s="41"/>
      <c r="H86" s="1001"/>
      <c r="I86" s="310"/>
      <c r="J86" s="2027"/>
      <c r="K86" s="3278"/>
      <c r="L86" s="3065" t="s">
        <v>2841</v>
      </c>
      <c r="M86" s="3055">
        <f ca="1">N69*0.5%</f>
        <v>391.065</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8"/>
      <c r="L87" s="3065" t="s">
        <v>2843</v>
      </c>
      <c r="M87" s="3055">
        <f ca="1">IF(N69&gt;=10000,(8.25+(N69-10000)*0.01%),IF(AND(N69&gt;=8000,N69&lt;10000),(7.85+(N69-8000)*0.02%),IF(AND(N69&gt;=5000,N69&lt;8000),(6.65+(N69-5000)*0.04%),IF(AND(N69&gt;=2000,N69&lt;5000),(4.25+(PN69-2000)*0.08%),IF(AND(N69&gt;=1000,N69&lt;2000),(2.75+(N69-1000)*0.15%),IF(AND(N69&gt;=100,N69&lt;1000),(0.5+(N69-100)*0.25%),IF(AND(N69&gt;0,N69&lt;100),N69*0.5%)))))))</f>
        <v>15.071300000000001</v>
      </c>
      <c r="N87" s="52">
        <f ca="1">ROUND(M87*0.9,1)</f>
        <v>13.6</v>
      </c>
      <c r="O87" s="3058"/>
      <c r="P87" s="310"/>
      <c r="Q87" s="2027"/>
      <c r="R87" s="2027"/>
      <c r="S87" s="2027"/>
      <c r="T87" s="2027"/>
      <c r="U87" s="2027"/>
      <c r="V87" s="2027"/>
      <c r="W87" s="291"/>
      <c r="X87" s="291"/>
      <c r="Y87" s="291"/>
      <c r="Z87" s="291"/>
    </row>
    <row r="88" spans="1:26" s="1312" customFormat="1" ht="14.4" thickBot="1">
      <c r="A88" s="3332" t="s">
        <v>402</v>
      </c>
      <c r="B88" s="3333"/>
      <c r="C88" s="3333"/>
      <c r="D88" s="3333"/>
      <c r="E88" s="3333"/>
      <c r="F88" s="3333"/>
      <c r="G88" s="3333"/>
      <c r="H88" s="3333"/>
      <c r="I88" s="1313"/>
      <c r="J88" s="2035"/>
      <c r="K88" s="3278"/>
      <c r="L88" s="3065" t="s">
        <v>2844</v>
      </c>
      <c r="M88" s="3055">
        <f ca="1">IF(N69&gt;10000,N69*0.5%,IF(AND(N69&gt;5000,N69&lt;=10000),N69*1%,IF(AND(N69&gt;1000,N69&lt;=5000),N69*2%,IF(AND(N69&gt;200,N69&lt;=1000),N69*3%,N69*5%))))</f>
        <v>391.065</v>
      </c>
      <c r="N88" s="52">
        <f ca="1">ROUND(M88,1)</f>
        <v>391.1</v>
      </c>
      <c r="O88" s="3058"/>
      <c r="P88" s="10"/>
      <c r="Q88" s="2032"/>
      <c r="R88" s="2032"/>
      <c r="S88" s="2032"/>
      <c r="T88" s="2032"/>
      <c r="U88" s="2032"/>
      <c r="V88" s="2032"/>
      <c r="W88" s="2036"/>
      <c r="X88" s="2036"/>
      <c r="Y88" s="2036"/>
      <c r="Z88" s="2036"/>
    </row>
    <row r="89" spans="1:26" s="1312" customFormat="1" ht="13.8">
      <c r="A89" s="3296" t="s">
        <v>393</v>
      </c>
      <c r="B89" s="3297"/>
      <c r="C89" s="992"/>
      <c r="D89" s="992" t="s">
        <v>394</v>
      </c>
      <c r="E89" s="390" t="s">
        <v>403</v>
      </c>
      <c r="F89" s="391"/>
      <c r="G89" s="391"/>
      <c r="H89" s="392"/>
      <c r="I89" s="1314"/>
      <c r="J89" s="2037"/>
      <c r="K89" s="3278"/>
      <c r="L89" s="3065" t="s">
        <v>26</v>
      </c>
      <c r="M89" s="3056"/>
      <c r="N89" s="52">
        <f ca="1">ROUND(SUM(N83:N88),0)</f>
        <v>1266</v>
      </c>
      <c r="O89" s="3066">
        <f ca="1">N89/N69</f>
        <v>1.6186567450423843E-2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74489</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3008</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29" t="s">
        <v>412</v>
      </c>
      <c r="F94" s="3330"/>
      <c r="G94" s="3330"/>
      <c r="H94" s="3331"/>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447</v>
      </c>
      <c r="D96" s="405">
        <f>'数据-取费表'!B43</f>
        <v>6.000000000000001E-3</v>
      </c>
      <c r="E96" s="3319" t="s">
        <v>2390</v>
      </c>
      <c r="F96" s="3320"/>
      <c r="G96" s="3320"/>
      <c r="H96" s="3321"/>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71481</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23.763630319148938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41836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2" t="s">
        <v>419</v>
      </c>
      <c r="B101" s="3333"/>
      <c r="C101" s="3333"/>
      <c r="D101" s="3333"/>
      <c r="E101" s="3333"/>
      <c r="F101" s="3333"/>
      <c r="G101" s="3333"/>
      <c r="H101" s="3333"/>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296" t="s">
        <v>393</v>
      </c>
      <c r="B102" s="3297"/>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74489</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447</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22" t="s">
        <v>427</v>
      </c>
      <c r="F109" s="3320"/>
      <c r="G109" s="3320"/>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22" t="s">
        <v>429</v>
      </c>
      <c r="F110" s="3320"/>
      <c r="G110" s="3320"/>
      <c r="H110" s="3321"/>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447</v>
      </c>
      <c r="D111" s="405">
        <f>'数据-取费表'!B43</f>
        <v>6.000000000000001E-3</v>
      </c>
      <c r="E111" s="3319" t="s">
        <v>2390</v>
      </c>
      <c r="F111" s="3320"/>
      <c r="G111" s="3320"/>
      <c r="H111" s="3321"/>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22" t="s">
        <v>2415</v>
      </c>
      <c r="F112" s="3320"/>
      <c r="G112" s="3320"/>
      <c r="H112" s="3321"/>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74042</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165.64205816554809</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44269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7" zoomScale="80" zoomScaleNormal="95" zoomScaleSheetLayoutView="80" workbookViewId="0">
      <selection activeCell="I15" sqref="I15"/>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51311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1922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6727</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448</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77" t="s">
        <v>487</v>
      </c>
      <c r="D6" s="3378"/>
      <c r="E6" s="3377" t="s">
        <v>488</v>
      </c>
      <c r="F6" s="3378"/>
      <c r="G6" s="3377" t="s">
        <v>489</v>
      </c>
      <c r="H6" s="3378"/>
      <c r="I6" s="3377" t="s">
        <v>490</v>
      </c>
      <c r="J6" s="3378"/>
      <c r="K6" s="513" t="s">
        <v>491</v>
      </c>
      <c r="L6" s="2131"/>
      <c r="M6" s="2131"/>
      <c r="N6" s="2131"/>
      <c r="O6" s="2133"/>
      <c r="P6" s="3379" t="s">
        <v>492</v>
      </c>
      <c r="Q6" s="3380"/>
      <c r="R6" s="3365" t="s">
        <v>488</v>
      </c>
      <c r="S6" s="3366"/>
      <c r="T6" s="3365" t="s">
        <v>489</v>
      </c>
      <c r="U6" s="3366"/>
      <c r="V6" s="3385" t="s">
        <v>490</v>
      </c>
      <c r="W6" s="3385"/>
      <c r="X6" s="1565"/>
      <c r="Y6" s="3365" t="s">
        <v>492</v>
      </c>
      <c r="Z6" s="3366"/>
      <c r="AA6" s="3360" t="s">
        <v>488</v>
      </c>
      <c r="AB6" s="3361" t="s">
        <v>489</v>
      </c>
      <c r="AC6" s="3360" t="s">
        <v>490</v>
      </c>
    </row>
    <row r="7" spans="1:30" ht="21">
      <c r="A7" s="514"/>
      <c r="B7" s="515"/>
      <c r="C7" s="3390" t="s">
        <v>2889</v>
      </c>
      <c r="D7" s="3389"/>
      <c r="E7" s="3388" t="str">
        <f>土地案例!A11</f>
        <v>S241西侧,水关西路北侧</v>
      </c>
      <c r="F7" s="3389"/>
      <c r="G7" s="3388" t="str">
        <f>土地案例!A19</f>
        <v>金陵西路南侧</v>
      </c>
      <c r="H7" s="3389"/>
      <c r="I7" s="3388" t="str">
        <f>土地案例!A17</f>
        <v>西环路东侧</v>
      </c>
      <c r="J7" s="3389"/>
      <c r="K7" s="513"/>
      <c r="L7" s="2132"/>
      <c r="M7" s="2131"/>
      <c r="N7" s="2131"/>
      <c r="O7" s="2133"/>
      <c r="P7" s="3381"/>
      <c r="Q7" s="3382"/>
      <c r="R7" s="3367"/>
      <c r="S7" s="3368"/>
      <c r="T7" s="3367"/>
      <c r="U7" s="3368"/>
      <c r="V7" s="3385"/>
      <c r="W7" s="3385"/>
      <c r="X7" s="1565"/>
      <c r="Y7" s="3367"/>
      <c r="Z7" s="3368"/>
      <c r="AA7" s="3361"/>
      <c r="AB7" s="3361"/>
      <c r="AC7" s="3361"/>
    </row>
    <row r="8" spans="1:30" ht="21.6" thickBot="1">
      <c r="A8" s="514"/>
      <c r="B8" s="515"/>
      <c r="C8" s="3391" t="s">
        <v>2893</v>
      </c>
      <c r="D8" s="3392"/>
      <c r="E8" s="3391" t="s">
        <v>2893</v>
      </c>
      <c r="F8" s="3392"/>
      <c r="G8" s="3386" t="s">
        <v>2893</v>
      </c>
      <c r="H8" s="3387"/>
      <c r="I8" s="3386" t="s">
        <v>2893</v>
      </c>
      <c r="J8" s="3387"/>
      <c r="K8" s="513" t="s">
        <v>493</v>
      </c>
      <c r="L8" s="2132"/>
      <c r="M8" s="2131"/>
      <c r="N8" s="2131"/>
      <c r="O8" s="2133"/>
      <c r="P8" s="3383"/>
      <c r="Q8" s="3384"/>
      <c r="R8" s="3367"/>
      <c r="S8" s="3368"/>
      <c r="T8" s="3369"/>
      <c r="U8" s="3370"/>
      <c r="V8" s="3385"/>
      <c r="W8" s="3385"/>
      <c r="X8" s="1565"/>
      <c r="Y8" s="3369"/>
      <c r="Z8" s="3370"/>
      <c r="AA8" s="3362"/>
      <c r="AB8" s="3362"/>
      <c r="AC8" s="3362"/>
    </row>
    <row r="9" spans="1:30" s="1218" customFormat="1" ht="21.6" thickBot="1">
      <c r="A9" s="2911"/>
      <c r="B9" s="2918" t="s">
        <v>494</v>
      </c>
      <c r="C9" s="2910">
        <f>'数据-取费表'!B2</f>
        <v>43416</v>
      </c>
      <c r="D9" s="519">
        <v>100</v>
      </c>
      <c r="E9" s="520" t="str">
        <f>土地案例!AA11</f>
        <v>2017-10-18</v>
      </c>
      <c r="F9" s="521">
        <f>SUMIF(72:72,YEAR(E9)&amp;"-"&amp;INT((MONTH(E9)+2)/3),73:73)</f>
        <v>92</v>
      </c>
      <c r="G9" s="522" t="str">
        <f>土地案例!AA19</f>
        <v>2017-07-31</v>
      </c>
      <c r="H9" s="519">
        <f>SUMIF(72:72,YEAR(G9)&amp;"-"&amp;INT((MONTH(G9)+2)/3),73:73)</f>
        <v>90</v>
      </c>
      <c r="I9" s="522" t="str">
        <f>土地案例!AA17</f>
        <v>2017-10-18</v>
      </c>
      <c r="J9" s="519">
        <f>SUMIF(72:72,YEAR(I9)&amp;"-"&amp;INT((MONTH(I9)+2)/3),73:73)</f>
        <v>92</v>
      </c>
      <c r="K9" s="523"/>
      <c r="L9" s="2134"/>
      <c r="M9" s="2131"/>
      <c r="N9" s="2131"/>
      <c r="O9" s="2135"/>
      <c r="P9" s="3363" t="s">
        <v>495</v>
      </c>
      <c r="Q9" s="3372"/>
      <c r="R9" s="1566" t="s">
        <v>8</v>
      </c>
      <c r="S9" s="1567">
        <f t="shared" ref="S9:S17" si="0">F9</f>
        <v>92</v>
      </c>
      <c r="T9" s="1566" t="s">
        <v>8</v>
      </c>
      <c r="U9" s="1567">
        <f t="shared" ref="U9:U17" si="1">H9</f>
        <v>90</v>
      </c>
      <c r="V9" s="1566" t="s">
        <v>8</v>
      </c>
      <c r="W9" s="1567">
        <f t="shared" ref="W9:W17" si="2">J9</f>
        <v>92</v>
      </c>
      <c r="X9" s="1568"/>
      <c r="Y9" s="3363" t="s">
        <v>495</v>
      </c>
      <c r="Z9" s="3364"/>
      <c r="AA9" s="1569">
        <f>D9/F9</f>
        <v>1.0869565217391304</v>
      </c>
      <c r="AB9" s="1569">
        <f>D9/H9</f>
        <v>1.1111111111111112</v>
      </c>
      <c r="AC9" s="1569">
        <f>D9/J9</f>
        <v>1.0869565217391304</v>
      </c>
    </row>
    <row r="10" spans="1:30" s="1218" customFormat="1" ht="21.6" thickBot="1">
      <c r="A10" s="2912"/>
      <c r="B10" s="2919" t="s">
        <v>496</v>
      </c>
      <c r="C10" s="855" t="s">
        <v>497</v>
      </c>
      <c r="D10" s="519">
        <v>100</v>
      </c>
      <c r="E10" s="524" t="s">
        <v>2973</v>
      </c>
      <c r="F10" s="521">
        <f>SUMIF(75:75,E10,76:76)-SUMIF(75:75,C10,76:76)+100</f>
        <v>100</v>
      </c>
      <c r="G10" s="524" t="s">
        <v>2973</v>
      </c>
      <c r="H10" s="519">
        <f>SUMIF(75:75,G10,76:76)-SUMIF(75:75,C10,76:76)+100</f>
        <v>100</v>
      </c>
      <c r="I10" s="524" t="s">
        <v>2973</v>
      </c>
      <c r="J10" s="519">
        <f>SUMIF(75:75,I10,76:76)-SUMIF(75:75,C10,76:76)+100</f>
        <v>100</v>
      </c>
      <c r="K10" s="523"/>
      <c r="L10" s="2134"/>
      <c r="M10" s="2131"/>
      <c r="N10" s="2131"/>
      <c r="O10" s="2135"/>
      <c r="P10" s="3363" t="s">
        <v>498</v>
      </c>
      <c r="Q10" s="3364"/>
      <c r="R10" s="1566" t="s">
        <v>8</v>
      </c>
      <c r="S10" s="1567">
        <f t="shared" si="0"/>
        <v>100</v>
      </c>
      <c r="T10" s="1566" t="s">
        <v>8</v>
      </c>
      <c r="U10" s="1567">
        <f t="shared" si="1"/>
        <v>100</v>
      </c>
      <c r="V10" s="1566" t="s">
        <v>8</v>
      </c>
      <c r="W10" s="1567">
        <f t="shared" si="2"/>
        <v>100</v>
      </c>
      <c r="X10" s="1568"/>
      <c r="Y10" s="3363" t="s">
        <v>498</v>
      </c>
      <c r="Z10" s="3364"/>
      <c r="AA10" s="1569">
        <f t="shared" ref="AA10:AA47" si="3">D10/F10</f>
        <v>1</v>
      </c>
      <c r="AB10" s="1569">
        <f t="shared" ref="AB10:AB47" si="4">D10/H10</f>
        <v>1</v>
      </c>
      <c r="AC10" s="1569">
        <f t="shared" ref="AC10:AC47" si="5">D10/J10</f>
        <v>1</v>
      </c>
    </row>
    <row r="11" spans="1:30" s="1218" customFormat="1" ht="21">
      <c r="A11" s="2913"/>
      <c r="B11" s="2920" t="s">
        <v>2718</v>
      </c>
      <c r="C11" s="2907"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4"/>
      <c r="M11" s="2131"/>
      <c r="N11" s="2131"/>
      <c r="O11" s="2136"/>
      <c r="P11" s="3371" t="s">
        <v>500</v>
      </c>
      <c r="Q11" s="1149" t="str">
        <f t="shared" ref="Q11:Q17" si="6">B11</f>
        <v>用途</v>
      </c>
      <c r="R11" s="1566" t="s">
        <v>8</v>
      </c>
      <c r="S11" s="1567">
        <f t="shared" si="0"/>
        <v>100</v>
      </c>
      <c r="T11" s="1566" t="s">
        <v>8</v>
      </c>
      <c r="U11" s="1567">
        <f t="shared" si="1"/>
        <v>100</v>
      </c>
      <c r="V11" s="1566" t="s">
        <v>8</v>
      </c>
      <c r="W11" s="1567">
        <f t="shared" si="2"/>
        <v>100</v>
      </c>
      <c r="X11" s="1568"/>
      <c r="Y11" s="3328" t="s">
        <v>501</v>
      </c>
      <c r="Z11" s="1148" t="str">
        <f t="shared" ref="Z11:Z17" si="7">Q11</f>
        <v>用途</v>
      </c>
      <c r="AA11" s="1569">
        <f t="shared" si="3"/>
        <v>1</v>
      </c>
      <c r="AB11" s="1569">
        <f t="shared" si="4"/>
        <v>1</v>
      </c>
      <c r="AC11" s="1569">
        <f t="shared" si="5"/>
        <v>1</v>
      </c>
    </row>
    <row r="12" spans="1:30" s="1336" customFormat="1" ht="28.8">
      <c r="A12" s="2914"/>
      <c r="B12" s="2919" t="s">
        <v>2719</v>
      </c>
      <c r="C12" s="908">
        <f>项目基本情况!D19</f>
        <v>64.58</v>
      </c>
      <c r="D12" s="254">
        <v>100</v>
      </c>
      <c r="E12" s="528" t="s">
        <v>3264</v>
      </c>
      <c r="F12" s="254">
        <f>ROUND(100/'数据-取费表'!G16,0)</f>
        <v>102</v>
      </c>
      <c r="G12" s="529" t="s">
        <v>3264</v>
      </c>
      <c r="H12" s="254">
        <f>ROUND(100/'数据-取费表'!G16,0)</f>
        <v>102</v>
      </c>
      <c r="I12" s="529" t="s">
        <v>3264</v>
      </c>
      <c r="J12" s="254">
        <f>ROUND(100/'数据-取费表'!G16,0)</f>
        <v>102</v>
      </c>
      <c r="K12" s="530"/>
      <c r="L12" s="2137"/>
      <c r="M12" s="2131"/>
      <c r="N12" s="2131"/>
      <c r="O12" s="2138"/>
      <c r="P12" s="3371"/>
      <c r="Q12" s="1149" t="str">
        <f t="shared" si="6"/>
        <v>土地使用年限（年）</v>
      </c>
      <c r="R12" s="1566" t="s">
        <v>8</v>
      </c>
      <c r="S12" s="1567">
        <f t="shared" si="0"/>
        <v>102</v>
      </c>
      <c r="T12" s="1566" t="s">
        <v>8</v>
      </c>
      <c r="U12" s="1567">
        <f t="shared" si="1"/>
        <v>102</v>
      </c>
      <c r="V12" s="1566" t="s">
        <v>8</v>
      </c>
      <c r="W12" s="1567">
        <f t="shared" si="2"/>
        <v>102</v>
      </c>
      <c r="X12" s="1568"/>
      <c r="Y12" s="3328"/>
      <c r="Z12" s="1148" t="str">
        <f t="shared" si="7"/>
        <v>土地使用年限（年）</v>
      </c>
      <c r="AA12" s="1569">
        <f t="shared" si="3"/>
        <v>0.98039215686274506</v>
      </c>
      <c r="AB12" s="1569">
        <f t="shared" si="4"/>
        <v>0.98039215686274506</v>
      </c>
      <c r="AC12" s="1569">
        <f t="shared" si="5"/>
        <v>0.98039215686274506</v>
      </c>
    </row>
    <row r="13" spans="1:30" ht="21">
      <c r="A13" s="2915"/>
      <c r="B13" s="2919" t="s">
        <v>2720</v>
      </c>
      <c r="C13" s="533">
        <f>'数据-汇总表'!I4</f>
        <v>3.5</v>
      </c>
      <c r="D13" s="254">
        <v>100</v>
      </c>
      <c r="E13" s="532">
        <v>2.5</v>
      </c>
      <c r="F13" s="254">
        <f>LOOKUP(E13,82:82,83:83)-LOOKUP(C13,82:82,83:83)+100</f>
        <v>105</v>
      </c>
      <c r="G13" s="533">
        <v>3.5</v>
      </c>
      <c r="H13" s="254">
        <f>LOOKUP(G13,82:82,83:83)-LOOKUP(C13,82:82,83:83)+100</f>
        <v>100</v>
      </c>
      <c r="I13" s="532">
        <v>2.5</v>
      </c>
      <c r="J13" s="254">
        <f>LOOKUP(I13,82:82,83:83)-LOOKUP(C13,82:82,83:83)+100</f>
        <v>105</v>
      </c>
      <c r="K13" s="534">
        <v>5</v>
      </c>
      <c r="L13" s="2139"/>
      <c r="M13" s="2131"/>
      <c r="N13" s="2131"/>
      <c r="O13" s="2140"/>
      <c r="P13" s="3371"/>
      <c r="Q13" s="1149" t="str">
        <f t="shared" si="6"/>
        <v>容积率</v>
      </c>
      <c r="R13" s="1566" t="s">
        <v>8</v>
      </c>
      <c r="S13" s="1567">
        <f t="shared" si="0"/>
        <v>105</v>
      </c>
      <c r="T13" s="1566" t="s">
        <v>8</v>
      </c>
      <c r="U13" s="1567">
        <f t="shared" si="1"/>
        <v>100</v>
      </c>
      <c r="V13" s="1566" t="s">
        <v>8</v>
      </c>
      <c r="W13" s="1567">
        <f t="shared" si="2"/>
        <v>105</v>
      </c>
      <c r="X13" s="1568"/>
      <c r="Y13" s="3328"/>
      <c r="Z13" s="1148" t="str">
        <f t="shared" si="7"/>
        <v>容积率</v>
      </c>
      <c r="AA13" s="1569">
        <f t="shared" si="3"/>
        <v>0.95238095238095233</v>
      </c>
      <c r="AB13" s="1569">
        <f t="shared" si="4"/>
        <v>1</v>
      </c>
      <c r="AC13" s="1569">
        <f t="shared" si="5"/>
        <v>0.95238095238095233</v>
      </c>
    </row>
    <row r="14" spans="1:30" s="1218" customFormat="1" ht="2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71"/>
      <c r="Q14" s="1149" t="str">
        <f t="shared" si="6"/>
        <v>配建</v>
      </c>
      <c r="R14" s="1566" t="s">
        <v>8</v>
      </c>
      <c r="S14" s="1567">
        <f t="shared" si="0"/>
        <v>100</v>
      </c>
      <c r="T14" s="1566" t="s">
        <v>8</v>
      </c>
      <c r="U14" s="1567">
        <f t="shared" si="1"/>
        <v>100</v>
      </c>
      <c r="V14" s="1566" t="s">
        <v>8</v>
      </c>
      <c r="W14" s="1567">
        <f t="shared" si="2"/>
        <v>100</v>
      </c>
      <c r="X14" s="1568"/>
      <c r="Y14" s="3328"/>
      <c r="Z14" s="1148" t="str">
        <f t="shared" si="7"/>
        <v>配建</v>
      </c>
      <c r="AA14" s="1569">
        <f>D14/F14</f>
        <v>1</v>
      </c>
      <c r="AB14" s="1569">
        <f>D14/H14</f>
        <v>1</v>
      </c>
      <c r="AC14" s="1569">
        <f>D14/J14</f>
        <v>1</v>
      </c>
    </row>
    <row r="15" spans="1:30" ht="2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1"/>
      <c r="Q15" s="1149">
        <f t="shared" si="6"/>
        <v>0</v>
      </c>
      <c r="R15" s="1566" t="s">
        <v>8</v>
      </c>
      <c r="S15" s="1567">
        <f t="shared" si="0"/>
        <v>100</v>
      </c>
      <c r="T15" s="1566" t="s">
        <v>8</v>
      </c>
      <c r="U15" s="1567">
        <f t="shared" si="1"/>
        <v>100</v>
      </c>
      <c r="V15" s="1566" t="s">
        <v>8</v>
      </c>
      <c r="W15" s="1567">
        <f t="shared" si="2"/>
        <v>100</v>
      </c>
      <c r="X15" s="1568"/>
      <c r="Y15" s="3328"/>
      <c r="Z15" s="1148">
        <f t="shared" si="7"/>
        <v>0</v>
      </c>
      <c r="AA15" s="1569">
        <f>D15/F15</f>
        <v>1</v>
      </c>
      <c r="AB15" s="1569">
        <f>D15/H15</f>
        <v>1</v>
      </c>
      <c r="AC15" s="1569">
        <f>D15/J15</f>
        <v>1</v>
      </c>
    </row>
    <row r="16" spans="1:30" ht="21.6"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1"/>
      <c r="Q16" s="1149">
        <f t="shared" si="6"/>
        <v>0</v>
      </c>
      <c r="R16" s="1566" t="s">
        <v>8</v>
      </c>
      <c r="S16" s="1567">
        <f t="shared" si="0"/>
        <v>100</v>
      </c>
      <c r="T16" s="1566" t="s">
        <v>8</v>
      </c>
      <c r="U16" s="1567">
        <f t="shared" si="1"/>
        <v>100</v>
      </c>
      <c r="V16" s="1566" t="s">
        <v>8</v>
      </c>
      <c r="W16" s="1567">
        <f t="shared" si="2"/>
        <v>100</v>
      </c>
      <c r="X16" s="1568"/>
      <c r="Y16" s="3328"/>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2974</v>
      </c>
      <c r="F17" s="548">
        <f>SUMIF(90:90,E18,91:91)-SUMIF(90:90,C18,91:91)+100</f>
        <v>101</v>
      </c>
      <c r="G17" s="551" t="s">
        <v>2974</v>
      </c>
      <c r="H17" s="548">
        <f>SUMIF(90:90,G18,91:91)-SUMIF(90:90,C18,91:91)+100</f>
        <v>101</v>
      </c>
      <c r="I17" s="551" t="s">
        <v>2974</v>
      </c>
      <c r="J17" s="548">
        <f>SUMIF(90:90,I18,91:91)-SUMIF(90:90,C18,91:91)+100</f>
        <v>101</v>
      </c>
      <c r="K17" s="534">
        <v>1</v>
      </c>
      <c r="L17" s="2141"/>
      <c r="M17" s="2131"/>
      <c r="N17" s="2131"/>
      <c r="O17" s="2140"/>
      <c r="P17" s="3373" t="s">
        <v>505</v>
      </c>
      <c r="Q17" s="1570" t="str">
        <f t="shared" si="6"/>
        <v>居住社区成熟度</v>
      </c>
      <c r="R17" s="1571" t="s">
        <v>8</v>
      </c>
      <c r="S17" s="1572">
        <f t="shared" si="0"/>
        <v>101</v>
      </c>
      <c r="T17" s="1571" t="s">
        <v>8</v>
      </c>
      <c r="U17" s="1572">
        <f t="shared" si="1"/>
        <v>101</v>
      </c>
      <c r="V17" s="1571" t="s">
        <v>8</v>
      </c>
      <c r="W17" s="1572">
        <f t="shared" si="2"/>
        <v>101</v>
      </c>
      <c r="X17" s="1565"/>
      <c r="Y17" s="3373" t="s">
        <v>505</v>
      </c>
      <c r="Z17" s="1573" t="str">
        <f t="shared" si="7"/>
        <v>居住社区成熟度</v>
      </c>
      <c r="AA17" s="1574">
        <f t="shared" si="3"/>
        <v>0.99009900990099009</v>
      </c>
      <c r="AB17" s="1574">
        <f t="shared" si="4"/>
        <v>0.99009900990099009</v>
      </c>
      <c r="AC17" s="1574">
        <f t="shared" si="5"/>
        <v>0.99009900990099009</v>
      </c>
    </row>
    <row r="18" spans="1:29" ht="21">
      <c r="A18" s="531"/>
      <c r="B18" s="552"/>
      <c r="C18" s="553" t="s">
        <v>3003</v>
      </c>
      <c r="D18" s="556"/>
      <c r="E18" s="553" t="s">
        <v>2949</v>
      </c>
      <c r="F18" s="554"/>
      <c r="G18" s="557" t="s">
        <v>2949</v>
      </c>
      <c r="H18" s="558"/>
      <c r="I18" s="557" t="s">
        <v>2949</v>
      </c>
      <c r="J18" s="554"/>
      <c r="K18" s="530"/>
      <c r="L18" s="2141"/>
      <c r="M18" s="2131"/>
      <c r="N18" s="2131"/>
      <c r="O18" s="2140"/>
      <c r="P18" s="3374"/>
      <c r="Q18" s="1570"/>
      <c r="R18" s="1571"/>
      <c r="S18" s="1572"/>
      <c r="T18" s="1571"/>
      <c r="U18" s="1572"/>
      <c r="V18" s="1571"/>
      <c r="W18" s="1572"/>
      <c r="X18" s="1565"/>
      <c r="Y18" s="3374"/>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2975</v>
      </c>
      <c r="F19" s="558">
        <f>SUMIF(92:92,E20,93:93)-SUMIF(92:92,C20,93:93)+100</f>
        <v>101</v>
      </c>
      <c r="G19" s="563" t="s">
        <v>2975</v>
      </c>
      <c r="H19" s="564">
        <f>SUMIF(92:92,G20,93:93)-SUMIF(92:92,C20,93:93)+100</f>
        <v>101</v>
      </c>
      <c r="I19" s="563" t="s">
        <v>2975</v>
      </c>
      <c r="J19" s="564">
        <f>SUMIF(92:92,I20,93:93)-SUMIF(92:92,C20,93:93)+100</f>
        <v>101</v>
      </c>
      <c r="K19" s="534">
        <v>1</v>
      </c>
      <c r="L19" s="2141"/>
      <c r="M19" s="2131"/>
      <c r="N19" s="2131"/>
      <c r="O19" s="2140"/>
      <c r="P19" s="3374"/>
      <c r="Q19" s="1570" t="str">
        <f>B19</f>
        <v>商业繁华度</v>
      </c>
      <c r="R19" s="1571" t="s">
        <v>8</v>
      </c>
      <c r="S19" s="1572">
        <f>F19</f>
        <v>101</v>
      </c>
      <c r="T19" s="1571" t="s">
        <v>8</v>
      </c>
      <c r="U19" s="1572">
        <f>H19</f>
        <v>101</v>
      </c>
      <c r="V19" s="1571" t="s">
        <v>8</v>
      </c>
      <c r="W19" s="1572">
        <f>J19</f>
        <v>101</v>
      </c>
      <c r="X19" s="1565"/>
      <c r="Y19" s="3374"/>
      <c r="Z19" s="1573" t="str">
        <f>Q19</f>
        <v>商业繁华度</v>
      </c>
      <c r="AA19" s="1574">
        <f t="shared" si="3"/>
        <v>0.99009900990099009</v>
      </c>
      <c r="AB19" s="1574">
        <f t="shared" si="4"/>
        <v>0.99009900990099009</v>
      </c>
      <c r="AC19" s="1574">
        <f t="shared" si="5"/>
        <v>0.99009900990099009</v>
      </c>
    </row>
    <row r="20" spans="1:29" ht="21">
      <c r="A20" s="531"/>
      <c r="B20" s="565"/>
      <c r="C20" s="566" t="s">
        <v>3003</v>
      </c>
      <c r="D20" s="562"/>
      <c r="E20" s="568" t="s">
        <v>2949</v>
      </c>
      <c r="F20" s="558"/>
      <c r="G20" s="568" t="s">
        <v>2949</v>
      </c>
      <c r="H20" s="554"/>
      <c r="I20" s="568" t="s">
        <v>2949</v>
      </c>
      <c r="J20" s="554"/>
      <c r="K20" s="530"/>
      <c r="L20" s="2141"/>
      <c r="M20" s="2131"/>
      <c r="N20" s="2131"/>
      <c r="O20" s="2140"/>
      <c r="P20" s="3374"/>
      <c r="Q20" s="1570"/>
      <c r="R20" s="1571"/>
      <c r="S20" s="1572"/>
      <c r="T20" s="1571"/>
      <c r="U20" s="1572"/>
      <c r="V20" s="1571"/>
      <c r="W20" s="1572"/>
      <c r="X20" s="1565"/>
      <c r="Y20" s="3374"/>
      <c r="Z20" s="1573"/>
      <c r="AA20" s="1574">
        <v>1</v>
      </c>
      <c r="AB20" s="1574">
        <v>1</v>
      </c>
      <c r="AC20" s="1574">
        <v>1</v>
      </c>
    </row>
    <row r="21" spans="1:29" ht="69">
      <c r="A21" s="531"/>
      <c r="B21" s="559" t="s">
        <v>507</v>
      </c>
      <c r="C21" s="560" t="str">
        <f>估价对象房地状况!C17</f>
        <v>估价对象位于XX商圈，周边办公楼项目较多，入驻率高，办公集聚程度较好</v>
      </c>
      <c r="D21" s="570">
        <v>100</v>
      </c>
      <c r="E21" s="571" t="s">
        <v>2976</v>
      </c>
      <c r="F21" s="564">
        <f>SUMIF(94:94,E22,95:95)-SUMIF(94:94,C22,95:95)+100</f>
        <v>100</v>
      </c>
      <c r="G21" s="571" t="s">
        <v>2976</v>
      </c>
      <c r="H21" s="558">
        <f>SUMIF(94:94,G22,95:95)-SUMIF(94:94,C22,95:95)+100</f>
        <v>100</v>
      </c>
      <c r="I21" s="571" t="s">
        <v>2976</v>
      </c>
      <c r="J21" s="558">
        <f>SUMIF(94:94,I22,95:95)-SUMIF(94:94,C22,95:95)+100</f>
        <v>100</v>
      </c>
      <c r="K21" s="534"/>
      <c r="L21" s="2141"/>
      <c r="M21" s="2131"/>
      <c r="N21" s="2131"/>
      <c r="O21" s="2140"/>
      <c r="P21" s="3374"/>
      <c r="Q21" s="1570" t="str">
        <f>B21</f>
        <v>办公集聚程度</v>
      </c>
      <c r="R21" s="1571" t="s">
        <v>8</v>
      </c>
      <c r="S21" s="1572">
        <f>F21</f>
        <v>100</v>
      </c>
      <c r="T21" s="1571" t="s">
        <v>8</v>
      </c>
      <c r="U21" s="1572">
        <f>H21</f>
        <v>100</v>
      </c>
      <c r="V21" s="1571" t="s">
        <v>8</v>
      </c>
      <c r="W21" s="1572">
        <f>J21</f>
        <v>100</v>
      </c>
      <c r="X21" s="1565"/>
      <c r="Y21" s="3374"/>
      <c r="Z21" s="1573" t="str">
        <f>Q21</f>
        <v>办公集聚程度</v>
      </c>
      <c r="AA21" s="1574">
        <f t="shared" si="3"/>
        <v>1</v>
      </c>
      <c r="AB21" s="1574">
        <f t="shared" si="4"/>
        <v>1</v>
      </c>
      <c r="AC21" s="1574">
        <f t="shared" si="5"/>
        <v>1</v>
      </c>
    </row>
    <row r="22" spans="1:29" ht="21">
      <c r="A22" s="531"/>
      <c r="B22" s="565"/>
      <c r="C22" s="553"/>
      <c r="D22" s="556"/>
      <c r="E22" s="557"/>
      <c r="F22" s="554"/>
      <c r="G22" s="557"/>
      <c r="H22" s="554"/>
      <c r="I22" s="557"/>
      <c r="J22" s="554"/>
      <c r="K22" s="530"/>
      <c r="L22" s="2141"/>
      <c r="M22" s="2131"/>
      <c r="N22" s="2131"/>
      <c r="O22" s="2140"/>
      <c r="P22" s="3374"/>
      <c r="Q22" s="1570"/>
      <c r="R22" s="1571"/>
      <c r="S22" s="1572"/>
      <c r="T22" s="1571"/>
      <c r="U22" s="1572"/>
      <c r="V22" s="1571"/>
      <c r="W22" s="1572"/>
      <c r="X22" s="1565"/>
      <c r="Y22" s="3374"/>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2977</v>
      </c>
      <c r="F23" s="564">
        <f>SUMIF(96:96,E24,97:97)-SUMIF(96:96,C24,97:97)+100</f>
        <v>101</v>
      </c>
      <c r="G23" s="563" t="s">
        <v>2977</v>
      </c>
      <c r="H23" s="558">
        <f>SUMIF(96:96,G24,97:97)-SUMIF(96:96,C24,97:97)+100</f>
        <v>101</v>
      </c>
      <c r="I23" s="563" t="s">
        <v>2977</v>
      </c>
      <c r="J23" s="558">
        <f>SUMIF(96:96,I24,97:97)-SUMIF(96:96,C24,97:97)+100</f>
        <v>101</v>
      </c>
      <c r="K23" s="534">
        <v>1</v>
      </c>
      <c r="L23" s="2141"/>
      <c r="M23" s="2131"/>
      <c r="N23" s="2131"/>
      <c r="O23" s="2140"/>
      <c r="P23" s="3374"/>
      <c r="Q23" s="1570" t="str">
        <f>B23</f>
        <v>交通便捷度</v>
      </c>
      <c r="R23" s="1571" t="s">
        <v>8</v>
      </c>
      <c r="S23" s="1572">
        <f>F23</f>
        <v>101</v>
      </c>
      <c r="T23" s="1571" t="s">
        <v>8</v>
      </c>
      <c r="U23" s="1572">
        <f>H23</f>
        <v>101</v>
      </c>
      <c r="V23" s="1571" t="s">
        <v>8</v>
      </c>
      <c r="W23" s="1572">
        <f>J23</f>
        <v>101</v>
      </c>
      <c r="X23" s="1565"/>
      <c r="Y23" s="3374"/>
      <c r="Z23" s="1573" t="str">
        <f>Q23</f>
        <v>交通便捷度</v>
      </c>
      <c r="AA23" s="1574">
        <f t="shared" si="3"/>
        <v>0.99009900990099009</v>
      </c>
      <c r="AB23" s="1574">
        <f t="shared" si="4"/>
        <v>0.99009900990099009</v>
      </c>
      <c r="AC23" s="1574">
        <f t="shared" si="5"/>
        <v>0.99009900990099009</v>
      </c>
    </row>
    <row r="24" spans="1:29" ht="21">
      <c r="A24" s="531"/>
      <c r="B24" s="577"/>
      <c r="C24" s="553" t="s">
        <v>3003</v>
      </c>
      <c r="D24" s="556"/>
      <c r="E24" s="557" t="s">
        <v>2949</v>
      </c>
      <c r="F24" s="554"/>
      <c r="G24" s="557" t="s">
        <v>2949</v>
      </c>
      <c r="H24" s="554"/>
      <c r="I24" s="557" t="s">
        <v>2949</v>
      </c>
      <c r="J24" s="554"/>
      <c r="K24" s="530"/>
      <c r="L24" s="2141"/>
      <c r="M24" s="2131"/>
      <c r="N24" s="2131"/>
      <c r="O24" s="2140"/>
      <c r="P24" s="3374"/>
      <c r="Q24" s="1570"/>
      <c r="R24" s="1571"/>
      <c r="S24" s="1572"/>
      <c r="T24" s="1571"/>
      <c r="U24" s="1572"/>
      <c r="V24" s="1571"/>
      <c r="W24" s="1572"/>
      <c r="X24" s="1565"/>
      <c r="Y24" s="3374"/>
      <c r="Z24" s="1573"/>
      <c r="AA24" s="1574">
        <v>1</v>
      </c>
      <c r="AB24" s="1574">
        <v>1</v>
      </c>
      <c r="AC24" s="1574">
        <v>1</v>
      </c>
    </row>
    <row r="25" spans="1:29" ht="28.8">
      <c r="A25" s="514"/>
      <c r="B25" s="258" t="s">
        <v>509</v>
      </c>
      <c r="C25" s="572">
        <f>估价对象房地状况!C19</f>
        <v>0</v>
      </c>
      <c r="D25" s="562">
        <v>100</v>
      </c>
      <c r="E25" s="563">
        <v>0</v>
      </c>
      <c r="F25" s="564">
        <f>SUMIF(98:98,E26,99:99)-SUMIF(98:98,C26,99:99)+100</f>
        <v>101</v>
      </c>
      <c r="G25" s="563">
        <v>0</v>
      </c>
      <c r="H25" s="558">
        <f>SUMIF(98:98,G26,99:99)-SUMIF(98:98,C26,99:99)+100</f>
        <v>101</v>
      </c>
      <c r="I25" s="563">
        <v>0</v>
      </c>
      <c r="J25" s="558">
        <f>SUMIF(98:98,I26,99:99)-SUMIF(98:98,C26,99:99)+100</f>
        <v>101</v>
      </c>
      <c r="K25" s="534">
        <v>1</v>
      </c>
      <c r="L25" s="2141"/>
      <c r="M25" s="2131"/>
      <c r="N25" s="2131"/>
      <c r="O25" s="2140"/>
      <c r="P25" s="3374"/>
      <c r="Q25" s="1570" t="str">
        <f t="shared" ref="Q25:Q39" si="8">B25</f>
        <v>区域土地利用方向</v>
      </c>
      <c r="R25" s="1571" t="s">
        <v>8</v>
      </c>
      <c r="S25" s="1572">
        <f>F25</f>
        <v>101</v>
      </c>
      <c r="T25" s="1571" t="s">
        <v>8</v>
      </c>
      <c r="U25" s="1572">
        <f>H25</f>
        <v>101</v>
      </c>
      <c r="V25" s="1571" t="s">
        <v>8</v>
      </c>
      <c r="W25" s="1572">
        <f>J25</f>
        <v>101</v>
      </c>
      <c r="X25" s="1565"/>
      <c r="Y25" s="3374"/>
      <c r="Z25" s="1573" t="str">
        <f>Q25</f>
        <v>区域土地利用方向</v>
      </c>
      <c r="AA25" s="1574">
        <f t="shared" si="3"/>
        <v>0.99009900990099009</v>
      </c>
      <c r="AB25" s="1574">
        <f t="shared" si="4"/>
        <v>0.99009900990099009</v>
      </c>
      <c r="AC25" s="1574">
        <f t="shared" si="5"/>
        <v>0.99009900990099009</v>
      </c>
    </row>
    <row r="26" spans="1:29" ht="21">
      <c r="A26" s="514"/>
      <c r="B26" s="1005"/>
      <c r="C26" s="553" t="s">
        <v>3003</v>
      </c>
      <c r="D26" s="556"/>
      <c r="E26" s="557" t="s">
        <v>2949</v>
      </c>
      <c r="F26" s="554"/>
      <c r="G26" s="557" t="s">
        <v>2949</v>
      </c>
      <c r="H26" s="554"/>
      <c r="I26" s="557" t="s">
        <v>2949</v>
      </c>
      <c r="J26" s="554"/>
      <c r="K26" s="530"/>
      <c r="L26" s="2141"/>
      <c r="M26" s="2131"/>
      <c r="N26" s="2131"/>
      <c r="O26" s="2140"/>
      <c r="P26" s="3374"/>
      <c r="Q26" s="1570"/>
      <c r="R26" s="1571"/>
      <c r="S26" s="1572"/>
      <c r="T26" s="1571"/>
      <c r="U26" s="1572"/>
      <c r="V26" s="1571"/>
      <c r="W26" s="1572"/>
      <c r="X26" s="1565"/>
      <c r="Y26" s="3374"/>
      <c r="Z26" s="1573"/>
      <c r="AA26" s="1574"/>
      <c r="AB26" s="1574"/>
      <c r="AC26" s="1574"/>
    </row>
    <row r="27" spans="1:29" ht="55.2">
      <c r="A27" s="514"/>
      <c r="B27" s="577" t="s">
        <v>510</v>
      </c>
      <c r="C27" s="560" t="str">
        <f>估价对象房地状况!C20</f>
        <v>区域自然环境：；人文环境；综合评价环境状况一般</v>
      </c>
      <c r="D27" s="562">
        <v>100</v>
      </c>
      <c r="E27" s="563" t="s">
        <v>2978</v>
      </c>
      <c r="F27" s="558">
        <f>SUMIF(100:100,E28,101:101)-SUMIF(100:100,C28,101:101)+100</f>
        <v>101</v>
      </c>
      <c r="G27" s="563" t="s">
        <v>2978</v>
      </c>
      <c r="H27" s="558">
        <f>SUMIF(100:100,G28,101:101)-SUMIF(100:100,C28,101:101)+100</f>
        <v>101</v>
      </c>
      <c r="I27" s="563" t="s">
        <v>2978</v>
      </c>
      <c r="J27" s="558">
        <f>SUMIF(100:100,I28,101:101)-SUMIF(100:100,C28,101:101)+100</f>
        <v>101</v>
      </c>
      <c r="K27" s="534">
        <v>1</v>
      </c>
      <c r="L27" s="2141"/>
      <c r="M27" s="2131"/>
      <c r="N27" s="2131"/>
      <c r="O27" s="2140"/>
      <c r="P27" s="3374"/>
      <c r="Q27" s="1570" t="str">
        <f t="shared" si="8"/>
        <v>自然及人文环境状况</v>
      </c>
      <c r="R27" s="1571" t="s">
        <v>8</v>
      </c>
      <c r="S27" s="1572">
        <f>F27</f>
        <v>101</v>
      </c>
      <c r="T27" s="1571" t="s">
        <v>8</v>
      </c>
      <c r="U27" s="1572">
        <f>H27</f>
        <v>101</v>
      </c>
      <c r="V27" s="1571" t="s">
        <v>8</v>
      </c>
      <c r="W27" s="1572">
        <f>J27</f>
        <v>101</v>
      </c>
      <c r="X27" s="1565"/>
      <c r="Y27" s="3374"/>
      <c r="Z27" s="1573" t="str">
        <f>Q27</f>
        <v>自然及人文环境状况</v>
      </c>
      <c r="AA27" s="1574">
        <f t="shared" si="3"/>
        <v>0.99009900990099009</v>
      </c>
      <c r="AB27" s="1574">
        <f t="shared" si="4"/>
        <v>0.99009900990099009</v>
      </c>
      <c r="AC27" s="1574">
        <f t="shared" si="5"/>
        <v>0.99009900990099009</v>
      </c>
    </row>
    <row r="28" spans="1:29" ht="21">
      <c r="A28" s="514"/>
      <c r="B28" s="565"/>
      <c r="C28" s="553" t="s">
        <v>3003</v>
      </c>
      <c r="D28" s="556"/>
      <c r="E28" s="575" t="s">
        <v>2949</v>
      </c>
      <c r="F28" s="554"/>
      <c r="G28" s="575" t="s">
        <v>2949</v>
      </c>
      <c r="H28" s="554"/>
      <c r="I28" s="575" t="s">
        <v>2949</v>
      </c>
      <c r="J28" s="554"/>
      <c r="K28" s="530"/>
      <c r="L28" s="2141"/>
      <c r="M28" s="2131"/>
      <c r="N28" s="2131"/>
      <c r="O28" s="2140"/>
      <c r="P28" s="3374"/>
      <c r="Q28" s="1570"/>
      <c r="R28" s="1571"/>
      <c r="S28" s="1572"/>
      <c r="T28" s="1571"/>
      <c r="U28" s="1572"/>
      <c r="V28" s="1571"/>
      <c r="W28" s="1572"/>
      <c r="X28" s="1565"/>
      <c r="Y28" s="3374"/>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2979</v>
      </c>
      <c r="F29" s="558">
        <f>SUMIF(102:102,E30,103:103)-SUMIF(102:102,C30,103:103)+100</f>
        <v>101</v>
      </c>
      <c r="G29" s="563" t="s">
        <v>2979</v>
      </c>
      <c r="H29" s="558">
        <f>SUMIF(102:102,G30,103:103)-SUMIF(102:102,C30,103:103)+100</f>
        <v>101</v>
      </c>
      <c r="I29" s="563" t="s">
        <v>2979</v>
      </c>
      <c r="J29" s="558">
        <f>SUMIF(102:102,I30,103:103)-SUMIF(102:102,C30,103:103)+100</f>
        <v>101</v>
      </c>
      <c r="K29" s="534">
        <v>1</v>
      </c>
      <c r="L29" s="2134"/>
      <c r="M29" s="2131"/>
      <c r="N29" s="2131"/>
      <c r="O29" s="2136"/>
      <c r="P29" s="3374"/>
      <c r="Q29" s="1149" t="str">
        <f t="shared" si="8"/>
        <v>公共配套设施</v>
      </c>
      <c r="R29" s="1566" t="s">
        <v>8</v>
      </c>
      <c r="S29" s="1567">
        <f>F29</f>
        <v>101</v>
      </c>
      <c r="T29" s="1566" t="s">
        <v>8</v>
      </c>
      <c r="U29" s="1567">
        <f>H29</f>
        <v>101</v>
      </c>
      <c r="V29" s="1566" t="s">
        <v>8</v>
      </c>
      <c r="W29" s="1567">
        <f>J29</f>
        <v>101</v>
      </c>
      <c r="X29" s="1568"/>
      <c r="Y29" s="3374"/>
      <c r="Z29" s="1148" t="str">
        <f>Q29</f>
        <v>公共配套设施</v>
      </c>
      <c r="AA29" s="1574">
        <f>D29/F29</f>
        <v>0.99009900990099009</v>
      </c>
      <c r="AB29" s="1574">
        <f>D29/H29</f>
        <v>0.99009900990099009</v>
      </c>
      <c r="AC29" s="1574">
        <f>D29/J29</f>
        <v>0.99009900990099009</v>
      </c>
    </row>
    <row r="30" spans="1:29" s="1218" customFormat="1" ht="21">
      <c r="A30" s="576"/>
      <c r="B30" s="565"/>
      <c r="C30" s="578" t="s">
        <v>3003</v>
      </c>
      <c r="D30" s="556"/>
      <c r="E30" s="575" t="s">
        <v>2949</v>
      </c>
      <c r="F30" s="554"/>
      <c r="G30" s="575" t="s">
        <v>2949</v>
      </c>
      <c r="H30" s="554"/>
      <c r="I30" s="575" t="s">
        <v>2949</v>
      </c>
      <c r="J30" s="554"/>
      <c r="K30" s="530"/>
      <c r="L30" s="2134"/>
      <c r="M30" s="2131"/>
      <c r="N30" s="2131"/>
      <c r="O30" s="2136"/>
      <c r="P30" s="3374"/>
      <c r="Q30" s="1149"/>
      <c r="R30" s="1566"/>
      <c r="S30" s="1567"/>
      <c r="T30" s="1566"/>
      <c r="U30" s="1567"/>
      <c r="V30" s="1566"/>
      <c r="W30" s="1567"/>
      <c r="X30" s="1568"/>
      <c r="Y30" s="3374"/>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2980</v>
      </c>
      <c r="F31" s="558">
        <f>SUMIF(104:104,E32,105:105)-SUMIF(104:104,C32,105:105)+100</f>
        <v>100</v>
      </c>
      <c r="G31" s="563" t="s">
        <v>2980</v>
      </c>
      <c r="H31" s="558">
        <f>SUMIF(104:104,G32,105:105)-SUMIF(104:104,C32,105:105)+100</f>
        <v>100</v>
      </c>
      <c r="I31" s="563" t="s">
        <v>2980</v>
      </c>
      <c r="J31" s="558">
        <f>SUMIF(104:104,I32,105:105)-SUMIF(104:104,C32,105:105)+100</f>
        <v>100</v>
      </c>
      <c r="K31" s="534">
        <v>1</v>
      </c>
      <c r="L31" s="2134"/>
      <c r="M31" s="2131"/>
      <c r="N31" s="2131"/>
      <c r="O31" s="2136"/>
      <c r="P31" s="3374"/>
      <c r="Q31" s="2577" t="str">
        <f t="shared" ref="Q31" si="9">B31</f>
        <v>基础设施水平</v>
      </c>
      <c r="R31" s="1566" t="s">
        <v>8</v>
      </c>
      <c r="S31" s="1567">
        <f>F31</f>
        <v>100</v>
      </c>
      <c r="T31" s="1566" t="s">
        <v>8</v>
      </c>
      <c r="U31" s="1567">
        <f>H31</f>
        <v>100</v>
      </c>
      <c r="V31" s="1566" t="s">
        <v>8</v>
      </c>
      <c r="W31" s="1567">
        <f>J31</f>
        <v>100</v>
      </c>
      <c r="X31" s="1568"/>
      <c r="Y31" s="3374"/>
      <c r="Z31" s="2574" t="str">
        <f>Q31</f>
        <v>基础设施水平</v>
      </c>
      <c r="AA31" s="1574">
        <f>D31/F31</f>
        <v>1</v>
      </c>
      <c r="AB31" s="1574">
        <f>D31/H31</f>
        <v>1</v>
      </c>
      <c r="AC31" s="1574">
        <f>D31/J31</f>
        <v>1</v>
      </c>
    </row>
    <row r="32" spans="1:29" s="1218" customFormat="1" ht="21">
      <c r="A32" s="576"/>
      <c r="B32" s="565"/>
      <c r="C32" s="578" t="s">
        <v>2950</v>
      </c>
      <c r="D32" s="556"/>
      <c r="E32" s="2591" t="s">
        <v>2950</v>
      </c>
      <c r="F32" s="554"/>
      <c r="G32" s="2591" t="s">
        <v>2950</v>
      </c>
      <c r="H32" s="554"/>
      <c r="I32" s="2591" t="s">
        <v>2950</v>
      </c>
      <c r="J32" s="554"/>
      <c r="K32" s="530"/>
      <c r="L32" s="2134"/>
      <c r="M32" s="2131"/>
      <c r="N32" s="2131"/>
      <c r="O32" s="2136"/>
      <c r="P32" s="3374"/>
      <c r="Q32" s="2577"/>
      <c r="R32" s="1566"/>
      <c r="S32" s="1567"/>
      <c r="T32" s="1566"/>
      <c r="U32" s="1567"/>
      <c r="V32" s="1566"/>
      <c r="W32" s="1567"/>
      <c r="X32" s="1568"/>
      <c r="Y32" s="3374"/>
      <c r="Z32" s="2574"/>
      <c r="AA32" s="1574">
        <v>1</v>
      </c>
      <c r="AB32" s="1574">
        <v>1</v>
      </c>
      <c r="AC32" s="1574">
        <v>1</v>
      </c>
    </row>
    <row r="33" spans="1:29" ht="2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4"/>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4"/>
      <c r="Z33" s="1573" t="str">
        <f t="shared" ref="Z33:Z47" si="13">Q33</f>
        <v>临街状况</v>
      </c>
      <c r="AA33" s="1574">
        <f t="shared" si="3"/>
        <v>1</v>
      </c>
      <c r="AB33" s="1574">
        <f t="shared" si="4"/>
        <v>1</v>
      </c>
      <c r="AC33" s="1574">
        <f t="shared" si="5"/>
        <v>1</v>
      </c>
    </row>
    <row r="34" spans="1:29" ht="28.8">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4"/>
      <c r="Q34" s="1570" t="str">
        <f t="shared" si="8"/>
        <v>毗邻道路的类型与等级</v>
      </c>
      <c r="R34" s="1571" t="s">
        <v>8</v>
      </c>
      <c r="S34" s="1572">
        <f t="shared" si="10"/>
        <v>100</v>
      </c>
      <c r="T34" s="1571" t="s">
        <v>8</v>
      </c>
      <c r="U34" s="1572">
        <f t="shared" si="11"/>
        <v>100</v>
      </c>
      <c r="V34" s="1571" t="s">
        <v>8</v>
      </c>
      <c r="W34" s="1572">
        <f t="shared" si="12"/>
        <v>100</v>
      </c>
      <c r="X34" s="1565"/>
      <c r="Y34" s="3374"/>
      <c r="Z34" s="1573" t="str">
        <f t="shared" si="13"/>
        <v>毗邻道路的类型与等级</v>
      </c>
      <c r="AA34" s="1574">
        <f t="shared" si="3"/>
        <v>1</v>
      </c>
      <c r="AB34" s="1574">
        <f t="shared" si="4"/>
        <v>1</v>
      </c>
      <c r="AC34" s="1574">
        <f t="shared" si="5"/>
        <v>1</v>
      </c>
    </row>
    <row r="35" spans="1:29" ht="21">
      <c r="A35" s="531"/>
      <c r="B35" s="565"/>
      <c r="C35" s="553"/>
      <c r="D35" s="556"/>
      <c r="E35" s="575"/>
      <c r="F35" s="554"/>
      <c r="G35" s="575"/>
      <c r="H35" s="554"/>
      <c r="I35" s="575"/>
      <c r="J35" s="554"/>
      <c r="K35" s="580"/>
      <c r="L35" s="2141"/>
      <c r="M35" s="2131"/>
      <c r="N35" s="2131"/>
      <c r="O35" s="2140"/>
      <c r="P35" s="3374"/>
      <c r="Q35" s="1570"/>
      <c r="R35" s="1571"/>
      <c r="S35" s="1572"/>
      <c r="T35" s="1571"/>
      <c r="U35" s="1572"/>
      <c r="V35" s="1571"/>
      <c r="W35" s="1572"/>
      <c r="X35" s="1565"/>
      <c r="Y35" s="3374"/>
      <c r="Z35" s="1573"/>
      <c r="AA35" s="1574">
        <v>1</v>
      </c>
      <c r="AB35" s="1574">
        <v>1</v>
      </c>
      <c r="AC35" s="1574">
        <v>1</v>
      </c>
    </row>
    <row r="36" spans="1:29" ht="2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4"/>
      <c r="Q36" s="1570" t="str">
        <f t="shared" si="8"/>
        <v>土地级别</v>
      </c>
      <c r="R36" s="1571" t="s">
        <v>8</v>
      </c>
      <c r="S36" s="1572">
        <f t="shared" si="10"/>
        <v>100</v>
      </c>
      <c r="T36" s="1571" t="s">
        <v>8</v>
      </c>
      <c r="U36" s="1572">
        <f t="shared" si="11"/>
        <v>100</v>
      </c>
      <c r="V36" s="1571" t="s">
        <v>8</v>
      </c>
      <c r="W36" s="1572">
        <f t="shared" si="12"/>
        <v>100</v>
      </c>
      <c r="X36" s="1565"/>
      <c r="Y36" s="3374"/>
      <c r="Z36" s="1573" t="str">
        <f t="shared" si="13"/>
        <v>土地级别</v>
      </c>
      <c r="AA36" s="1574">
        <f t="shared" si="3"/>
        <v>1</v>
      </c>
      <c r="AB36" s="1574">
        <f t="shared" si="4"/>
        <v>1</v>
      </c>
      <c r="AC36" s="1574">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4"/>
      <c r="Q37" s="1570">
        <f t="shared" si="8"/>
        <v>0</v>
      </c>
      <c r="R37" s="1571" t="s">
        <v>8</v>
      </c>
      <c r="S37" s="1572">
        <f t="shared" si="10"/>
        <v>100</v>
      </c>
      <c r="T37" s="1571" t="s">
        <v>8</v>
      </c>
      <c r="U37" s="1572">
        <f t="shared" si="11"/>
        <v>100</v>
      </c>
      <c r="V37" s="1571" t="s">
        <v>8</v>
      </c>
      <c r="W37" s="1572">
        <f t="shared" si="12"/>
        <v>100</v>
      </c>
      <c r="X37" s="1565"/>
      <c r="Y37" s="3374"/>
      <c r="Z37" s="1573">
        <f t="shared" si="13"/>
        <v>0</v>
      </c>
      <c r="AA37" s="1574">
        <f t="shared" si="3"/>
        <v>1</v>
      </c>
      <c r="AB37" s="1574">
        <f t="shared" si="4"/>
        <v>1</v>
      </c>
      <c r="AC37" s="1574">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5" t="s">
        <v>515</v>
      </c>
      <c r="Q38" s="1570">
        <f t="shared" si="8"/>
        <v>0</v>
      </c>
      <c r="R38" s="1571" t="s">
        <v>8</v>
      </c>
      <c r="S38" s="1572">
        <f t="shared" si="10"/>
        <v>100</v>
      </c>
      <c r="T38" s="1571" t="s">
        <v>8</v>
      </c>
      <c r="U38" s="1572">
        <f t="shared" si="11"/>
        <v>100</v>
      </c>
      <c r="V38" s="1571" t="s">
        <v>8</v>
      </c>
      <c r="W38" s="1572">
        <f t="shared" si="12"/>
        <v>100</v>
      </c>
      <c r="X38" s="1565"/>
      <c r="Y38" s="3376" t="s">
        <v>515</v>
      </c>
      <c r="Z38" s="1573">
        <f t="shared" si="13"/>
        <v>0</v>
      </c>
      <c r="AA38" s="1574">
        <f t="shared" si="3"/>
        <v>1</v>
      </c>
      <c r="AB38" s="1574">
        <f t="shared" si="4"/>
        <v>1</v>
      </c>
      <c r="AC38" s="1574">
        <f t="shared" si="5"/>
        <v>1</v>
      </c>
    </row>
    <row r="39" spans="1:29" s="1337"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6"/>
      <c r="Q39" s="1570">
        <f t="shared" si="8"/>
        <v>0</v>
      </c>
      <c r="R39" s="1575" t="s">
        <v>8</v>
      </c>
      <c r="S39" s="1576">
        <f t="shared" si="10"/>
        <v>100</v>
      </c>
      <c r="T39" s="1575" t="s">
        <v>8</v>
      </c>
      <c r="U39" s="1576">
        <f t="shared" si="11"/>
        <v>100</v>
      </c>
      <c r="V39" s="1575" t="s">
        <v>8</v>
      </c>
      <c r="W39" s="1576">
        <f t="shared" si="12"/>
        <v>100</v>
      </c>
      <c r="X39" s="1577"/>
      <c r="Y39" s="3376"/>
      <c r="Z39" s="1578">
        <f t="shared" si="13"/>
        <v>0</v>
      </c>
      <c r="AA39" s="1574">
        <f t="shared" si="3"/>
        <v>1</v>
      </c>
      <c r="AB39" s="1574">
        <f t="shared" si="4"/>
        <v>1</v>
      </c>
      <c r="AC39" s="1574">
        <f t="shared" si="5"/>
        <v>1</v>
      </c>
    </row>
    <row r="40" spans="1:29" ht="21">
      <c r="A40" s="2906" t="s">
        <v>2717</v>
      </c>
      <c r="B40" s="594" t="s">
        <v>517</v>
      </c>
      <c r="C40" s="595">
        <f>'数据-基础表'!A3</f>
        <v>76276.600000000006</v>
      </c>
      <c r="D40" s="596">
        <v>100</v>
      </c>
      <c r="E40" s="595">
        <f>土地案例!J11</f>
        <v>2615</v>
      </c>
      <c r="F40" s="596">
        <f>LOOKUP(E40,119:119,120:120)-LOOKUP(C40,119:119,120:120)+100</f>
        <v>94</v>
      </c>
      <c r="G40" s="595">
        <f>土地案例!J19</f>
        <v>10590</v>
      </c>
      <c r="H40" s="596">
        <f>LOOKUP(G40,119:119,120:120)-LOOKUP(C40,119:119,120:120)+100</f>
        <v>94</v>
      </c>
      <c r="I40" s="597">
        <f>土地案例!J17</f>
        <v>2904</v>
      </c>
      <c r="J40" s="596">
        <f>LOOKUP(I40,119:119,120:120)-LOOKUP(C40,119:119,120:120)+100</f>
        <v>94</v>
      </c>
      <c r="K40" s="580"/>
      <c r="L40" s="2141"/>
      <c r="M40" s="2131"/>
      <c r="N40" s="2131"/>
      <c r="O40" s="2140"/>
      <c r="P40" s="3376"/>
      <c r="Q40" s="1570" t="str">
        <f>B40</f>
        <v>宗地面积</v>
      </c>
      <c r="R40" s="1571" t="s">
        <v>8</v>
      </c>
      <c r="S40" s="1572">
        <f t="shared" si="10"/>
        <v>94</v>
      </c>
      <c r="T40" s="1571" t="s">
        <v>8</v>
      </c>
      <c r="U40" s="1572">
        <f t="shared" si="11"/>
        <v>94</v>
      </c>
      <c r="V40" s="1571" t="s">
        <v>8</v>
      </c>
      <c r="W40" s="1572">
        <f t="shared" si="12"/>
        <v>94</v>
      </c>
      <c r="X40" s="1565"/>
      <c r="Y40" s="3376"/>
      <c r="Z40" s="1573" t="str">
        <f t="shared" si="13"/>
        <v>宗地面积</v>
      </c>
      <c r="AA40" s="1574">
        <f t="shared" si="3"/>
        <v>1.0638297872340425</v>
      </c>
      <c r="AB40" s="1574">
        <f t="shared" si="4"/>
        <v>1.0638297872340425</v>
      </c>
      <c r="AC40" s="1574">
        <f t="shared" si="5"/>
        <v>1.0638297872340425</v>
      </c>
    </row>
    <row r="41" spans="1:29" ht="2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6"/>
      <c r="Q41" s="1570" t="str">
        <f t="shared" ref="Q41:Q47" si="14">B41</f>
        <v>宗地形状</v>
      </c>
      <c r="R41" s="1571" t="s">
        <v>8</v>
      </c>
      <c r="S41" s="1572">
        <f t="shared" si="10"/>
        <v>100</v>
      </c>
      <c r="T41" s="1571" t="s">
        <v>8</v>
      </c>
      <c r="U41" s="1572">
        <f t="shared" si="11"/>
        <v>100</v>
      </c>
      <c r="V41" s="1571" t="s">
        <v>8</v>
      </c>
      <c r="W41" s="1572">
        <f t="shared" si="12"/>
        <v>100</v>
      </c>
      <c r="X41" s="1565"/>
      <c r="Y41" s="3376"/>
      <c r="Z41" s="1573" t="str">
        <f t="shared" si="13"/>
        <v>宗地形状</v>
      </c>
      <c r="AA41" s="1574">
        <f t="shared" si="3"/>
        <v>1</v>
      </c>
      <c r="AB41" s="1574">
        <f t="shared" si="4"/>
        <v>1</v>
      </c>
      <c r="AC41" s="1574">
        <f t="shared" si="5"/>
        <v>1</v>
      </c>
    </row>
    <row r="42" spans="1:29" ht="2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6"/>
      <c r="Q42" s="1570" t="str">
        <f t="shared" si="14"/>
        <v>临街宽度及深度</v>
      </c>
      <c r="R42" s="1571" t="s">
        <v>8</v>
      </c>
      <c r="S42" s="1572">
        <f t="shared" si="10"/>
        <v>100</v>
      </c>
      <c r="T42" s="1571" t="s">
        <v>8</v>
      </c>
      <c r="U42" s="1572">
        <f t="shared" si="11"/>
        <v>100</v>
      </c>
      <c r="V42" s="1571" t="s">
        <v>8</v>
      </c>
      <c r="W42" s="1572">
        <f t="shared" si="12"/>
        <v>100</v>
      </c>
      <c r="X42" s="1565"/>
      <c r="Y42" s="3376"/>
      <c r="Z42" s="1573" t="str">
        <f t="shared" si="13"/>
        <v>临街宽度及深度</v>
      </c>
      <c r="AA42" s="1574">
        <f t="shared" si="3"/>
        <v>1</v>
      </c>
      <c r="AB42" s="1574">
        <f t="shared" si="4"/>
        <v>1</v>
      </c>
      <c r="AC42" s="1574">
        <f t="shared" si="5"/>
        <v>1</v>
      </c>
    </row>
    <row r="43" spans="1:29" s="1218" customFormat="1" ht="21">
      <c r="A43" s="599"/>
      <c r="B43" s="1894" t="s">
        <v>2386</v>
      </c>
      <c r="C43" s="600" t="s">
        <v>3266</v>
      </c>
      <c r="D43" s="254">
        <v>100</v>
      </c>
      <c r="E43" s="600" t="s">
        <v>3266</v>
      </c>
      <c r="F43" s="539">
        <f>SUMIF(125:125,E43,126:126)-SUMIF(125:125,C43,126:126)+100</f>
        <v>100</v>
      </c>
      <c r="G43" s="600" t="s">
        <v>3266</v>
      </c>
      <c r="H43" s="539">
        <f>SUMIF(125:125,G43,126:126)-SUMIF(125:125,C43,126:126)+100</f>
        <v>100</v>
      </c>
      <c r="I43" s="600" t="s">
        <v>3266</v>
      </c>
      <c r="J43" s="539">
        <f>SUMIF(125:125,I43,126:126)-SUMIF(125:125,C43,126:126)+100</f>
        <v>100</v>
      </c>
      <c r="K43" s="583">
        <v>1</v>
      </c>
      <c r="L43" s="2134"/>
      <c r="M43" s="2131"/>
      <c r="N43" s="2131"/>
      <c r="O43" s="2136"/>
      <c r="P43" s="3376"/>
      <c r="Q43" s="1570" t="str">
        <f t="shared" si="14"/>
        <v>宗地开发程度</v>
      </c>
      <c r="R43" s="1566" t="s">
        <v>8</v>
      </c>
      <c r="S43" s="1567">
        <f t="shared" si="10"/>
        <v>100</v>
      </c>
      <c r="T43" s="1566" t="s">
        <v>8</v>
      </c>
      <c r="U43" s="1567">
        <f t="shared" si="11"/>
        <v>100</v>
      </c>
      <c r="V43" s="1566" t="s">
        <v>8</v>
      </c>
      <c r="W43" s="1567">
        <f t="shared" si="12"/>
        <v>100</v>
      </c>
      <c r="X43" s="1568"/>
      <c r="Y43" s="3376"/>
      <c r="Z43" s="1148" t="str">
        <f t="shared" si="13"/>
        <v>宗地开发程度</v>
      </c>
      <c r="AA43" s="1569">
        <f t="shared" si="3"/>
        <v>1</v>
      </c>
      <c r="AB43" s="1569">
        <f t="shared" si="4"/>
        <v>1</v>
      </c>
      <c r="AC43" s="1569">
        <f t="shared" si="5"/>
        <v>1</v>
      </c>
    </row>
    <row r="44" spans="1:29" ht="2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6" t="s">
        <v>515</v>
      </c>
      <c r="Q44" s="1570" t="str">
        <f t="shared" si="14"/>
        <v>工程地质条件</v>
      </c>
      <c r="R44" s="1571" t="s">
        <v>8</v>
      </c>
      <c r="S44" s="1572">
        <f t="shared" si="10"/>
        <v>100</v>
      </c>
      <c r="T44" s="1571" t="s">
        <v>8</v>
      </c>
      <c r="U44" s="1572">
        <f t="shared" si="11"/>
        <v>100</v>
      </c>
      <c r="V44" s="1571" t="s">
        <v>8</v>
      </c>
      <c r="W44" s="1572">
        <f t="shared" si="12"/>
        <v>100</v>
      </c>
      <c r="X44" s="1565"/>
      <c r="Y44" s="3376" t="s">
        <v>515</v>
      </c>
      <c r="Z44" s="1573" t="str">
        <f t="shared" si="13"/>
        <v>工程地质条件</v>
      </c>
      <c r="AA44" s="1574">
        <f t="shared" si="3"/>
        <v>1</v>
      </c>
      <c r="AB44" s="1574">
        <f t="shared" si="4"/>
        <v>1</v>
      </c>
      <c r="AC44" s="1574">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6"/>
      <c r="Q45" s="1570">
        <f t="shared" si="14"/>
        <v>0</v>
      </c>
      <c r="R45" s="1571" t="s">
        <v>8</v>
      </c>
      <c r="S45" s="1572">
        <f t="shared" si="10"/>
        <v>100</v>
      </c>
      <c r="T45" s="1571" t="s">
        <v>8</v>
      </c>
      <c r="U45" s="1572">
        <f t="shared" si="11"/>
        <v>100</v>
      </c>
      <c r="V45" s="1571" t="s">
        <v>8</v>
      </c>
      <c r="W45" s="1572">
        <f t="shared" si="12"/>
        <v>100</v>
      </c>
      <c r="X45" s="1565"/>
      <c r="Y45" s="3376"/>
      <c r="Z45" s="1573">
        <f t="shared" si="13"/>
        <v>0</v>
      </c>
      <c r="AA45" s="1574">
        <f t="shared" si="3"/>
        <v>1</v>
      </c>
      <c r="AB45" s="1574">
        <f t="shared" si="4"/>
        <v>1</v>
      </c>
      <c r="AC45" s="1574">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6"/>
      <c r="Q46" s="1570">
        <f t="shared" si="14"/>
        <v>0</v>
      </c>
      <c r="R46" s="1571" t="s">
        <v>8</v>
      </c>
      <c r="S46" s="1572">
        <f t="shared" si="10"/>
        <v>100</v>
      </c>
      <c r="T46" s="1571" t="s">
        <v>8</v>
      </c>
      <c r="U46" s="1572">
        <f t="shared" si="11"/>
        <v>100</v>
      </c>
      <c r="V46" s="1571" t="s">
        <v>8</v>
      </c>
      <c r="W46" s="1572">
        <f t="shared" si="12"/>
        <v>100</v>
      </c>
      <c r="X46" s="1565"/>
      <c r="Y46" s="3376"/>
      <c r="Z46" s="1573">
        <f t="shared" si="13"/>
        <v>0</v>
      </c>
      <c r="AA46" s="1574">
        <f t="shared" si="3"/>
        <v>1</v>
      </c>
      <c r="AB46" s="1574">
        <f t="shared" si="4"/>
        <v>1</v>
      </c>
      <c r="AC46" s="1574">
        <f t="shared" si="5"/>
        <v>1</v>
      </c>
    </row>
    <row r="47" spans="1:29" s="1337"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6"/>
      <c r="Q47" s="1570">
        <f t="shared" si="14"/>
        <v>0</v>
      </c>
      <c r="R47" s="1575" t="s">
        <v>8</v>
      </c>
      <c r="S47" s="1576">
        <f t="shared" si="10"/>
        <v>100</v>
      </c>
      <c r="T47" s="1575" t="s">
        <v>8</v>
      </c>
      <c r="U47" s="1576">
        <f t="shared" si="11"/>
        <v>100</v>
      </c>
      <c r="V47" s="1575" t="s">
        <v>8</v>
      </c>
      <c r="W47" s="1576">
        <f t="shared" si="12"/>
        <v>100</v>
      </c>
      <c r="X47" s="1577"/>
      <c r="Y47" s="3376"/>
      <c r="Z47" s="1578">
        <f t="shared" si="13"/>
        <v>0</v>
      </c>
      <c r="AA47" s="1574">
        <f t="shared" si="3"/>
        <v>1</v>
      </c>
      <c r="AB47" s="1574">
        <f t="shared" si="4"/>
        <v>1</v>
      </c>
      <c r="AC47" s="1574">
        <f t="shared" si="5"/>
        <v>1</v>
      </c>
    </row>
    <row r="48" spans="1:29" ht="21">
      <c r="A48" s="606" t="s">
        <v>521</v>
      </c>
      <c r="B48" s="607" t="s">
        <v>2948</v>
      </c>
      <c r="C48" s="608" t="s">
        <v>1</v>
      </c>
      <c r="D48" s="609"/>
      <c r="E48" s="610">
        <f>ROUND(土地案例!AK11,0)</f>
        <v>1805</v>
      </c>
      <c r="F48" s="611"/>
      <c r="G48" s="612">
        <f>ROUND(土地案例!AK19,0)</f>
        <v>1638</v>
      </c>
      <c r="H48" s="613"/>
      <c r="I48" s="610">
        <f>ROUND(土地案例!AK17,0)</f>
        <v>2107</v>
      </c>
      <c r="J48" s="613"/>
      <c r="K48" s="1338"/>
      <c r="L48" s="2143"/>
      <c r="M48" s="2131"/>
      <c r="N48" s="2131"/>
      <c r="O48" s="2144"/>
      <c r="P48" s="3371" t="str">
        <f>A48</f>
        <v>成交单价</v>
      </c>
      <c r="Q48" s="3371"/>
      <c r="R48" s="3385">
        <f>E48</f>
        <v>1805</v>
      </c>
      <c r="S48" s="3385"/>
      <c r="T48" s="3385">
        <f>G48</f>
        <v>1638</v>
      </c>
      <c r="U48" s="3385"/>
      <c r="V48" s="3385">
        <f>I48</f>
        <v>2107</v>
      </c>
      <c r="W48" s="3385"/>
      <c r="X48" s="1557"/>
      <c r="Y48" s="1579"/>
      <c r="Z48" s="1557"/>
      <c r="AA48" s="1557"/>
      <c r="AB48" s="1557"/>
      <c r="AC48" s="1557"/>
    </row>
    <row r="49" spans="1:29" ht="21.6" thickBot="1">
      <c r="A49" s="614" t="s">
        <v>2655</v>
      </c>
      <c r="B49" s="615"/>
      <c r="C49" s="616">
        <f>R50</f>
        <v>1922</v>
      </c>
      <c r="D49" s="617"/>
      <c r="E49" s="616">
        <f>R49</f>
        <v>1836</v>
      </c>
      <c r="F49" s="618"/>
      <c r="G49" s="619">
        <f>T49</f>
        <v>1788</v>
      </c>
      <c r="H49" s="617"/>
      <c r="I49" s="616">
        <f>V49</f>
        <v>2143</v>
      </c>
      <c r="J49" s="617"/>
      <c r="K49" s="1339"/>
      <c r="L49" s="2143"/>
      <c r="M49" s="2131"/>
      <c r="N49" s="2131"/>
      <c r="O49" s="2144"/>
      <c r="P49" s="3371" t="str">
        <f>A49</f>
        <v>比较价格（元/平方米）</v>
      </c>
      <c r="Q49" s="3371"/>
      <c r="R49" s="3396">
        <f>ROUND(PRODUCT(R48,AA9:AA47),0)</f>
        <v>1836</v>
      </c>
      <c r="S49" s="3396"/>
      <c r="T49" s="3396">
        <f>ROUND(PRODUCT(T48,AB9:AB47),0)</f>
        <v>1788</v>
      </c>
      <c r="U49" s="3396"/>
      <c r="V49" s="3396">
        <f>ROUND(PRODUCT(V48,AC9:AC47),0)</f>
        <v>2143</v>
      </c>
      <c r="W49" s="3396"/>
      <c r="X49" s="1557"/>
      <c r="Y49" s="1557"/>
      <c r="Z49" s="1557"/>
      <c r="AA49" s="1557"/>
      <c r="AB49" s="1557"/>
      <c r="AC49" s="1557"/>
    </row>
    <row r="50" spans="1:29" ht="21.6" thickBot="1">
      <c r="A50" s="620" t="s">
        <v>2895</v>
      </c>
      <c r="B50" s="621"/>
      <c r="C50" s="622">
        <f>R50</f>
        <v>1922</v>
      </c>
      <c r="D50" s="622"/>
      <c r="E50" s="622"/>
      <c r="F50" s="622"/>
      <c r="G50" s="622"/>
      <c r="H50" s="622"/>
      <c r="I50" s="622"/>
      <c r="J50" s="622"/>
      <c r="K50" s="1340"/>
      <c r="L50" s="2143"/>
      <c r="M50" s="2131"/>
      <c r="N50" s="2131"/>
      <c r="O50" s="2144"/>
      <c r="P50" s="3393" t="str">
        <f>A50</f>
        <v>估价对象XX用房的比较价格（楼面单价，元/平方米）</v>
      </c>
      <c r="Q50" s="3394"/>
      <c r="R50" s="3395">
        <f>ROUND(AVERAGE(R49:V49),0)</f>
        <v>1922</v>
      </c>
      <c r="S50" s="3395"/>
      <c r="T50" s="3395"/>
      <c r="U50" s="3395"/>
      <c r="V50" s="3395"/>
      <c r="W50" s="3395"/>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1.7174515235456989E-2</v>
      </c>
      <c r="F53" s="626" t="str">
        <f>IF(OR(E53&gt;=0.3,E53&lt;=-0.3),"超过30%","")</f>
        <v/>
      </c>
      <c r="G53" s="625">
        <f>IF(G48&lt;G49,G49/G48-1,G48/G49-1)</f>
        <v>9.1575091575091472E-2</v>
      </c>
      <c r="H53" s="626" t="str">
        <f>IF(OR(G53&gt;=0.3,G53&lt;=-0.3),"超过30%","")</f>
        <v/>
      </c>
      <c r="I53" s="625">
        <f>IF(I48&lt;I49,I49/I48-1,I48/I49-1)</f>
        <v>1.7085904129093388E-2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2.6845637583892579E-2</v>
      </c>
      <c r="F54" s="626" t="str">
        <f>IF(OR(E54&gt;=0.2,E54&lt;=-0.2),"超过20%","")</f>
        <v/>
      </c>
      <c r="G54" s="625">
        <f>IF(G49&lt;I49,I49/G49-1,G49/I49-1)</f>
        <v>0.19854586129753904</v>
      </c>
      <c r="H54" s="3188" t="str">
        <f>IF(OR(G54&gt;=0.2,G54&lt;=-0.2),"超过20%","")</f>
        <v/>
      </c>
      <c r="I54" s="625">
        <f>IF(I49&lt;E49,E49/I49-1,I49/E49-1)</f>
        <v>0.16721132897603486</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0.10195360195360204</v>
      </c>
      <c r="F55" s="626" t="str">
        <f>IF(OR(E55&gt;=0.3,E55&lt;=-0.3),"超过30%","")</f>
        <v/>
      </c>
      <c r="G55" s="625">
        <f>IF(G48&lt;I48,I48/G48-1,G48/I48-1)</f>
        <v>0.28632478632478642</v>
      </c>
      <c r="H55" s="626" t="str">
        <f>IF(OR(G55&gt;=0.3,G55&lt;=-0.3),"超过30%","")</f>
        <v/>
      </c>
      <c r="I55" s="625">
        <f>IF(I48&lt;E48,E48/I48-1,I48/E48-1)</f>
        <v>0.16731301939058163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5" t="s">
        <v>2243</v>
      </c>
      <c r="H57" s="3356"/>
      <c r="I57" s="1553" t="s">
        <v>1684</v>
      </c>
      <c r="J57" s="1553" t="str">
        <f>项目基本情况!F41</f>
        <v>丹阳</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1922</v>
      </c>
      <c r="C58" s="634">
        <v>1</v>
      </c>
      <c r="D58" s="2227">
        <v>1</v>
      </c>
      <c r="E58" s="634">
        <f>'数据-汇总表'!E8+'数据-汇总表'!E9</f>
        <v>266968.10000000003</v>
      </c>
      <c r="F58" s="635">
        <f t="shared" ref="F58:F67" si="15">ROUND(B58*E58/10000,0)</f>
        <v>51311</v>
      </c>
      <c r="G58" s="3357"/>
      <c r="H58" s="3358"/>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59"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59"/>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59"/>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59"/>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266968.10000000003</v>
      </c>
      <c r="F68" s="643">
        <f>IF(B48="楼面地价",SUM(F58:F67),ROUND(C50*E68/10000,0))</f>
        <v>51311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2972</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v>6</v>
      </c>
      <c r="J82" s="540">
        <v>7</v>
      </c>
      <c r="K82" s="540">
        <v>8</v>
      </c>
      <c r="L82" s="540">
        <v>9</v>
      </c>
      <c r="M82" s="540">
        <v>10</v>
      </c>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99</v>
      </c>
      <c r="E91" s="678">
        <f>D91-$K17</f>
        <v>98</v>
      </c>
      <c r="F91" s="678">
        <f>E91-$K17</f>
        <v>97</v>
      </c>
      <c r="G91" s="678">
        <f>F91-$K17</f>
        <v>96</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99</v>
      </c>
      <c r="E93" s="678">
        <f>D93-$K19</f>
        <v>98</v>
      </c>
      <c r="F93" s="678">
        <f>E93-$K19</f>
        <v>97</v>
      </c>
      <c r="G93" s="678">
        <f>F93-$K19</f>
        <v>96</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3267</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3268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90" t="str">
        <f>项目基本情况!B1</f>
        <v>丹阳出让国有建设用地使用权抵押价格预评估</v>
      </c>
      <c r="C37" s="3190"/>
      <c r="D37" s="3190"/>
      <c r="E37" s="3190"/>
      <c r="F37" s="3190"/>
      <c r="G37" s="3190"/>
      <c r="H37" s="3190"/>
      <c r="I37" s="3190"/>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吴薇、崔锴</v>
      </c>
    </row>
    <row r="47" spans="1:9">
      <c r="A47" s="1652"/>
      <c r="B47" s="1652"/>
    </row>
    <row r="48" spans="1:9">
      <c r="A48" s="1652" t="s">
        <v>1863</v>
      </c>
      <c r="B48" s="1652" t="s">
        <v>2010</v>
      </c>
    </row>
    <row r="49" spans="2:2">
      <c r="B49" s="165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26" sqref="F26"/>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8</v>
      </c>
    </row>
    <row r="2" spans="1:31" s="2040" customFormat="1" ht="18" customHeight="1">
      <c r="A2" s="2100" t="s">
        <v>432</v>
      </c>
      <c r="B2" s="2104">
        <f ca="1">C36</f>
        <v>96147</v>
      </c>
      <c r="C2" s="2103"/>
      <c r="D2" s="2103"/>
      <c r="E2" s="2103"/>
      <c r="F2" s="2103"/>
      <c r="G2" s="2103"/>
      <c r="H2" s="2103"/>
      <c r="I2" s="2103"/>
      <c r="J2" s="2103"/>
      <c r="K2" s="2103"/>
    </row>
    <row r="3" spans="1:31" s="2040" customFormat="1" ht="18" customHeight="1">
      <c r="A3" s="2105" t="s">
        <v>1646</v>
      </c>
      <c r="B3" s="2106">
        <f ca="1">ROUND(B2*10000/IF(B1="",'数据-汇总表'!E3,INDIRECT("'数据-取费表'!K"&amp;$K$1)),0)</f>
        <v>3601</v>
      </c>
      <c r="C3" s="2103"/>
      <c r="D3" s="2103"/>
      <c r="E3" s="2103"/>
      <c r="F3" s="2103"/>
      <c r="G3" s="2103"/>
      <c r="H3" s="2103"/>
      <c r="I3" s="2103"/>
      <c r="J3" s="2103"/>
      <c r="K3" s="2103"/>
    </row>
    <row r="4" spans="1:31" s="2040" customFormat="1" ht="18" customHeight="1">
      <c r="A4" s="425" t="s">
        <v>433</v>
      </c>
      <c r="B4" s="426">
        <f ca="1">ROUND(B2*10000/IF(B1="",'数据-汇总表'!D3,INDIRECT("'数据-取费表'!R"&amp;$K$1)),0)</f>
        <v>12605</v>
      </c>
      <c r="C4" s="427"/>
      <c r="D4" s="421"/>
      <c r="E4" s="421"/>
      <c r="F4" s="421"/>
      <c r="G4" s="421"/>
      <c r="H4" s="421"/>
      <c r="I4" s="421"/>
      <c r="J4" s="421"/>
      <c r="K4" s="421"/>
    </row>
    <row r="5" spans="1:31" s="2040" customFormat="1" ht="18" customHeight="1" thickBot="1">
      <c r="A5" s="428"/>
      <c r="B5" s="429">
        <f ca="1">ROUND(B2/(IF(B1="",'数据-汇总表'!D3,INDIRECT("'数据-取费表'!R"&amp;$K$1))/666.67),0)</f>
        <v>840</v>
      </c>
      <c r="C5" s="430" t="s">
        <v>434</v>
      </c>
      <c r="D5" s="421"/>
      <c r="E5" s="421"/>
      <c r="F5" s="421"/>
      <c r="G5" s="421"/>
      <c r="H5" s="421"/>
      <c r="I5" s="421"/>
      <c r="J5" s="421"/>
      <c r="K5" s="421"/>
    </row>
    <row r="6" spans="1:31" s="2110" customFormat="1" ht="16.5" customHeight="1">
      <c r="A6" s="2827" t="s">
        <v>1804</v>
      </c>
      <c r="B6" s="2828"/>
      <c r="C6" s="2829">
        <f ca="1">SUM(C10:K10)</f>
        <v>232344</v>
      </c>
      <c r="D6" s="2828"/>
      <c r="E6" s="2828"/>
      <c r="F6" s="2828"/>
      <c r="G6" s="2828"/>
      <c r="H6" s="2828"/>
      <c r="I6" s="2828"/>
      <c r="J6" s="2828"/>
      <c r="K6" s="2830"/>
    </row>
    <row r="7" spans="1:31" s="2112" customFormat="1" ht="18" customHeight="1">
      <c r="A7" s="2831" t="s">
        <v>435</v>
      </c>
      <c r="B7" s="2832" t="s">
        <v>436</v>
      </c>
      <c r="C7" s="435" t="s">
        <v>2942</v>
      </c>
      <c r="D7" s="435" t="s">
        <v>2944</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'不动产比较法-住宅'!B3</f>
        <v>8259</v>
      </c>
      <c r="D8" s="2833">
        <f ca="1">不动产收益法!B3</f>
        <v>10479</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213574.48000000004</v>
      </c>
      <c r="D9" s="440">
        <f>SUMIF('数据-汇总表'!$C19:$C33,'剩余法-待开发'!D7,'数据-汇总表'!$E19:$E33)</f>
        <v>53393.62000000001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'不动产比较法-住宅'!B2</f>
        <v>176391</v>
      </c>
      <c r="D10" s="3028">
        <f ca="1">不动产收益法!B2</f>
        <v>55953</v>
      </c>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58733</v>
      </c>
      <c r="D13" s="2843"/>
      <c r="E13" s="2844"/>
      <c r="F13" s="2845"/>
      <c r="G13" s="2811"/>
      <c r="H13" s="2812"/>
      <c r="I13" s="2812"/>
      <c r="J13" s="2812"/>
      <c r="K13" s="2813"/>
    </row>
    <row r="14" spans="1:31" s="2115" customFormat="1" ht="13.5" customHeight="1">
      <c r="A14" s="2841" t="s">
        <v>1811</v>
      </c>
      <c r="B14" s="2842" t="s">
        <v>445</v>
      </c>
      <c r="C14" s="52">
        <f ca="1">ROUND(C13*F14,0)</f>
        <v>1762</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2349</v>
      </c>
      <c r="D15" s="2843"/>
      <c r="E15" s="2844"/>
      <c r="F15" s="2846">
        <f>'数据-取费表'!B34</f>
        <v>0.05</v>
      </c>
      <c r="G15" s="2811" t="s">
        <v>448</v>
      </c>
      <c r="H15" s="2812"/>
      <c r="I15" s="2812"/>
      <c r="J15" s="2812"/>
      <c r="K15" s="2813"/>
    </row>
    <row r="16" spans="1:31" s="2116" customFormat="1" ht="13.5" customHeight="1">
      <c r="A16" s="2841" t="s">
        <v>1813</v>
      </c>
      <c r="B16" s="2842" t="s">
        <v>449</v>
      </c>
      <c r="C16" s="52">
        <f ca="1">ROUND(D16*E16/10000,0)</f>
        <v>4005</v>
      </c>
      <c r="D16" s="2843">
        <f ca="1">IF(B1="",'数据-汇总表'!E3,INDIRECT("'数据-取费表'!K"&amp;$K$1)+INDIRECT("'数据-取费表'!S"&amp;$K$1))</f>
        <v>266968.10000000003</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881</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67730</v>
      </c>
      <c r="D18" s="2852"/>
      <c r="E18" s="467"/>
      <c r="F18" s="467"/>
      <c r="G18" s="2815" t="s">
        <v>2392</v>
      </c>
      <c r="H18" s="2816"/>
      <c r="I18" s="2816"/>
      <c r="J18" s="2816"/>
      <c r="K18" s="2817"/>
    </row>
    <row r="19" spans="1:14" s="2115" customFormat="1" ht="13.5" customHeight="1">
      <c r="A19" s="2849" t="s">
        <v>1816</v>
      </c>
      <c r="B19" s="2850" t="s">
        <v>453</v>
      </c>
      <c r="C19" s="2807">
        <f ca="1">ROUND(D19*E19/10000,0)</f>
        <v>1869</v>
      </c>
      <c r="D19" s="2853">
        <f ca="1">D16</f>
        <v>266968.10000000003</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2002</v>
      </c>
      <c r="D20" s="2853"/>
      <c r="E20" s="2807"/>
      <c r="F20" s="2854"/>
      <c r="G20" s="3088" t="s">
        <v>3265</v>
      </c>
      <c r="H20" s="2809">
        <v>0</v>
      </c>
      <c r="I20" s="2810" t="s">
        <v>2613</v>
      </c>
      <c r="J20" s="2816"/>
      <c r="K20" s="2817"/>
    </row>
    <row r="21" spans="1:14" s="2115" customFormat="1" ht="13.5" customHeight="1">
      <c r="A21" s="2841" t="s">
        <v>1818</v>
      </c>
      <c r="B21" s="2842" t="s">
        <v>456</v>
      </c>
      <c r="C21" s="52">
        <f ca="1">ROUND(D21*E21/10000,0)</f>
        <v>1602</v>
      </c>
      <c r="D21" s="2843">
        <f ca="1">IF(B1="",'数据-汇总表'!E5,IF(INDIRECT("'数据-取费表'!c"&amp;$K$1)="住宅",INDIRECT("'数据-取费表'!k"&amp;$K$1),0))</f>
        <v>213574.48000000004</v>
      </c>
      <c r="E21" s="52">
        <f>'数据-取费表'!B27</f>
        <v>75</v>
      </c>
      <c r="F21" s="2846"/>
      <c r="G21" s="25"/>
      <c r="H21" s="50"/>
      <c r="I21" s="50"/>
      <c r="J21" s="50"/>
      <c r="K21" s="2818"/>
    </row>
    <row r="22" spans="1:14" s="2115" customFormat="1" ht="13.5" customHeight="1">
      <c r="A22" s="2841" t="s">
        <v>1819</v>
      </c>
      <c r="B22" s="2842" t="s">
        <v>457</v>
      </c>
      <c r="C22" s="52">
        <f ca="1">ROUND(D22*E22/10000,0)</f>
        <v>400</v>
      </c>
      <c r="D22" s="2843">
        <f ca="1">IF(B1="",'数据-汇总表'!E6,IF(INDIRECT("'数据-取费表'!c"&amp;$K$1)="住宅",INDIRECT("'数据-取费表'!s"&amp;$K$1),INDIRECT("'数据-取费表'!k"&amp;$K$1)+INDIRECT("'数据-取费表'!s"&amp;$K$1)))</f>
        <v>53393.619999999995</v>
      </c>
      <c r="E22" s="52">
        <f>'数据-取费表'!B28</f>
        <v>75</v>
      </c>
      <c r="F22" s="2846"/>
      <c r="G22" s="25"/>
      <c r="H22" s="50"/>
      <c r="I22" s="50"/>
      <c r="J22" s="50"/>
      <c r="K22" s="2818"/>
    </row>
    <row r="23" spans="1:14" s="2115" customFormat="1" ht="13.5" customHeight="1">
      <c r="A23" s="2849" t="s">
        <v>1820</v>
      </c>
      <c r="B23" s="3034" t="s">
        <v>2796</v>
      </c>
      <c r="C23" s="2851">
        <f ca="1">ROUND((C18+C19+C20)*F23,0)</f>
        <v>1432</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4647</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3690</v>
      </c>
      <c r="D26" s="466">
        <f ca="1">C27</f>
        <v>0.10009999999999999</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3690</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12392</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93762</v>
      </c>
      <c r="D30" s="476">
        <f ca="1">C32</f>
        <v>0.12909999999999999</v>
      </c>
      <c r="E30" s="468" t="s">
        <v>460</v>
      </c>
      <c r="F30" s="470"/>
      <c r="G30" s="2819" t="s">
        <v>2932</v>
      </c>
      <c r="H30" s="2812"/>
      <c r="I30" s="2812"/>
      <c r="J30" s="2812"/>
      <c r="K30" s="2813"/>
    </row>
    <row r="31" spans="1:14" s="2119" customFormat="1" ht="13.5" customHeight="1">
      <c r="A31" s="802" t="s">
        <v>1818</v>
      </c>
      <c r="B31" s="2857"/>
      <c r="C31" s="449">
        <f ca="1">C18+C19+C20+C23+C24+C26+C29</f>
        <v>93762</v>
      </c>
      <c r="D31" s="471"/>
      <c r="E31" s="472"/>
      <c r="F31" s="473"/>
      <c r="G31" s="260"/>
      <c r="H31" s="2814"/>
      <c r="I31" s="2814"/>
      <c r="J31" s="2814"/>
      <c r="K31" s="278"/>
    </row>
    <row r="32" spans="1:14" s="2119" customFormat="1" ht="13.5" customHeight="1">
      <c r="A32" s="802" t="s">
        <v>1819</v>
      </c>
      <c r="B32" s="2857"/>
      <c r="C32" s="52">
        <f ca="1">ROUND(C25+D26,4)</f>
        <v>0.12909999999999999</v>
      </c>
      <c r="D32" s="471"/>
      <c r="E32" s="472"/>
      <c r="F32" s="473"/>
      <c r="G32" s="260"/>
      <c r="H32" s="2814"/>
      <c r="I32" s="2814"/>
      <c r="J32" s="2814"/>
      <c r="K32" s="278"/>
    </row>
    <row r="33" spans="1:11" s="2121" customFormat="1" ht="13.5" customHeight="1">
      <c r="A33" s="3033" t="s">
        <v>2795</v>
      </c>
      <c r="B33" s="3031" t="s">
        <v>2793</v>
      </c>
      <c r="C33" s="477">
        <f ca="1">C35</f>
        <v>13206</v>
      </c>
      <c r="D33" s="466">
        <f ca="1">C34</f>
        <v>0.1749</v>
      </c>
      <c r="E33" s="468" t="s">
        <v>460</v>
      </c>
      <c r="F33" s="478">
        <f ca="1">IF(B1="",'数据-取费表'!Q16,INDIRECT("'数据-取费表'!q"&amp;$K$1))</f>
        <v>0.17</v>
      </c>
      <c r="G33" s="2815"/>
      <c r="H33" s="2816"/>
      <c r="I33" s="2816"/>
      <c r="J33" s="2816"/>
      <c r="K33" s="2817"/>
    </row>
    <row r="34" spans="1:11" s="2122" customFormat="1" ht="13.5" customHeight="1">
      <c r="A34" s="374" t="s">
        <v>1818</v>
      </c>
      <c r="B34" s="2862" t="s">
        <v>466</v>
      </c>
      <c r="C34" s="471">
        <f ca="1">ROUND((1+C25)*F33,4)</f>
        <v>0.1749</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13206</v>
      </c>
      <c r="D35" s="1627"/>
      <c r="E35" s="2863"/>
      <c r="F35" s="1628"/>
      <c r="G35" s="2821"/>
      <c r="H35" s="2822"/>
      <c r="I35" s="2822"/>
      <c r="J35" s="2822"/>
      <c r="K35" s="2823"/>
    </row>
    <row r="36" spans="1:11" s="2084" customFormat="1" ht="13.5" customHeight="1" thickBot="1">
      <c r="A36" s="283" t="s">
        <v>1806</v>
      </c>
      <c r="B36" s="2825"/>
      <c r="C36" s="2864">
        <f ca="1">ROUND((C6-C30-C33)/(1+D30+D33),0)</f>
        <v>96147</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8</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58733</v>
      </c>
      <c r="D13" s="450"/>
      <c r="E13" s="364"/>
      <c r="F13" s="451"/>
      <c r="G13" s="443"/>
      <c r="H13" s="446"/>
      <c r="I13" s="446"/>
      <c r="J13" s="446"/>
      <c r="K13" s="447"/>
    </row>
    <row r="14" spans="1:41" s="2115" customFormat="1" ht="13.5" customHeight="1">
      <c r="A14" s="1631" t="s">
        <v>1811</v>
      </c>
      <c r="B14" s="448" t="s">
        <v>445</v>
      </c>
      <c r="C14" s="52">
        <f ca="1">ROUND(C13*F14,0)</f>
        <v>1762</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2349</v>
      </c>
      <c r="D15" s="450"/>
      <c r="E15" s="364"/>
      <c r="F15" s="452">
        <f>'数据-取费表'!B34</f>
        <v>0.05</v>
      </c>
      <c r="G15" s="443" t="s">
        <v>467</v>
      </c>
      <c r="H15" s="446"/>
      <c r="I15" s="446"/>
      <c r="J15" s="446"/>
      <c r="K15" s="447"/>
    </row>
    <row r="16" spans="1:41" s="2116" customFormat="1" ht="13.5" customHeight="1">
      <c r="A16" s="1631" t="s">
        <v>1813</v>
      </c>
      <c r="B16" s="448" t="s">
        <v>449</v>
      </c>
      <c r="C16" s="52">
        <f ca="1">ROUND(D16*E16/10000,0)</f>
        <v>4005</v>
      </c>
      <c r="D16" s="450">
        <f ca="1">IF(B1="",'数据-汇总表'!E3,INDIRECT("'数据-取费表'!K"&amp;$K$1)+INDIRECT("'数据-取费表'!S"&amp;$K$1))</f>
        <v>266968.10000000003</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881</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67730</v>
      </c>
      <c r="D18" s="460"/>
      <c r="E18" s="461"/>
      <c r="F18" s="461"/>
      <c r="G18" s="1325" t="s">
        <v>2394</v>
      </c>
      <c r="H18" s="446"/>
      <c r="I18" s="446"/>
      <c r="J18" s="446"/>
      <c r="K18" s="447"/>
    </row>
    <row r="19" spans="1:14" s="2118" customFormat="1" ht="13.5" customHeight="1">
      <c r="A19" s="1632" t="s">
        <v>1816</v>
      </c>
      <c r="B19" s="458" t="s">
        <v>458</v>
      </c>
      <c r="C19" s="459">
        <f ca="1">ROUND(C18*F19,0)</f>
        <v>1355</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3282</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3282</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11744</v>
      </c>
      <c r="D24" s="488">
        <f ca="1">C26</f>
        <v>3.3999999999999998E-3</v>
      </c>
      <c r="E24" s="468" t="s">
        <v>472</v>
      </c>
      <c r="F24" s="478">
        <f ca="1">IF(B1="",'数据-取费表'!Q16,INDIRECT("'数据-取费表'!q"&amp;$K$1))</f>
        <v>0.17</v>
      </c>
      <c r="G24" s="443"/>
      <c r="H24" s="446"/>
      <c r="I24" s="446"/>
      <c r="J24" s="446"/>
      <c r="K24" s="447"/>
    </row>
    <row r="25" spans="1:14" s="2119" customFormat="1" ht="13.5" customHeight="1">
      <c r="A25" s="1631" t="s">
        <v>1810</v>
      </c>
      <c r="B25" s="1326" t="s">
        <v>2398</v>
      </c>
      <c r="C25" s="489">
        <f ca="1">ROUND((C18+C19)*F24,0)</f>
        <v>11744</v>
      </c>
      <c r="D25" s="471"/>
      <c r="E25" s="472"/>
      <c r="F25" s="479"/>
      <c r="G25" s="1324" t="s">
        <v>2395</v>
      </c>
      <c r="H25" s="456"/>
      <c r="I25" s="456"/>
      <c r="J25" s="456"/>
      <c r="K25" s="457"/>
    </row>
    <row r="26" spans="1:14" s="2119" customFormat="1" ht="13.5" customHeight="1">
      <c r="A26" s="1631" t="s">
        <v>1811</v>
      </c>
      <c r="B26" s="1326" t="s">
        <v>474</v>
      </c>
      <c r="C26" s="490">
        <f ca="1">ROUND(F20*F24,4)</f>
        <v>3.3999999999999998E-3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91197</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77" t="s">
        <v>487</v>
      </c>
      <c r="D6" s="3378"/>
      <c r="E6" s="3402" t="s">
        <v>488</v>
      </c>
      <c r="F6" s="3403"/>
      <c r="G6" s="3377" t="s">
        <v>489</v>
      </c>
      <c r="H6" s="3378"/>
      <c r="I6" s="3377" t="s">
        <v>490</v>
      </c>
      <c r="J6" s="3378"/>
      <c r="K6" s="513" t="s">
        <v>491</v>
      </c>
      <c r="L6" s="2132"/>
      <c r="M6" s="2133"/>
      <c r="N6" s="2133"/>
      <c r="O6" s="2133"/>
      <c r="P6" s="3379" t="s">
        <v>492</v>
      </c>
      <c r="Q6" s="3380"/>
      <c r="R6" s="3365" t="s">
        <v>488</v>
      </c>
      <c r="S6" s="3366"/>
      <c r="T6" s="3365" t="s">
        <v>489</v>
      </c>
      <c r="U6" s="3366"/>
      <c r="V6" s="3385" t="s">
        <v>490</v>
      </c>
      <c r="W6" s="3385"/>
      <c r="X6" s="1565"/>
      <c r="Y6" s="3365" t="s">
        <v>492</v>
      </c>
      <c r="Z6" s="3366"/>
      <c r="AA6" s="3360" t="s">
        <v>488</v>
      </c>
      <c r="AB6" s="3361" t="s">
        <v>489</v>
      </c>
      <c r="AC6" s="3360" t="s">
        <v>490</v>
      </c>
    </row>
    <row r="7" spans="1:29">
      <c r="A7" s="514"/>
      <c r="B7" s="515"/>
      <c r="C7" s="3390" t="s">
        <v>2889</v>
      </c>
      <c r="D7" s="3389"/>
      <c r="E7" s="3404" t="s">
        <v>2890</v>
      </c>
      <c r="F7" s="3405"/>
      <c r="G7" s="3390" t="s">
        <v>2891</v>
      </c>
      <c r="H7" s="3389"/>
      <c r="I7" s="3390" t="s">
        <v>2892</v>
      </c>
      <c r="J7" s="3389"/>
      <c r="K7" s="513"/>
      <c r="L7" s="2132"/>
      <c r="M7" s="2133"/>
      <c r="N7" s="2133"/>
      <c r="O7" s="2133"/>
      <c r="P7" s="3381"/>
      <c r="Q7" s="3382"/>
      <c r="R7" s="3367"/>
      <c r="S7" s="3368"/>
      <c r="T7" s="3367"/>
      <c r="U7" s="3368"/>
      <c r="V7" s="3385"/>
      <c r="W7" s="3385"/>
      <c r="X7" s="1565"/>
      <c r="Y7" s="3367"/>
      <c r="Z7" s="3368"/>
      <c r="AA7" s="3361"/>
      <c r="AB7" s="3361"/>
      <c r="AC7" s="3361"/>
    </row>
    <row r="8" spans="1:29" ht="15" thickBot="1">
      <c r="A8" s="516"/>
      <c r="B8" s="517"/>
      <c r="C8" s="3386" t="s">
        <v>2893</v>
      </c>
      <c r="D8" s="3387"/>
      <c r="E8" s="3406" t="s">
        <v>2893</v>
      </c>
      <c r="F8" s="3407"/>
      <c r="G8" s="3386" t="s">
        <v>2893</v>
      </c>
      <c r="H8" s="3387"/>
      <c r="I8" s="3386" t="s">
        <v>2893</v>
      </c>
      <c r="J8" s="3387"/>
      <c r="K8" s="513" t="s">
        <v>493</v>
      </c>
      <c r="L8" s="2132"/>
      <c r="M8" s="2133"/>
      <c r="N8" s="2133"/>
      <c r="O8" s="2133"/>
      <c r="P8" s="3383"/>
      <c r="Q8" s="3384"/>
      <c r="R8" s="3367"/>
      <c r="S8" s="3368"/>
      <c r="T8" s="3369"/>
      <c r="U8" s="3370"/>
      <c r="V8" s="3385"/>
      <c r="W8" s="3385"/>
      <c r="X8" s="1565"/>
      <c r="Y8" s="3369"/>
      <c r="Z8" s="3370"/>
      <c r="AA8" s="3362"/>
      <c r="AB8" s="3362"/>
      <c r="AC8" s="3362"/>
    </row>
    <row r="9" spans="1:29" s="1218" customFormat="1" ht="15" thickBot="1">
      <c r="A9" s="2911"/>
      <c r="B9" s="2918" t="s">
        <v>494</v>
      </c>
      <c r="C9" s="518">
        <f>'数据-取费表'!B2</f>
        <v>43416</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3" t="s">
        <v>495</v>
      </c>
      <c r="Q9" s="3372"/>
      <c r="R9" s="1566" t="s">
        <v>8</v>
      </c>
      <c r="S9" s="1567">
        <f t="shared" ref="S9:S17" si="0">F9</f>
        <v>0</v>
      </c>
      <c r="T9" s="1566" t="s">
        <v>8</v>
      </c>
      <c r="U9" s="1567">
        <f t="shared" ref="U9:U17" si="1">H9</f>
        <v>0</v>
      </c>
      <c r="V9" s="1566" t="s">
        <v>8</v>
      </c>
      <c r="W9" s="1567">
        <f t="shared" ref="W9:W17" si="2">J9</f>
        <v>0</v>
      </c>
      <c r="X9" s="1568"/>
      <c r="Y9" s="3363" t="s">
        <v>495</v>
      </c>
      <c r="Z9" s="3364"/>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3" t="s">
        <v>498</v>
      </c>
      <c r="Q10" s="3364"/>
      <c r="R10" s="1566" t="s">
        <v>8</v>
      </c>
      <c r="S10" s="1567">
        <f t="shared" si="0"/>
        <v>0</v>
      </c>
      <c r="T10" s="1566" t="s">
        <v>8</v>
      </c>
      <c r="U10" s="1567">
        <f t="shared" si="1"/>
        <v>0</v>
      </c>
      <c r="V10" s="1566" t="s">
        <v>8</v>
      </c>
      <c r="W10" s="1567">
        <f t="shared" si="2"/>
        <v>0</v>
      </c>
      <c r="X10" s="1568"/>
      <c r="Y10" s="3363" t="s">
        <v>498</v>
      </c>
      <c r="Z10" s="3364"/>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1" t="s">
        <v>500</v>
      </c>
      <c r="Q11" s="1149" t="str">
        <f t="shared" ref="Q11:Q17" si="6">B11</f>
        <v>用途</v>
      </c>
      <c r="R11" s="1566" t="s">
        <v>8</v>
      </c>
      <c r="S11" s="1567">
        <f t="shared" si="0"/>
        <v>100</v>
      </c>
      <c r="T11" s="1566" t="s">
        <v>8</v>
      </c>
      <c r="U11" s="1567">
        <f t="shared" si="1"/>
        <v>100</v>
      </c>
      <c r="V11" s="1566" t="s">
        <v>8</v>
      </c>
      <c r="W11" s="1567">
        <f t="shared" si="2"/>
        <v>100</v>
      </c>
      <c r="X11" s="1568"/>
      <c r="Y11" s="3328"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71"/>
      <c r="Q12" s="1149" t="str">
        <f t="shared" si="6"/>
        <v>土地使用年限（年）</v>
      </c>
      <c r="R12" s="1566" t="s">
        <v>8</v>
      </c>
      <c r="S12" s="1567">
        <f t="shared" si="0"/>
        <v>102</v>
      </c>
      <c r="T12" s="1566" t="s">
        <v>8</v>
      </c>
      <c r="U12" s="1567">
        <f t="shared" si="1"/>
        <v>102</v>
      </c>
      <c r="V12" s="1566" t="s">
        <v>8</v>
      </c>
      <c r="W12" s="1567">
        <f t="shared" si="2"/>
        <v>102</v>
      </c>
      <c r="X12" s="1568"/>
      <c r="Y12" s="3328"/>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1"/>
      <c r="Q13" s="1149" t="str">
        <f t="shared" si="6"/>
        <v>容积率</v>
      </c>
      <c r="R13" s="1566" t="s">
        <v>8</v>
      </c>
      <c r="S13" s="1567" t="e">
        <f t="shared" si="0"/>
        <v>#N/A</v>
      </c>
      <c r="T13" s="1566" t="s">
        <v>8</v>
      </c>
      <c r="U13" s="1567" t="e">
        <f t="shared" si="1"/>
        <v>#N/A</v>
      </c>
      <c r="V13" s="1566" t="s">
        <v>8</v>
      </c>
      <c r="W13" s="1567" t="e">
        <f t="shared" si="2"/>
        <v>#N/A</v>
      </c>
      <c r="X13" s="1568"/>
      <c r="Y13" s="3328"/>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1"/>
      <c r="Q15" s="1149">
        <f t="shared" si="6"/>
        <v>111</v>
      </c>
      <c r="R15" s="1566" t="s">
        <v>8</v>
      </c>
      <c r="S15" s="1567">
        <f t="shared" si="0"/>
        <v>100</v>
      </c>
      <c r="T15" s="1566" t="s">
        <v>8</v>
      </c>
      <c r="U15" s="1567">
        <f t="shared" si="1"/>
        <v>100</v>
      </c>
      <c r="V15" s="1566" t="s">
        <v>8</v>
      </c>
      <c r="W15" s="1567">
        <f t="shared" si="2"/>
        <v>100</v>
      </c>
      <c r="X15" s="1568"/>
      <c r="Y15" s="3328"/>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1"/>
      <c r="Q16" s="1149">
        <f t="shared" si="6"/>
        <v>111</v>
      </c>
      <c r="R16" s="1566" t="s">
        <v>8</v>
      </c>
      <c r="S16" s="1567">
        <f t="shared" si="0"/>
        <v>100</v>
      </c>
      <c r="T16" s="1566" t="s">
        <v>8</v>
      </c>
      <c r="U16" s="1567">
        <f t="shared" si="1"/>
        <v>100</v>
      </c>
      <c r="V16" s="1566" t="s">
        <v>8</v>
      </c>
      <c r="W16" s="1567">
        <f t="shared" si="2"/>
        <v>100</v>
      </c>
      <c r="X16" s="1568"/>
      <c r="Y16" s="3328"/>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3" t="s">
        <v>505</v>
      </c>
      <c r="Q17" s="1570" t="str">
        <f t="shared" si="6"/>
        <v>产业集聚程度</v>
      </c>
      <c r="R17" s="1571" t="s">
        <v>8</v>
      </c>
      <c r="S17" s="1572">
        <f t="shared" si="0"/>
        <v>100</v>
      </c>
      <c r="T17" s="1571" t="s">
        <v>8</v>
      </c>
      <c r="U17" s="1572">
        <f t="shared" si="1"/>
        <v>100</v>
      </c>
      <c r="V17" s="1571" t="s">
        <v>8</v>
      </c>
      <c r="W17" s="1572">
        <f t="shared" si="2"/>
        <v>100</v>
      </c>
      <c r="X17" s="1565"/>
      <c r="Y17" s="3373"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4"/>
      <c r="Q18" s="1570"/>
      <c r="R18" s="1571"/>
      <c r="S18" s="1572"/>
      <c r="T18" s="1571"/>
      <c r="U18" s="1572"/>
      <c r="V18" s="1571"/>
      <c r="W18" s="1572"/>
      <c r="X18" s="1565"/>
      <c r="Y18" s="3374"/>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4"/>
      <c r="Q19" s="1570" t="str">
        <f>B19</f>
        <v>交通便捷度</v>
      </c>
      <c r="R19" s="1571" t="s">
        <v>8</v>
      </c>
      <c r="S19" s="1572">
        <f>F19</f>
        <v>100</v>
      </c>
      <c r="T19" s="1571" t="s">
        <v>8</v>
      </c>
      <c r="U19" s="1572">
        <f>H19</f>
        <v>100</v>
      </c>
      <c r="V19" s="1571" t="s">
        <v>8</v>
      </c>
      <c r="W19" s="1572">
        <f>J19</f>
        <v>100</v>
      </c>
      <c r="X19" s="1565"/>
      <c r="Y19" s="3374"/>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4"/>
      <c r="Q20" s="1570"/>
      <c r="R20" s="1571"/>
      <c r="S20" s="1572"/>
      <c r="T20" s="1571"/>
      <c r="U20" s="1572"/>
      <c r="V20" s="1571"/>
      <c r="W20" s="1572"/>
      <c r="X20" s="1565"/>
      <c r="Y20" s="3374"/>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4"/>
      <c r="Q21" s="1570" t="str">
        <f t="shared" ref="Q21:Q35" si="8">B21</f>
        <v>区域土地利用方向</v>
      </c>
      <c r="R21" s="1571" t="s">
        <v>8</v>
      </c>
      <c r="S21" s="1572">
        <f>F21</f>
        <v>100</v>
      </c>
      <c r="T21" s="1571" t="s">
        <v>8</v>
      </c>
      <c r="U21" s="1572">
        <f>H21</f>
        <v>100</v>
      </c>
      <c r="V21" s="1571" t="s">
        <v>8</v>
      </c>
      <c r="W21" s="1572">
        <f>J21</f>
        <v>100</v>
      </c>
      <c r="X21" s="1565"/>
      <c r="Y21" s="3374"/>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4"/>
      <c r="Q22" s="1570"/>
      <c r="R22" s="1571"/>
      <c r="S22" s="1572"/>
      <c r="T22" s="1571"/>
      <c r="U22" s="1572"/>
      <c r="V22" s="1571"/>
      <c r="W22" s="1572"/>
      <c r="X22" s="1565"/>
      <c r="Y22" s="3374"/>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4"/>
      <c r="Q23" s="1570" t="str">
        <f t="shared" si="8"/>
        <v>环境状况</v>
      </c>
      <c r="R23" s="1571" t="s">
        <v>8</v>
      </c>
      <c r="S23" s="1572">
        <f>F23</f>
        <v>100</v>
      </c>
      <c r="T23" s="1571" t="s">
        <v>8</v>
      </c>
      <c r="U23" s="1572">
        <f>H23</f>
        <v>100</v>
      </c>
      <c r="V23" s="1571" t="s">
        <v>8</v>
      </c>
      <c r="W23" s="1572">
        <f>J23</f>
        <v>100</v>
      </c>
      <c r="X23" s="1565"/>
      <c r="Y23" s="3374"/>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4"/>
      <c r="Q24" s="1570"/>
      <c r="R24" s="1571"/>
      <c r="S24" s="1572"/>
      <c r="T24" s="1571"/>
      <c r="U24" s="1572"/>
      <c r="V24" s="1571"/>
      <c r="W24" s="1572"/>
      <c r="X24" s="1565"/>
      <c r="Y24" s="3374"/>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4"/>
      <c r="Q25" s="1149" t="str">
        <f t="shared" si="8"/>
        <v>公共配套设施</v>
      </c>
      <c r="R25" s="1566" t="s">
        <v>8</v>
      </c>
      <c r="S25" s="1567">
        <f>F25</f>
        <v>100</v>
      </c>
      <c r="T25" s="1566" t="s">
        <v>8</v>
      </c>
      <c r="U25" s="1567">
        <f>H25</f>
        <v>100</v>
      </c>
      <c r="V25" s="1566" t="s">
        <v>8</v>
      </c>
      <c r="W25" s="1567">
        <f>J25</f>
        <v>100</v>
      </c>
      <c r="X25" s="1568"/>
      <c r="Y25" s="3374"/>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4"/>
      <c r="Q26" s="1149"/>
      <c r="R26" s="1566"/>
      <c r="S26" s="1567"/>
      <c r="T26" s="1566"/>
      <c r="U26" s="1567"/>
      <c r="V26" s="1566"/>
      <c r="W26" s="1567"/>
      <c r="X26" s="1568"/>
      <c r="Y26" s="3374"/>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4"/>
      <c r="Q27" s="2577" t="str">
        <f t="shared" ref="Q27" si="9">B27</f>
        <v>基础设施水平</v>
      </c>
      <c r="R27" s="1566" t="s">
        <v>8</v>
      </c>
      <c r="S27" s="1567">
        <f>F27</f>
        <v>100</v>
      </c>
      <c r="T27" s="1566" t="s">
        <v>8</v>
      </c>
      <c r="U27" s="1567">
        <f>H27</f>
        <v>100</v>
      </c>
      <c r="V27" s="1566" t="s">
        <v>8</v>
      </c>
      <c r="W27" s="1567">
        <f>J27</f>
        <v>100</v>
      </c>
      <c r="X27" s="1568"/>
      <c r="Y27" s="3374"/>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4"/>
      <c r="Q28" s="2577"/>
      <c r="R28" s="1566"/>
      <c r="S28" s="1567"/>
      <c r="T28" s="1566"/>
      <c r="U28" s="1567"/>
      <c r="V28" s="1566"/>
      <c r="W28" s="1567"/>
      <c r="X28" s="1568"/>
      <c r="Y28" s="3374"/>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4"/>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4"/>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4"/>
      <c r="Q30" s="1570" t="str">
        <f t="shared" si="8"/>
        <v>毗邻道路的类型与等级</v>
      </c>
      <c r="R30" s="1571" t="s">
        <v>8</v>
      </c>
      <c r="S30" s="1572">
        <f t="shared" si="10"/>
        <v>100</v>
      </c>
      <c r="T30" s="1571" t="s">
        <v>8</v>
      </c>
      <c r="U30" s="1572">
        <f t="shared" si="11"/>
        <v>100</v>
      </c>
      <c r="V30" s="1571" t="s">
        <v>8</v>
      </c>
      <c r="W30" s="1572">
        <f t="shared" si="12"/>
        <v>100</v>
      </c>
      <c r="X30" s="1565"/>
      <c r="Y30" s="3374"/>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4"/>
      <c r="Q31" s="1570"/>
      <c r="R31" s="1571"/>
      <c r="S31" s="1572"/>
      <c r="T31" s="1571"/>
      <c r="U31" s="1572"/>
      <c r="V31" s="1571"/>
      <c r="W31" s="1572"/>
      <c r="X31" s="1565"/>
      <c r="Y31" s="3374"/>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4"/>
      <c r="Q32" s="1570" t="str">
        <f t="shared" si="8"/>
        <v>土地级别</v>
      </c>
      <c r="R32" s="1571" t="s">
        <v>8</v>
      </c>
      <c r="S32" s="1572">
        <f t="shared" si="10"/>
        <v>100</v>
      </c>
      <c r="T32" s="1571" t="s">
        <v>8</v>
      </c>
      <c r="U32" s="1572">
        <f t="shared" si="11"/>
        <v>100</v>
      </c>
      <c r="V32" s="1571" t="s">
        <v>8</v>
      </c>
      <c r="W32" s="1572">
        <f t="shared" si="12"/>
        <v>100</v>
      </c>
      <c r="X32" s="1565"/>
      <c r="Y32" s="3374"/>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4"/>
      <c r="Q33" s="1570">
        <f t="shared" si="8"/>
        <v>111</v>
      </c>
      <c r="R33" s="1571" t="s">
        <v>8</v>
      </c>
      <c r="S33" s="1572">
        <f t="shared" si="10"/>
        <v>100</v>
      </c>
      <c r="T33" s="1571" t="s">
        <v>8</v>
      </c>
      <c r="U33" s="1572">
        <f t="shared" si="11"/>
        <v>100</v>
      </c>
      <c r="V33" s="1571" t="s">
        <v>8</v>
      </c>
      <c r="W33" s="1572">
        <f t="shared" si="12"/>
        <v>100</v>
      </c>
      <c r="X33" s="1565"/>
      <c r="Y33" s="3374"/>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5" t="s">
        <v>515</v>
      </c>
      <c r="Q34" s="1570">
        <f t="shared" si="8"/>
        <v>111</v>
      </c>
      <c r="R34" s="1571" t="s">
        <v>8</v>
      </c>
      <c r="S34" s="1572">
        <f t="shared" si="10"/>
        <v>100</v>
      </c>
      <c r="T34" s="1571" t="s">
        <v>8</v>
      </c>
      <c r="U34" s="1572">
        <f t="shared" si="11"/>
        <v>100</v>
      </c>
      <c r="V34" s="1571" t="s">
        <v>8</v>
      </c>
      <c r="W34" s="1572">
        <f t="shared" si="12"/>
        <v>100</v>
      </c>
      <c r="X34" s="1565"/>
      <c r="Y34" s="3376"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6"/>
      <c r="Q35" s="1570">
        <f t="shared" si="8"/>
        <v>111</v>
      </c>
      <c r="R35" s="1575" t="s">
        <v>8</v>
      </c>
      <c r="S35" s="1576">
        <f t="shared" si="10"/>
        <v>100</v>
      </c>
      <c r="T35" s="1575" t="s">
        <v>8</v>
      </c>
      <c r="U35" s="1576">
        <f t="shared" si="11"/>
        <v>100</v>
      </c>
      <c r="V35" s="1575" t="s">
        <v>8</v>
      </c>
      <c r="W35" s="1576">
        <f t="shared" si="12"/>
        <v>100</v>
      </c>
      <c r="X35" s="1577"/>
      <c r="Y35" s="3376"/>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6"/>
      <c r="Q36" s="1570" t="str">
        <f>B36</f>
        <v>宗地面积</v>
      </c>
      <c r="R36" s="1571" t="s">
        <v>8</v>
      </c>
      <c r="S36" s="1572" t="e">
        <f t="shared" si="10"/>
        <v>#N/A</v>
      </c>
      <c r="T36" s="1571" t="s">
        <v>8</v>
      </c>
      <c r="U36" s="1572" t="e">
        <f t="shared" si="11"/>
        <v>#N/A</v>
      </c>
      <c r="V36" s="1571" t="s">
        <v>8</v>
      </c>
      <c r="W36" s="1572" t="e">
        <f t="shared" si="12"/>
        <v>#N/A</v>
      </c>
      <c r="X36" s="1565"/>
      <c r="Y36" s="3376"/>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6"/>
      <c r="Q37" s="1570" t="str">
        <f t="shared" ref="Q37:Q42" si="14">B37</f>
        <v>宗地形状</v>
      </c>
      <c r="R37" s="1571" t="s">
        <v>8</v>
      </c>
      <c r="S37" s="1572">
        <f t="shared" si="10"/>
        <v>100</v>
      </c>
      <c r="T37" s="1571" t="s">
        <v>8</v>
      </c>
      <c r="U37" s="1572">
        <f t="shared" si="11"/>
        <v>100</v>
      </c>
      <c r="V37" s="1571" t="s">
        <v>8</v>
      </c>
      <c r="W37" s="1572">
        <f t="shared" si="12"/>
        <v>100</v>
      </c>
      <c r="X37" s="1565"/>
      <c r="Y37" s="3376"/>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6"/>
      <c r="Q38" s="1570" t="str">
        <f t="shared" si="14"/>
        <v>宗地开发程度</v>
      </c>
      <c r="R38" s="1566" t="s">
        <v>8</v>
      </c>
      <c r="S38" s="1567">
        <f t="shared" si="10"/>
        <v>100</v>
      </c>
      <c r="T38" s="1566" t="s">
        <v>8</v>
      </c>
      <c r="U38" s="1567">
        <f t="shared" si="11"/>
        <v>100</v>
      </c>
      <c r="V38" s="1566" t="s">
        <v>8</v>
      </c>
      <c r="W38" s="1567">
        <f t="shared" si="12"/>
        <v>100</v>
      </c>
      <c r="X38" s="1568"/>
      <c r="Y38" s="3376"/>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6" t="s">
        <v>566</v>
      </c>
      <c r="Q39" s="1570" t="str">
        <f t="shared" si="14"/>
        <v>工程地质条件</v>
      </c>
      <c r="R39" s="1571" t="s">
        <v>8</v>
      </c>
      <c r="S39" s="1572">
        <f t="shared" si="10"/>
        <v>100</v>
      </c>
      <c r="T39" s="1571" t="s">
        <v>8</v>
      </c>
      <c r="U39" s="1572">
        <f t="shared" si="11"/>
        <v>100</v>
      </c>
      <c r="V39" s="1571" t="s">
        <v>8</v>
      </c>
      <c r="W39" s="1572">
        <f t="shared" si="12"/>
        <v>100</v>
      </c>
      <c r="X39" s="1565"/>
      <c r="Y39" s="3376"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6"/>
      <c r="Q40" s="1570">
        <f t="shared" si="14"/>
        <v>111</v>
      </c>
      <c r="R40" s="1571" t="s">
        <v>8</v>
      </c>
      <c r="S40" s="1572">
        <f t="shared" si="10"/>
        <v>100</v>
      </c>
      <c r="T40" s="1571" t="s">
        <v>8</v>
      </c>
      <c r="U40" s="1572">
        <f t="shared" si="11"/>
        <v>100</v>
      </c>
      <c r="V40" s="1571" t="s">
        <v>8</v>
      </c>
      <c r="W40" s="1572">
        <f t="shared" si="12"/>
        <v>100</v>
      </c>
      <c r="X40" s="1565"/>
      <c r="Y40" s="3376"/>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6"/>
      <c r="Q41" s="1570">
        <f t="shared" si="14"/>
        <v>111</v>
      </c>
      <c r="R41" s="1571" t="s">
        <v>8</v>
      </c>
      <c r="S41" s="1572">
        <f t="shared" si="10"/>
        <v>100</v>
      </c>
      <c r="T41" s="1571" t="s">
        <v>8</v>
      </c>
      <c r="U41" s="1572">
        <f t="shared" si="11"/>
        <v>100</v>
      </c>
      <c r="V41" s="1571" t="s">
        <v>8</v>
      </c>
      <c r="W41" s="1572">
        <f t="shared" si="12"/>
        <v>100</v>
      </c>
      <c r="X41" s="1565"/>
      <c r="Y41" s="3376"/>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6"/>
      <c r="Q42" s="1570">
        <f t="shared" si="14"/>
        <v>111</v>
      </c>
      <c r="R42" s="1575" t="s">
        <v>8</v>
      </c>
      <c r="S42" s="1576">
        <f t="shared" si="10"/>
        <v>100</v>
      </c>
      <c r="T42" s="1575" t="s">
        <v>8</v>
      </c>
      <c r="U42" s="1576">
        <f t="shared" si="11"/>
        <v>100</v>
      </c>
      <c r="V42" s="1575" t="s">
        <v>8</v>
      </c>
      <c r="W42" s="1576">
        <f t="shared" si="12"/>
        <v>100</v>
      </c>
      <c r="X42" s="1577"/>
      <c r="Y42" s="3376"/>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71" t="str">
        <f>A43</f>
        <v>成交单价</v>
      </c>
      <c r="Q43" s="3371"/>
      <c r="R43" s="3385">
        <f>E43</f>
        <v>0</v>
      </c>
      <c r="S43" s="3385"/>
      <c r="T43" s="3385">
        <f>G43</f>
        <v>0</v>
      </c>
      <c r="U43" s="3385"/>
      <c r="V43" s="3385">
        <f>I43</f>
        <v>0</v>
      </c>
      <c r="W43" s="3385"/>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71" t="str">
        <f>A44</f>
        <v>比较价格（元/平方米）</v>
      </c>
      <c r="Q44" s="3371"/>
      <c r="R44" s="3396" t="e">
        <f>ROUND(PRODUCT(R43,AA9:AA42),0)</f>
        <v>#DIV/0!</v>
      </c>
      <c r="S44" s="3396"/>
      <c r="T44" s="3396" t="e">
        <f>ROUND(PRODUCT(T43,AB9:AB42),0)</f>
        <v>#DIV/0!</v>
      </c>
      <c r="U44" s="3396"/>
      <c r="V44" s="3396" t="e">
        <f>ROUND(PRODUCT(V43,AC9:AC42),0)</f>
        <v>#DIV/0!</v>
      </c>
      <c r="W44" s="3396"/>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93" t="str">
        <f>A45</f>
        <v>估价对象XX用房的比较价格（楼面单价，元/平方米）</v>
      </c>
      <c r="Q45" s="3394"/>
      <c r="R45" s="3395" t="e">
        <f>ROUND(AVERAGE(R44:V44),0)</f>
        <v>#DIV/0!</v>
      </c>
      <c r="S45" s="3395"/>
      <c r="T45" s="3395"/>
      <c r="U45" s="3395"/>
      <c r="V45" s="3395"/>
      <c r="W45" s="339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397" t="s">
        <v>2246</v>
      </c>
      <c r="H52" s="3398"/>
      <c r="I52" s="1951" t="s">
        <v>1909</v>
      </c>
      <c r="J52" s="1553" t="str">
        <f>项目基本情况!F41</f>
        <v>丹阳</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266968.10000000003</v>
      </c>
      <c r="F53" s="1949" t="e">
        <f t="shared" ref="F53:F62" si="15">ROUND(B53*E53/10000,0)</f>
        <v>#DIV/0!</v>
      </c>
      <c r="G53" s="3399"/>
      <c r="H53" s="3400"/>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401"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401"/>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401"/>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401"/>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76276.600000000006</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3.5</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09"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3.5</v>
      </c>
      <c r="AA7" s="2191"/>
      <c r="AB7" s="2191"/>
      <c r="AC7" s="2192"/>
      <c r="AD7" s="2928"/>
      <c r="AE7" s="2928"/>
      <c r="AF7" s="2928"/>
      <c r="AG7" s="2928"/>
      <c r="AH7" s="2928"/>
      <c r="AI7" s="2928"/>
      <c r="AJ7" s="2929"/>
    </row>
    <row r="8" spans="1:39" ht="15">
      <c r="A8" s="3410"/>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9" t="s">
        <v>2745</v>
      </c>
      <c r="X8" s="3420"/>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10"/>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8"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0"/>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8"/>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0"/>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8" t="s">
        <v>2743</v>
      </c>
      <c r="X11" s="1046" t="s">
        <v>2728</v>
      </c>
      <c r="Y11" s="1651">
        <f>$G$3</f>
        <v>3.5</v>
      </c>
      <c r="Z11" s="1651">
        <f t="shared" ref="Z11:AJ11" si="3">$G$3</f>
        <v>3.5</v>
      </c>
      <c r="AA11" s="1651">
        <f t="shared" si="3"/>
        <v>3.5</v>
      </c>
      <c r="AB11" s="1651">
        <f t="shared" si="3"/>
        <v>3.5</v>
      </c>
      <c r="AC11" s="1651">
        <f t="shared" si="3"/>
        <v>3.5</v>
      </c>
      <c r="AD11" s="1651">
        <f t="shared" si="3"/>
        <v>3.5</v>
      </c>
      <c r="AE11" s="1651">
        <f t="shared" si="3"/>
        <v>3.5</v>
      </c>
      <c r="AF11" s="1651">
        <f t="shared" si="3"/>
        <v>3.5</v>
      </c>
      <c r="AG11" s="1651">
        <f t="shared" si="3"/>
        <v>3.5</v>
      </c>
      <c r="AH11" s="1651">
        <f t="shared" si="3"/>
        <v>3.5</v>
      </c>
      <c r="AI11" s="1651">
        <f t="shared" si="3"/>
        <v>3.5</v>
      </c>
      <c r="AJ11" s="1651">
        <f t="shared" si="3"/>
        <v>3.5</v>
      </c>
    </row>
    <row r="12" spans="1:39" ht="25.8" thickBot="1">
      <c r="A12" s="3409"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8"/>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1"/>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8"/>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11"/>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2"/>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09"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10"/>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43416</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15"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16"/>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16"/>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7"/>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3" t="s">
        <v>1599</v>
      </c>
      <c r="B90" s="3413"/>
      <c r="C90" s="3413"/>
      <c r="D90" s="3413"/>
      <c r="E90" s="3413"/>
      <c r="F90" s="3413"/>
      <c r="G90" s="3413"/>
      <c r="H90" s="3413"/>
      <c r="I90" s="3413"/>
      <c r="J90" s="3413"/>
      <c r="K90" s="2449"/>
      <c r="L90" s="2449"/>
      <c r="M90" s="2449"/>
      <c r="N90" s="2449"/>
    </row>
    <row r="91" spans="1:40">
      <c r="A91" s="3414" t="s">
        <v>1409</v>
      </c>
      <c r="B91" s="3414" t="s">
        <v>1600</v>
      </c>
      <c r="C91" s="1138" t="s">
        <v>1601</v>
      </c>
      <c r="D91" s="1139"/>
      <c r="E91" s="1139"/>
      <c r="F91" s="1139"/>
      <c r="G91" s="1139"/>
      <c r="H91" s="1139"/>
      <c r="I91" s="1139"/>
      <c r="J91" s="1140"/>
      <c r="K91" s="1132"/>
      <c r="L91" s="1132"/>
      <c r="M91" s="1132"/>
      <c r="N91" s="1132"/>
    </row>
    <row r="92" spans="1:40">
      <c r="A92" s="3414"/>
      <c r="B92" s="3414"/>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21"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2"/>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1" t="s">
        <v>1603</v>
      </c>
      <c r="B101" s="1145" t="s">
        <v>871</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22"/>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22"/>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22"/>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22"/>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22"/>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22"/>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22"/>
      <c r="B108" s="3424"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3"/>
      <c r="B109" s="3425"/>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08" t="s">
        <v>1605</v>
      </c>
      <c r="B110" s="3408"/>
      <c r="C110" s="3408"/>
      <c r="D110" s="3408"/>
      <c r="E110" s="3408"/>
      <c r="F110" s="3408"/>
      <c r="G110" s="3408"/>
      <c r="H110" s="3408"/>
      <c r="I110" s="3408"/>
      <c r="J110" s="3408"/>
      <c r="K110" s="2447"/>
      <c r="L110" s="2447"/>
      <c r="M110" s="2447"/>
      <c r="N110" s="2447"/>
    </row>
    <row r="112" spans="1:14" ht="12.6" thickBot="1"/>
    <row r="113" spans="1:13" ht="25.8" thickBot="1">
      <c r="A113" s="1014" t="s">
        <v>861</v>
      </c>
      <c r="B113" s="2450">
        <f>G3</f>
        <v>3.5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866</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867</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868</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4" t="s">
        <v>973</v>
      </c>
      <c r="B18" s="1152" t="s">
        <v>1412</v>
      </c>
      <c r="C18" s="1129" t="s">
        <v>1413</v>
      </c>
      <c r="D18" s="1130"/>
      <c r="E18" s="1152">
        <v>1</v>
      </c>
      <c r="F18" s="1131" t="s">
        <v>1414</v>
      </c>
      <c r="G18" s="1132"/>
      <c r="H18" s="1103"/>
      <c r="I18" s="1103"/>
    </row>
    <row r="19" spans="1:9" s="1597" customFormat="1" ht="19.5" customHeight="1">
      <c r="A19" s="3414"/>
      <c r="B19" s="3414" t="s">
        <v>1415</v>
      </c>
      <c r="C19" s="1129" t="s">
        <v>1416</v>
      </c>
      <c r="D19" s="1130"/>
      <c r="E19" s="1152">
        <v>0.9</v>
      </c>
      <c r="F19" s="1131" t="s">
        <v>1417</v>
      </c>
      <c r="G19" s="1132"/>
      <c r="H19" s="1103"/>
      <c r="I19" s="1103"/>
    </row>
    <row r="20" spans="1:9" s="1597" customFormat="1" ht="19.5" customHeight="1">
      <c r="A20" s="3414"/>
      <c r="B20" s="3414"/>
      <c r="C20" s="1129" t="s">
        <v>1418</v>
      </c>
      <c r="D20" s="1130"/>
      <c r="E20" s="1152">
        <v>1.1000000000000001</v>
      </c>
      <c r="F20" s="1131" t="s">
        <v>1419</v>
      </c>
      <c r="G20" s="1132"/>
      <c r="H20" s="1103"/>
      <c r="I20" s="1103"/>
    </row>
    <row r="21" spans="1:9" s="1597" customFormat="1" ht="19.5" customHeight="1">
      <c r="A21" s="3414"/>
      <c r="B21" s="3414"/>
      <c r="C21" s="1129" t="s">
        <v>1420</v>
      </c>
      <c r="D21" s="1130"/>
      <c r="E21" s="1152">
        <v>0.8</v>
      </c>
      <c r="F21" s="1131" t="s">
        <v>1421</v>
      </c>
      <c r="G21" s="1132"/>
      <c r="H21" s="1103"/>
      <c r="I21" s="1103"/>
    </row>
    <row r="22" spans="1:9" s="1597" customFormat="1" ht="19.5" customHeight="1">
      <c r="A22" s="3414"/>
      <c r="B22" s="3414"/>
      <c r="C22" s="1129" t="s">
        <v>1422</v>
      </c>
      <c r="D22" s="1130"/>
      <c r="E22" s="1152">
        <v>0.5</v>
      </c>
      <c r="F22" s="1131"/>
      <c r="G22" s="1132"/>
      <c r="H22" s="1103"/>
      <c r="I22" s="1103"/>
    </row>
    <row r="23" spans="1:9" s="1597" customFormat="1" ht="19.5" customHeight="1">
      <c r="A23" s="3414" t="s">
        <v>995</v>
      </c>
      <c r="B23" s="1152" t="s">
        <v>1412</v>
      </c>
      <c r="C23" s="1129" t="s">
        <v>1423</v>
      </c>
      <c r="D23" s="1130"/>
      <c r="E23" s="1152">
        <v>1</v>
      </c>
      <c r="F23" s="1131" t="s">
        <v>1424</v>
      </c>
      <c r="G23" s="1132"/>
      <c r="H23" s="1103"/>
      <c r="I23" s="1103"/>
    </row>
    <row r="24" spans="1:9" s="1597" customFormat="1" ht="19.5" customHeight="1">
      <c r="A24" s="3414"/>
      <c r="B24" s="3414" t="s">
        <v>1415</v>
      </c>
      <c r="C24" s="1129" t="s">
        <v>1425</v>
      </c>
      <c r="D24" s="1130"/>
      <c r="E24" s="1152">
        <v>0.5</v>
      </c>
      <c r="F24" s="1131"/>
      <c r="G24" s="1132"/>
      <c r="H24" s="1103"/>
      <c r="I24" s="1103"/>
    </row>
    <row r="25" spans="1:9" s="1597" customFormat="1" ht="19.5" customHeight="1">
      <c r="A25" s="3414"/>
      <c r="B25" s="3414"/>
      <c r="C25" s="1129" t="s">
        <v>1426</v>
      </c>
      <c r="D25" s="1130"/>
      <c r="E25" s="1152">
        <v>1.1000000000000001</v>
      </c>
      <c r="F25" s="1131"/>
      <c r="G25" s="1132"/>
      <c r="H25" s="1103"/>
      <c r="I25" s="1103"/>
    </row>
    <row r="26" spans="1:9" s="1597" customFormat="1" ht="19.5" customHeight="1">
      <c r="A26" s="3414"/>
      <c r="B26" s="3414"/>
      <c r="C26" s="1129" t="s">
        <v>1427</v>
      </c>
      <c r="D26" s="1130"/>
      <c r="E26" s="1152">
        <v>1.1000000000000001</v>
      </c>
      <c r="F26" s="1131"/>
      <c r="G26" s="1132"/>
      <c r="H26" s="1103"/>
      <c r="I26" s="1103"/>
    </row>
    <row r="27" spans="1:9" s="1597" customFormat="1" ht="19.5" customHeight="1">
      <c r="A27" s="3414"/>
      <c r="B27" s="3414"/>
      <c r="C27" s="1129" t="s">
        <v>1428</v>
      </c>
      <c r="D27" s="1130"/>
      <c r="E27" s="1152">
        <v>0.9</v>
      </c>
      <c r="F27" s="1131" t="s">
        <v>1429</v>
      </c>
      <c r="G27" s="1132"/>
      <c r="H27" s="1103"/>
      <c r="I27" s="1103"/>
    </row>
    <row r="28" spans="1:9" s="1597" customFormat="1" ht="19.5" customHeight="1">
      <c r="A28" s="3414"/>
      <c r="B28" s="3414"/>
      <c r="C28" s="1129" t="s">
        <v>1430</v>
      </c>
      <c r="D28" s="1130"/>
      <c r="E28" s="1152">
        <v>0.9</v>
      </c>
      <c r="F28" s="1131" t="s">
        <v>1431</v>
      </c>
      <c r="G28" s="1132"/>
      <c r="H28" s="1103"/>
      <c r="I28" s="1103"/>
    </row>
    <row r="29" spans="1:9" s="1597" customFormat="1" ht="19.5" customHeight="1">
      <c r="A29" s="3414"/>
      <c r="B29" s="3414"/>
      <c r="C29" s="1129" t="s">
        <v>1432</v>
      </c>
      <c r="D29" s="1130"/>
      <c r="E29" s="1152">
        <v>0.9</v>
      </c>
      <c r="F29" s="1131" t="s">
        <v>1433</v>
      </c>
      <c r="G29" s="1132"/>
      <c r="H29" s="1103"/>
      <c r="I29" s="1103"/>
    </row>
    <row r="30" spans="1:9" s="1597" customFormat="1" ht="19.5" customHeight="1">
      <c r="A30" s="3414"/>
      <c r="B30" s="3414"/>
      <c r="C30" s="1129" t="s">
        <v>1434</v>
      </c>
      <c r="D30" s="1130"/>
      <c r="E30" s="1152">
        <v>0.9</v>
      </c>
      <c r="F30" s="1131" t="s">
        <v>1435</v>
      </c>
      <c r="G30" s="1132"/>
      <c r="H30" s="1103"/>
      <c r="I30" s="1103"/>
    </row>
    <row r="31" spans="1:9" s="1597" customFormat="1" ht="19.5" customHeight="1">
      <c r="A31" s="3414"/>
      <c r="B31" s="3414"/>
      <c r="C31" s="1129" t="s">
        <v>1436</v>
      </c>
      <c r="D31" s="1130"/>
      <c r="E31" s="1152">
        <v>0.8</v>
      </c>
      <c r="F31" s="1131" t="s">
        <v>1437</v>
      </c>
      <c r="G31" s="1132"/>
      <c r="H31" s="1103"/>
      <c r="I31" s="1103"/>
    </row>
    <row r="32" spans="1:9" s="1597" customFormat="1" ht="19.5" customHeight="1">
      <c r="A32" s="3414"/>
      <c r="B32" s="3414"/>
      <c r="C32" s="1129" t="s">
        <v>1438</v>
      </c>
      <c r="D32" s="1130"/>
      <c r="E32" s="1152">
        <v>0.8</v>
      </c>
      <c r="F32" s="1131" t="s">
        <v>1439</v>
      </c>
      <c r="G32" s="1132"/>
      <c r="H32" s="1103"/>
      <c r="I32" s="1103"/>
    </row>
    <row r="33" spans="1:9" s="1597" customFormat="1" ht="19.5" customHeight="1">
      <c r="A33" s="3414" t="s">
        <v>1440</v>
      </c>
      <c r="B33" s="1152" t="s">
        <v>1412</v>
      </c>
      <c r="C33" s="1129" t="s">
        <v>1441</v>
      </c>
      <c r="D33" s="1130"/>
      <c r="E33" s="1152">
        <v>1</v>
      </c>
      <c r="F33" s="1131" t="s">
        <v>1442</v>
      </c>
      <c r="G33" s="1132"/>
      <c r="H33" s="1103"/>
      <c r="I33" s="1103"/>
    </row>
    <row r="34" spans="1:9" s="1597" customFormat="1" ht="19.5" customHeight="1">
      <c r="A34" s="3414"/>
      <c r="B34" s="1152" t="s">
        <v>1415</v>
      </c>
      <c r="C34" s="1129" t="s">
        <v>1443</v>
      </c>
      <c r="D34" s="1130"/>
      <c r="E34" s="1152">
        <v>1.5</v>
      </c>
      <c r="F34" s="1131" t="s">
        <v>1444</v>
      </c>
      <c r="G34" s="1132"/>
      <c r="H34" s="1103"/>
      <c r="I34" s="1103"/>
    </row>
    <row r="35" spans="1:9" s="1597" customFormat="1" ht="19.5" customHeight="1">
      <c r="A35" s="3414" t="s">
        <v>1398</v>
      </c>
      <c r="B35" s="1152" t="s">
        <v>1412</v>
      </c>
      <c r="C35" s="1129" t="s">
        <v>1445</v>
      </c>
      <c r="D35" s="1130"/>
      <c r="E35" s="1152">
        <v>1</v>
      </c>
      <c r="F35" s="1131" t="s">
        <v>1446</v>
      </c>
      <c r="G35" s="1132"/>
      <c r="H35" s="1103"/>
      <c r="I35" s="1103"/>
    </row>
    <row r="36" spans="1:9" s="1597" customFormat="1" ht="19.5" customHeight="1">
      <c r="A36" s="3414"/>
      <c r="B36" s="3414" t="s">
        <v>1415</v>
      </c>
      <c r="C36" s="1129" t="s">
        <v>1447</v>
      </c>
      <c r="D36" s="1130"/>
      <c r="E36" s="1152">
        <v>1</v>
      </c>
      <c r="F36" s="1131" t="s">
        <v>1448</v>
      </c>
      <c r="G36" s="1132"/>
      <c r="H36" s="1103"/>
      <c r="I36" s="1103"/>
    </row>
    <row r="37" spans="1:9" s="1597" customFormat="1" ht="19.5" customHeight="1">
      <c r="A37" s="3414"/>
      <c r="B37" s="3414"/>
      <c r="C37" s="1129" t="s">
        <v>1449</v>
      </c>
      <c r="D37" s="1130"/>
      <c r="E37" s="1152">
        <v>1.5</v>
      </c>
      <c r="F37" s="1131" t="s">
        <v>1450</v>
      </c>
      <c r="G37" s="1132"/>
      <c r="H37" s="1103"/>
      <c r="I37" s="1103"/>
    </row>
    <row r="38" spans="1:9" s="1597" customFormat="1" ht="19.5" customHeight="1">
      <c r="A38" s="3414"/>
      <c r="B38" s="3414"/>
      <c r="C38" s="1129" t="s">
        <v>1451</v>
      </c>
      <c r="D38" s="1130"/>
      <c r="E38" s="1152">
        <v>1</v>
      </c>
      <c r="F38" s="1131" t="s">
        <v>1452</v>
      </c>
      <c r="G38" s="1132"/>
      <c r="H38" s="1103"/>
      <c r="I38" s="1103"/>
    </row>
    <row r="39" spans="1:9" s="1597" customFormat="1" ht="19.5" customHeight="1">
      <c r="A39" s="3414"/>
      <c r="B39" s="3414"/>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14" t="s">
        <v>1467</v>
      </c>
      <c r="C61" s="1066" t="s">
        <v>1468</v>
      </c>
      <c r="D61" s="1066" t="s">
        <v>1469</v>
      </c>
      <c r="E61" s="1137">
        <v>0.5</v>
      </c>
      <c r="F61" s="1152">
        <v>80</v>
      </c>
      <c r="H61" s="1103">
        <f>SUMIF(C59:C119,基准地价!C8,E59:E119)</f>
        <v>0</v>
      </c>
    </row>
    <row r="62" spans="1:8" s="1103" customFormat="1" ht="36">
      <c r="A62" s="1152">
        <v>2</v>
      </c>
      <c r="B62" s="3414"/>
      <c r="C62" s="1066" t="s">
        <v>1470</v>
      </c>
      <c r="D62" s="1066" t="s">
        <v>1471</v>
      </c>
      <c r="E62" s="1137">
        <v>0.5</v>
      </c>
      <c r="F62" s="1152">
        <v>80</v>
      </c>
    </row>
    <row r="63" spans="1:8" s="1103" customFormat="1" ht="48">
      <c r="A63" s="1152">
        <v>3</v>
      </c>
      <c r="B63" s="3414"/>
      <c r="C63" s="1066" t="s">
        <v>1472</v>
      </c>
      <c r="D63" s="1066" t="s">
        <v>1473</v>
      </c>
      <c r="E63" s="1137">
        <v>0.5</v>
      </c>
      <c r="F63" s="1152">
        <v>80</v>
      </c>
    </row>
    <row r="64" spans="1:8" s="1103" customFormat="1" ht="48">
      <c r="A64" s="1152">
        <v>4</v>
      </c>
      <c r="B64" s="3414"/>
      <c r="C64" s="1066" t="s">
        <v>1474</v>
      </c>
      <c r="D64" s="1066" t="s">
        <v>1475</v>
      </c>
      <c r="E64" s="1137">
        <v>0.4</v>
      </c>
      <c r="F64" s="1152">
        <v>60</v>
      </c>
    </row>
    <row r="65" spans="1:6" s="1103" customFormat="1" ht="48">
      <c r="A65" s="1152">
        <v>5</v>
      </c>
      <c r="B65" s="3414"/>
      <c r="C65" s="1066" t="s">
        <v>1476</v>
      </c>
      <c r="D65" s="1066" t="s">
        <v>1477</v>
      </c>
      <c r="E65" s="1137">
        <v>0.2</v>
      </c>
      <c r="F65" s="1152">
        <v>30</v>
      </c>
    </row>
    <row r="66" spans="1:6" s="1103" customFormat="1" ht="48">
      <c r="A66" s="1152">
        <v>6</v>
      </c>
      <c r="B66" s="3414"/>
      <c r="C66" s="1066" t="s">
        <v>1478</v>
      </c>
      <c r="D66" s="1066" t="s">
        <v>1479</v>
      </c>
      <c r="E66" s="1137">
        <v>0.3</v>
      </c>
      <c r="F66" s="1152">
        <v>50</v>
      </c>
    </row>
    <row r="67" spans="1:6" s="1103" customFormat="1" ht="48">
      <c r="A67" s="1152">
        <v>7</v>
      </c>
      <c r="B67" s="3414"/>
      <c r="C67" s="1066" t="s">
        <v>1480</v>
      </c>
      <c r="D67" s="1066" t="s">
        <v>1481</v>
      </c>
      <c r="E67" s="1137">
        <v>0.2</v>
      </c>
      <c r="F67" s="1152">
        <v>30</v>
      </c>
    </row>
    <row r="68" spans="1:6" s="1103" customFormat="1" ht="48">
      <c r="A68" s="1152">
        <v>8</v>
      </c>
      <c r="B68" s="3414"/>
      <c r="C68" s="1066" t="s">
        <v>1482</v>
      </c>
      <c r="D68" s="1066" t="s">
        <v>1483</v>
      </c>
      <c r="E68" s="1137">
        <v>0.2</v>
      </c>
      <c r="F68" s="1152">
        <v>30</v>
      </c>
    </row>
    <row r="69" spans="1:6" s="1103" customFormat="1" ht="48">
      <c r="A69" s="1152">
        <v>9</v>
      </c>
      <c r="B69" s="3414"/>
      <c r="C69" s="1066" t="s">
        <v>1484</v>
      </c>
      <c r="D69" s="1066" t="s">
        <v>1485</v>
      </c>
      <c r="E69" s="1137">
        <v>0.2</v>
      </c>
      <c r="F69" s="1152">
        <v>30</v>
      </c>
    </row>
    <row r="70" spans="1:6" s="1103" customFormat="1" ht="60">
      <c r="A70" s="1152">
        <v>10</v>
      </c>
      <c r="B70" s="3414"/>
      <c r="C70" s="1066" t="s">
        <v>1486</v>
      </c>
      <c r="D70" s="1066" t="s">
        <v>1487</v>
      </c>
      <c r="E70" s="1137">
        <v>0.2</v>
      </c>
      <c r="F70" s="1152">
        <v>30</v>
      </c>
    </row>
    <row r="71" spans="1:6" s="1103" customFormat="1" ht="60">
      <c r="A71" s="1152">
        <v>11</v>
      </c>
      <c r="B71" s="3414"/>
      <c r="C71" s="1066" t="s">
        <v>1488</v>
      </c>
      <c r="D71" s="1066" t="s">
        <v>1489</v>
      </c>
      <c r="E71" s="1137">
        <v>0.2</v>
      </c>
      <c r="F71" s="1152">
        <v>30</v>
      </c>
    </row>
    <row r="72" spans="1:6" s="1103" customFormat="1" ht="36">
      <c r="A72" s="1152">
        <v>12</v>
      </c>
      <c r="B72" s="3414"/>
      <c r="C72" s="1066" t="s">
        <v>1490</v>
      </c>
      <c r="D72" s="1066" t="s">
        <v>1491</v>
      </c>
      <c r="E72" s="1137">
        <v>0.5</v>
      </c>
      <c r="F72" s="1152">
        <v>80</v>
      </c>
    </row>
    <row r="73" spans="1:6" s="1103" customFormat="1" ht="36">
      <c r="A73" s="1152">
        <v>13</v>
      </c>
      <c r="B73" s="3414"/>
      <c r="C73" s="1066" t="s">
        <v>1492</v>
      </c>
      <c r="D73" s="1066" t="s">
        <v>1493</v>
      </c>
      <c r="E73" s="1137">
        <v>0.4</v>
      </c>
      <c r="F73" s="1152">
        <v>60</v>
      </c>
    </row>
    <row r="74" spans="1:6" s="1103" customFormat="1" ht="36">
      <c r="A74" s="1152">
        <v>14</v>
      </c>
      <c r="B74" s="3414"/>
      <c r="C74" s="1066" t="s">
        <v>1494</v>
      </c>
      <c r="D74" s="1066" t="s">
        <v>1495</v>
      </c>
      <c r="E74" s="1137">
        <v>0.2</v>
      </c>
      <c r="F74" s="1152">
        <v>30</v>
      </c>
    </row>
    <row r="75" spans="1:6" s="1103" customFormat="1" ht="36">
      <c r="A75" s="1152">
        <v>15</v>
      </c>
      <c r="B75" s="3414"/>
      <c r="C75" s="1066" t="s">
        <v>1496</v>
      </c>
      <c r="D75" s="1066" t="s">
        <v>1497</v>
      </c>
      <c r="E75" s="1137">
        <v>0.2</v>
      </c>
      <c r="F75" s="1152">
        <v>30</v>
      </c>
    </row>
    <row r="76" spans="1:6" s="1103" customFormat="1" ht="36">
      <c r="A76" s="1152">
        <v>16</v>
      </c>
      <c r="B76" s="3414" t="s">
        <v>1498</v>
      </c>
      <c r="C76" s="1066" t="s">
        <v>1499</v>
      </c>
      <c r="D76" s="1066" t="s">
        <v>1500</v>
      </c>
      <c r="E76" s="1137">
        <v>0.5</v>
      </c>
      <c r="F76" s="1152">
        <v>80</v>
      </c>
    </row>
    <row r="77" spans="1:6" s="1103" customFormat="1" ht="36">
      <c r="A77" s="1152">
        <v>17</v>
      </c>
      <c r="B77" s="3414"/>
      <c r="C77" s="1066" t="s">
        <v>1501</v>
      </c>
      <c r="D77" s="1066" t="s">
        <v>1502</v>
      </c>
      <c r="E77" s="1137">
        <v>0.5</v>
      </c>
      <c r="F77" s="1152">
        <v>80</v>
      </c>
    </row>
    <row r="78" spans="1:6" s="1103" customFormat="1" ht="36">
      <c r="A78" s="1152">
        <v>18</v>
      </c>
      <c r="B78" s="3414"/>
      <c r="C78" s="1066" t="s">
        <v>1503</v>
      </c>
      <c r="D78" s="1066" t="s">
        <v>1504</v>
      </c>
      <c r="E78" s="1137">
        <v>0.2</v>
      </c>
      <c r="F78" s="1152">
        <v>30</v>
      </c>
    </row>
    <row r="79" spans="1:6" s="1103" customFormat="1" ht="36">
      <c r="A79" s="1152">
        <v>19</v>
      </c>
      <c r="B79" s="3414"/>
      <c r="C79" s="1066" t="s">
        <v>1505</v>
      </c>
      <c r="D79" s="1066" t="s">
        <v>1506</v>
      </c>
      <c r="E79" s="1137">
        <v>0.5</v>
      </c>
      <c r="F79" s="1152">
        <v>80</v>
      </c>
    </row>
    <row r="80" spans="1:6" s="1103" customFormat="1" ht="36">
      <c r="A80" s="1152">
        <v>20</v>
      </c>
      <c r="B80" s="3414"/>
      <c r="C80" s="1066" t="s">
        <v>1507</v>
      </c>
      <c r="D80" s="1066" t="s">
        <v>1508</v>
      </c>
      <c r="E80" s="1137">
        <v>0.2</v>
      </c>
      <c r="F80" s="1152">
        <v>30</v>
      </c>
    </row>
    <row r="81" spans="1:6" s="1103" customFormat="1" ht="36">
      <c r="A81" s="1152">
        <v>21</v>
      </c>
      <c r="B81" s="3414"/>
      <c r="C81" s="1066" t="s">
        <v>1509</v>
      </c>
      <c r="D81" s="1066" t="s">
        <v>1510</v>
      </c>
      <c r="E81" s="1137">
        <v>0.2</v>
      </c>
      <c r="F81" s="1152">
        <v>30</v>
      </c>
    </row>
    <row r="82" spans="1:6" s="1103" customFormat="1" ht="60">
      <c r="A82" s="1152">
        <v>22</v>
      </c>
      <c r="B82" s="3414"/>
      <c r="C82" s="1066" t="s">
        <v>1511</v>
      </c>
      <c r="D82" s="1066" t="s">
        <v>1512</v>
      </c>
      <c r="E82" s="1137">
        <v>0.2</v>
      </c>
      <c r="F82" s="1152">
        <v>30</v>
      </c>
    </row>
    <row r="83" spans="1:6" s="1103" customFormat="1" ht="60">
      <c r="A83" s="1152">
        <v>23</v>
      </c>
      <c r="B83" s="3414"/>
      <c r="C83" s="1066" t="s">
        <v>1513</v>
      </c>
      <c r="D83" s="1066" t="s">
        <v>1514</v>
      </c>
      <c r="E83" s="1137">
        <v>0.2</v>
      </c>
      <c r="F83" s="1152">
        <v>30</v>
      </c>
    </row>
    <row r="84" spans="1:6" s="1103" customFormat="1" ht="48">
      <c r="A84" s="1152">
        <v>24</v>
      </c>
      <c r="B84" s="3414"/>
      <c r="C84" s="1066" t="s">
        <v>1515</v>
      </c>
      <c r="D84" s="1066" t="s">
        <v>1516</v>
      </c>
      <c r="E84" s="1137">
        <v>0.2</v>
      </c>
      <c r="F84" s="1152">
        <v>30</v>
      </c>
    </row>
    <row r="85" spans="1:6" s="1103" customFormat="1" ht="36">
      <c r="A85" s="1152">
        <v>25</v>
      </c>
      <c r="B85" s="3414"/>
      <c r="C85" s="1066" t="s">
        <v>1517</v>
      </c>
      <c r="D85" s="1066" t="s">
        <v>1518</v>
      </c>
      <c r="E85" s="1137">
        <v>0.5</v>
      </c>
      <c r="F85" s="1152">
        <v>80</v>
      </c>
    </row>
    <row r="86" spans="1:6" s="1103" customFormat="1" ht="36">
      <c r="A86" s="1152">
        <v>26</v>
      </c>
      <c r="B86" s="3414"/>
      <c r="C86" s="1066" t="s">
        <v>1519</v>
      </c>
      <c r="D86" s="1066" t="s">
        <v>1520</v>
      </c>
      <c r="E86" s="1137">
        <v>0.2</v>
      </c>
      <c r="F86" s="1152">
        <v>30</v>
      </c>
    </row>
    <row r="87" spans="1:6" s="1103" customFormat="1" ht="36">
      <c r="A87" s="1152">
        <v>27</v>
      </c>
      <c r="B87" s="3414"/>
      <c r="C87" s="1066" t="s">
        <v>1521</v>
      </c>
      <c r="D87" s="1066" t="s">
        <v>1522</v>
      </c>
      <c r="E87" s="1137">
        <v>0.2</v>
      </c>
      <c r="F87" s="1152">
        <v>30</v>
      </c>
    </row>
    <row r="88" spans="1:6" s="1103" customFormat="1" ht="36">
      <c r="A88" s="1152">
        <v>28</v>
      </c>
      <c r="B88" s="3414"/>
      <c r="C88" s="1066" t="s">
        <v>1523</v>
      </c>
      <c r="D88" s="1066" t="s">
        <v>1524</v>
      </c>
      <c r="E88" s="1137">
        <v>0.2</v>
      </c>
      <c r="F88" s="1152">
        <v>30</v>
      </c>
    </row>
    <row r="89" spans="1:6" s="1103" customFormat="1" ht="36">
      <c r="A89" s="1152">
        <v>29</v>
      </c>
      <c r="B89" s="3414"/>
      <c r="C89" s="1066" t="s">
        <v>1525</v>
      </c>
      <c r="D89" s="1066" t="s">
        <v>1526</v>
      </c>
      <c r="E89" s="1137">
        <v>0.2</v>
      </c>
      <c r="F89" s="1152">
        <v>30</v>
      </c>
    </row>
    <row r="90" spans="1:6" s="1103" customFormat="1" ht="36">
      <c r="A90" s="1152">
        <v>30</v>
      </c>
      <c r="B90" s="3414"/>
      <c r="C90" s="1066" t="s">
        <v>1527</v>
      </c>
      <c r="D90" s="1066" t="s">
        <v>1528</v>
      </c>
      <c r="E90" s="1137">
        <v>0.2</v>
      </c>
      <c r="F90" s="1152">
        <v>30</v>
      </c>
    </row>
    <row r="91" spans="1:6" s="1103" customFormat="1" ht="48">
      <c r="A91" s="1152">
        <v>31</v>
      </c>
      <c r="B91" s="3414"/>
      <c r="C91" s="1066" t="s">
        <v>1529</v>
      </c>
      <c r="D91" s="1066" t="s">
        <v>1530</v>
      </c>
      <c r="E91" s="1137">
        <v>0.2</v>
      </c>
      <c r="F91" s="1152">
        <v>30</v>
      </c>
    </row>
    <row r="92" spans="1:6" s="1103" customFormat="1" ht="36">
      <c r="A92" s="1152">
        <v>32</v>
      </c>
      <c r="B92" s="3414" t="s">
        <v>1531</v>
      </c>
      <c r="C92" s="1152" t="s">
        <v>1532</v>
      </c>
      <c r="D92" s="1066" t="s">
        <v>1533</v>
      </c>
      <c r="E92" s="1137">
        <v>0.2</v>
      </c>
      <c r="F92" s="1152">
        <v>30</v>
      </c>
    </row>
    <row r="93" spans="1:6" s="1103" customFormat="1" ht="36">
      <c r="A93" s="1152">
        <v>33</v>
      </c>
      <c r="B93" s="3414"/>
      <c r="C93" s="1152" t="s">
        <v>1534</v>
      </c>
      <c r="D93" s="1066" t="s">
        <v>1535</v>
      </c>
      <c r="E93" s="1137">
        <v>0.2</v>
      </c>
      <c r="F93" s="1152">
        <v>30</v>
      </c>
    </row>
    <row r="94" spans="1:6" s="1103" customFormat="1" ht="60">
      <c r="A94" s="1152">
        <v>34</v>
      </c>
      <c r="B94" s="3414"/>
      <c r="C94" s="1152" t="s">
        <v>1536</v>
      </c>
      <c r="D94" s="1066" t="s">
        <v>1537</v>
      </c>
      <c r="E94" s="1137">
        <v>0.2</v>
      </c>
      <c r="F94" s="1152">
        <v>30</v>
      </c>
    </row>
    <row r="95" spans="1:6" s="1103" customFormat="1" ht="48">
      <c r="A95" s="1152">
        <v>35</v>
      </c>
      <c r="B95" s="3414"/>
      <c r="C95" s="1152" t="s">
        <v>1538</v>
      </c>
      <c r="D95" s="1066" t="s">
        <v>1539</v>
      </c>
      <c r="E95" s="1137">
        <v>0.2</v>
      </c>
      <c r="F95" s="1152">
        <v>30</v>
      </c>
    </row>
    <row r="96" spans="1:6" s="1103" customFormat="1" ht="72">
      <c r="A96" s="1152">
        <v>36</v>
      </c>
      <c r="B96" s="3414"/>
      <c r="C96" s="1066" t="s">
        <v>1540</v>
      </c>
      <c r="D96" s="1066" t="s">
        <v>1541</v>
      </c>
      <c r="E96" s="1137">
        <v>0.2</v>
      </c>
      <c r="F96" s="1152">
        <v>30</v>
      </c>
    </row>
    <row r="97" spans="1:6" s="1103" customFormat="1" ht="36">
      <c r="A97" s="1152">
        <v>37</v>
      </c>
      <c r="B97" s="3414"/>
      <c r="C97" s="1152" t="s">
        <v>1542</v>
      </c>
      <c r="D97" s="1066" t="s">
        <v>1543</v>
      </c>
      <c r="E97" s="1137">
        <v>0.2</v>
      </c>
      <c r="F97" s="1152">
        <v>30</v>
      </c>
    </row>
    <row r="98" spans="1:6" s="1103" customFormat="1" ht="36">
      <c r="A98" s="1152">
        <v>38</v>
      </c>
      <c r="B98" s="3414"/>
      <c r="C98" s="1152" t="s">
        <v>1544</v>
      </c>
      <c r="D98" s="1066" t="s">
        <v>1545</v>
      </c>
      <c r="E98" s="1137">
        <v>0.2</v>
      </c>
      <c r="F98" s="1152">
        <v>30</v>
      </c>
    </row>
    <row r="99" spans="1:6" s="1103" customFormat="1" ht="36">
      <c r="A99" s="1152">
        <v>39</v>
      </c>
      <c r="B99" s="3414" t="s">
        <v>1546</v>
      </c>
      <c r="C99" s="1152" t="s">
        <v>1547</v>
      </c>
      <c r="D99" s="1066" t="s">
        <v>1548</v>
      </c>
      <c r="E99" s="1137">
        <v>0.3</v>
      </c>
      <c r="F99" s="1152">
        <v>50</v>
      </c>
    </row>
    <row r="100" spans="1:6" s="1103" customFormat="1" ht="36">
      <c r="A100" s="1152">
        <v>40</v>
      </c>
      <c r="B100" s="3414"/>
      <c r="C100" s="1152" t="s">
        <v>1549</v>
      </c>
      <c r="D100" s="1066" t="s">
        <v>1550</v>
      </c>
      <c r="E100" s="1137">
        <v>0.2</v>
      </c>
      <c r="F100" s="1152">
        <v>30</v>
      </c>
    </row>
    <row r="101" spans="1:6" s="1103" customFormat="1" ht="36">
      <c r="A101" s="1152">
        <v>41</v>
      </c>
      <c r="B101" s="3414"/>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14" t="s">
        <v>1561</v>
      </c>
      <c r="C105" s="1152" t="s">
        <v>1562</v>
      </c>
      <c r="D105" s="1066" t="s">
        <v>1563</v>
      </c>
      <c r="E105" s="1137">
        <v>0.2</v>
      </c>
      <c r="F105" s="1152">
        <v>30</v>
      </c>
    </row>
    <row r="106" spans="1:6" s="1103" customFormat="1" ht="48">
      <c r="A106" s="1152">
        <v>46</v>
      </c>
      <c r="B106" s="3414"/>
      <c r="C106" s="1152" t="s">
        <v>1564</v>
      </c>
      <c r="D106" s="1066" t="s">
        <v>1565</v>
      </c>
      <c r="E106" s="1137">
        <v>0.2</v>
      </c>
      <c r="F106" s="1152">
        <v>30</v>
      </c>
    </row>
    <row r="107" spans="1:6" s="1103" customFormat="1" ht="36">
      <c r="A107" s="1152">
        <v>47</v>
      </c>
      <c r="B107" s="3414" t="s">
        <v>1566</v>
      </c>
      <c r="C107" s="1152" t="s">
        <v>1567</v>
      </c>
      <c r="D107" s="1066" t="s">
        <v>1568</v>
      </c>
      <c r="E107" s="1137">
        <v>0.3</v>
      </c>
      <c r="F107" s="1152">
        <v>50</v>
      </c>
    </row>
    <row r="108" spans="1:6" s="1103" customFormat="1" ht="48">
      <c r="A108" s="1152">
        <v>48</v>
      </c>
      <c r="B108" s="3414"/>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14" t="s">
        <v>1577</v>
      </c>
      <c r="C111" s="1152" t="s">
        <v>1578</v>
      </c>
      <c r="D111" s="1066" t="s">
        <v>1579</v>
      </c>
      <c r="E111" s="1137">
        <v>0.2</v>
      </c>
      <c r="F111" s="1152">
        <v>30</v>
      </c>
    </row>
    <row r="112" spans="1:6" s="1103" customFormat="1" ht="36">
      <c r="A112" s="1152">
        <v>52</v>
      </c>
      <c r="B112" s="3414"/>
      <c r="C112" s="1152" t="s">
        <v>1580</v>
      </c>
      <c r="D112" s="1066" t="s">
        <v>1581</v>
      </c>
      <c r="E112" s="1137">
        <v>0.2</v>
      </c>
      <c r="F112" s="1152">
        <v>30</v>
      </c>
    </row>
    <row r="113" spans="1:14" s="1103" customFormat="1" ht="36">
      <c r="A113" s="1152">
        <v>53</v>
      </c>
      <c r="B113" s="3414"/>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14" t="s">
        <v>1590</v>
      </c>
      <c r="C116" s="1152" t="s">
        <v>1591</v>
      </c>
      <c r="D116" s="1066" t="s">
        <v>1592</v>
      </c>
      <c r="E116" s="1137">
        <v>0.2</v>
      </c>
      <c r="F116" s="1152">
        <v>30</v>
      </c>
    </row>
    <row r="117" spans="1:14" ht="36">
      <c r="A117" s="1152">
        <v>57</v>
      </c>
      <c r="B117" s="3414"/>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13" t="s">
        <v>1599</v>
      </c>
      <c r="B121" s="3413"/>
      <c r="C121" s="3413"/>
      <c r="D121" s="3413"/>
      <c r="E121" s="3413"/>
      <c r="F121" s="3413"/>
      <c r="G121" s="3413"/>
      <c r="H121" s="3413"/>
      <c r="I121" s="3413"/>
      <c r="J121" s="341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6" t="s">
        <v>1005</v>
      </c>
      <c r="B1" s="3426"/>
      <c r="C1" s="3426"/>
      <c r="D1" s="3426"/>
      <c r="E1" s="3426"/>
      <c r="F1" s="3426"/>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7" t="s">
        <v>1018</v>
      </c>
      <c r="B2" s="3427"/>
      <c r="C2" s="3427"/>
      <c r="D2" s="3427"/>
      <c r="E2" s="3427"/>
      <c r="F2" s="3427"/>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8"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9"/>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0" t="s">
        <v>2041</v>
      </c>
      <c r="B1" s="3430"/>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c r="D1" s="2049"/>
      <c r="E1" s="2386" t="s">
        <v>2336</v>
      </c>
      <c r="F1" s="2387">
        <f ca="1">J54</f>
        <v>-2</v>
      </c>
      <c r="G1" s="773">
        <f>MATCH(C1,'数据-取费表'!A6:A16,0)+5</f>
        <v>8</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5" t="s">
        <v>660</v>
      </c>
      <c r="I3" s="2056"/>
      <c r="J3" s="2056"/>
      <c r="K3" s="2057"/>
      <c r="L3" s="2056"/>
      <c r="M3" s="2056"/>
    </row>
    <row r="4" spans="1:25" ht="18" customHeight="1">
      <c r="A4" s="1644" t="s">
        <v>661</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495" t="s">
        <v>2423</v>
      </c>
      <c r="E7" s="2489"/>
      <c r="F7" s="2490"/>
      <c r="G7" s="1590"/>
      <c r="H7" s="780">
        <v>1</v>
      </c>
      <c r="I7" s="781" t="s">
        <v>2420</v>
      </c>
      <c r="J7" s="52">
        <f ca="1">J8+J12+J14</f>
        <v>0</v>
      </c>
      <c r="K7" s="2495" t="s">
        <v>2423</v>
      </c>
      <c r="L7" s="2489"/>
      <c r="M7" s="2490"/>
    </row>
    <row r="8" spans="1:25" ht="18" customHeight="1">
      <c r="A8" s="1829" t="s">
        <v>1786</v>
      </c>
      <c r="B8" s="3432" t="s">
        <v>2425</v>
      </c>
      <c r="C8" s="1824">
        <f ca="1">ROUND(F8*F10*F9*(1-F11)/10000,0)</f>
        <v>0</v>
      </c>
      <c r="D8" s="1821" t="s">
        <v>2496</v>
      </c>
      <c r="E8" s="60" t="s">
        <v>602</v>
      </c>
      <c r="F8" s="784">
        <f ca="1">INDIRECT("'数据-取费表'!u"&amp;$G$1)</f>
        <v>0</v>
      </c>
      <c r="G8" s="1590"/>
      <c r="H8" s="2503" t="s">
        <v>1786</v>
      </c>
      <c r="I8" s="3432" t="s">
        <v>2425</v>
      </c>
      <c r="J8" s="782">
        <f ca="1">ROUND(M8*M10*M9*(1-M11)/10000,0)</f>
        <v>0</v>
      </c>
      <c r="K8" s="340" t="s">
        <v>2496</v>
      </c>
      <c r="L8" s="783" t="s">
        <v>1700</v>
      </c>
      <c r="M8" s="784">
        <f ca="1">INDIRECT("'数据-取费表'!z"&amp;$G$1)</f>
        <v>0</v>
      </c>
    </row>
    <row r="9" spans="1:25" ht="18" customHeight="1">
      <c r="A9" s="2499"/>
      <c r="B9" s="3433"/>
      <c r="C9" s="1825"/>
      <c r="D9" s="1822"/>
      <c r="E9" s="60" t="s">
        <v>603</v>
      </c>
      <c r="F9" s="784">
        <f ca="1">IF(INDIRECT("'数据-取费表'!ah"&amp;$G$1)="",INDIRECT("'数据-取费表'!k"&amp;$G$1),INDIRECT("'数据-取费表'!ah"&amp;$G$1))</f>
        <v>0</v>
      </c>
      <c r="G9" s="1590"/>
      <c r="H9" s="2488"/>
      <c r="I9" s="3433"/>
      <c r="J9" s="787"/>
      <c r="K9" s="788"/>
      <c r="L9" s="783" t="s">
        <v>1701</v>
      </c>
      <c r="M9" s="784">
        <f ca="1">F9</f>
        <v>0</v>
      </c>
    </row>
    <row r="10" spans="1:25" ht="18" customHeight="1">
      <c r="A10" s="2492"/>
      <c r="B10" s="3434"/>
      <c r="C10" s="1825"/>
      <c r="D10" s="1822"/>
      <c r="E10" s="60" t="s">
        <v>604</v>
      </c>
      <c r="F10" s="784">
        <f ca="1">INDIRECT("'数据-取费表'!ai"&amp;$G$1)</f>
        <v>0</v>
      </c>
      <c r="G10" s="1590"/>
      <c r="H10" s="2488"/>
      <c r="I10" s="3434"/>
      <c r="J10" s="787"/>
      <c r="K10" s="788"/>
      <c r="L10" s="783" t="s">
        <v>1702</v>
      </c>
      <c r="M10" s="784">
        <f ca="1">INDIRECT("'数据-取费表'!ai"&amp;$G$1)</f>
        <v>0</v>
      </c>
    </row>
    <row r="11" spans="1:25" ht="18" customHeight="1">
      <c r="A11" s="785"/>
      <c r="B11" s="3435"/>
      <c r="C11" s="1825"/>
      <c r="D11" s="1822"/>
      <c r="E11" s="60" t="s">
        <v>605</v>
      </c>
      <c r="F11" s="793">
        <f ca="1">INDIRECT("'数据-取费表'!w"&amp;$G$1)</f>
        <v>0</v>
      </c>
      <c r="G11" s="1590"/>
      <c r="H11" s="2504"/>
      <c r="I11" s="3434"/>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0</v>
      </c>
      <c r="D15" s="1833" t="s">
        <v>607</v>
      </c>
      <c r="E15" s="794" t="s">
        <v>608</v>
      </c>
      <c r="F15" s="799">
        <f ca="1">INDIRECT("'数据-取费表'!y"&amp;$G$1)</f>
        <v>0</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0</v>
      </c>
      <c r="D16" s="1978" t="s">
        <v>611</v>
      </c>
      <c r="E16" s="1979"/>
      <c r="F16" s="804"/>
      <c r="G16" s="1590"/>
      <c r="H16" s="802" t="s">
        <v>2031</v>
      </c>
      <c r="I16" s="2230" t="s">
        <v>2787</v>
      </c>
      <c r="J16" s="52">
        <f ca="1">C31</f>
        <v>0</v>
      </c>
      <c r="K16" s="25"/>
      <c r="L16" s="800"/>
      <c r="M16" s="801"/>
    </row>
    <row r="17" spans="1:25" s="2063" customFormat="1" ht="18" customHeight="1">
      <c r="A17" s="802" t="s">
        <v>1811</v>
      </c>
      <c r="B17" s="783" t="s">
        <v>612</v>
      </c>
      <c r="C17" s="52">
        <f ca="1">ROUND(C16*F17,0)</f>
        <v>0</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0</v>
      </c>
      <c r="K18" s="25" t="s">
        <v>617</v>
      </c>
      <c r="L18" s="1981"/>
      <c r="M18" s="55"/>
    </row>
    <row r="19" spans="1:25" s="2063" customFormat="1" ht="18" customHeight="1">
      <c r="A19" s="802" t="s">
        <v>1813</v>
      </c>
      <c r="B19" s="783" t="s">
        <v>618</v>
      </c>
      <c r="C19" s="52">
        <f ca="1">ROUND(F19*(INDIRECT("'数据-取费表'!k"&amp;$G$1)+INDIRECT("'数据-取费表'!S"&amp;$G$1))/10000,0)</f>
        <v>0</v>
      </c>
      <c r="D19" s="783" t="s">
        <v>619</v>
      </c>
      <c r="E19" s="783" t="s">
        <v>620</v>
      </c>
      <c r="F19" s="55">
        <f>'数据-取费表'!B35</f>
        <v>150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0</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0</v>
      </c>
      <c r="D21" s="260" t="s">
        <v>628</v>
      </c>
      <c r="E21" s="1981"/>
      <c r="F21" s="55"/>
      <c r="G21" s="1590"/>
      <c r="H21" s="1829" t="s">
        <v>1811</v>
      </c>
      <c r="I21" s="783" t="s">
        <v>629</v>
      </c>
      <c r="J21" s="52">
        <f ca="1">IF(K21="按租金收入计税",ROUND(J7*M21,1),ROUND(C31*F35*0.7,1))</f>
        <v>0</v>
      </c>
      <c r="K21" s="810" t="s">
        <v>630</v>
      </c>
      <c r="L21" s="783" t="s">
        <v>614</v>
      </c>
      <c r="M21" s="808">
        <f>IF(K21="按租金收入计税",'数据-取费表'!B51,'数据-取费表'!B50)</f>
        <v>1.2E-2</v>
      </c>
    </row>
    <row r="22" spans="1:25" s="2063" customFormat="1" ht="18" customHeight="1">
      <c r="A22" s="802" t="s">
        <v>1839</v>
      </c>
      <c r="B22" s="783" t="s">
        <v>631</v>
      </c>
      <c r="C22" s="52">
        <f ca="1">ROUND(C21*F22,0)</f>
        <v>0</v>
      </c>
      <c r="D22" s="811" t="s">
        <v>632</v>
      </c>
      <c r="E22" s="783" t="s">
        <v>614</v>
      </c>
      <c r="F22" s="808">
        <f>'数据-取费表'!B37</f>
        <v>0.02</v>
      </c>
      <c r="G22" s="1591"/>
      <c r="H22" s="1831" t="s">
        <v>1812</v>
      </c>
      <c r="I22" s="1821" t="s">
        <v>633</v>
      </c>
      <c r="J22" s="53">
        <f ca="1">ROUND(M22*M23/10000,0)</f>
        <v>0</v>
      </c>
      <c r="K22" s="813" t="s">
        <v>634</v>
      </c>
      <c r="L22" s="783" t="s">
        <v>635</v>
      </c>
      <c r="M22" s="639">
        <f>'数据-取费表'!B52</f>
        <v>4</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3" customFormat="1" ht="18" customHeight="1">
      <c r="A25" s="802" t="s">
        <v>1837</v>
      </c>
      <c r="B25" s="783" t="s">
        <v>2399</v>
      </c>
      <c r="C25" s="52">
        <f ca="1">ROUND(IF('数据-取费表'!B22&lt;=1,(C21+C22)*F26*F25/2,(C21+C22)*(POWER((1+F26),F25/2)-1)),0)</f>
        <v>0</v>
      </c>
      <c r="D25" s="2570" t="str">
        <f>IF(F25&lt;=1,"(建造成本+管理费用)×利率×(建设周期÷2)","(建造成本+管理费用)×((1+利率)^(建设周期÷2)-1)")</f>
        <v>(建造成本+管理费用)×((1+利率)^(建设周期÷2)-1)</v>
      </c>
      <c r="E25" s="783" t="s">
        <v>643</v>
      </c>
      <c r="F25" s="639">
        <f>'数据-取费表'!B20</f>
        <v>2</v>
      </c>
      <c r="G25" s="1591"/>
      <c r="H25" s="802" t="s">
        <v>1840</v>
      </c>
      <c r="I25" s="783" t="s">
        <v>644</v>
      </c>
      <c r="J25" s="52">
        <f ca="1">ROUND(J15*M25,0)</f>
        <v>0</v>
      </c>
      <c r="K25" s="1976" t="s">
        <v>645</v>
      </c>
      <c r="L25" s="783" t="s">
        <v>614</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1E-3</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0</v>
      </c>
      <c r="K27" s="1978" t="s">
        <v>665</v>
      </c>
      <c r="L27" s="1980"/>
      <c r="M27" s="819"/>
    </row>
    <row r="28" spans="1:25" ht="18" customHeight="1">
      <c r="A28" s="802" t="s">
        <v>1837</v>
      </c>
      <c r="B28" s="783" t="s">
        <v>2400</v>
      </c>
      <c r="C28" s="52">
        <f ca="1">ROUND((C21+C22)*F28,0)</f>
        <v>0</v>
      </c>
      <c r="D28" s="811" t="s">
        <v>666</v>
      </c>
      <c r="E28" s="794" t="s">
        <v>667</v>
      </c>
      <c r="F28" s="793">
        <f ca="1">INDIRECT("'数据-取费表'!q"&amp;$G$1)</f>
        <v>0</v>
      </c>
      <c r="G28" s="1590"/>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0</v>
      </c>
      <c r="D31" s="2544"/>
      <c r="E31" s="2545"/>
      <c r="F31" s="2546"/>
      <c r="G31" s="1591"/>
      <c r="H31" s="822" t="s">
        <v>1834</v>
      </c>
      <c r="I31" s="3011" t="s">
        <v>2786</v>
      </c>
      <c r="J31" s="824">
        <f ca="1">ROUND(J28/(1+F45)^F46,0)</f>
        <v>0</v>
      </c>
      <c r="K31" s="825" t="s">
        <v>653</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0</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0</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0</v>
      </c>
      <c r="D36" s="813" t="s">
        <v>634</v>
      </c>
      <c r="E36" s="783" t="s">
        <v>635</v>
      </c>
      <c r="F36" s="639">
        <f>'数据-取费表'!B52</f>
        <v>4</v>
      </c>
      <c r="G36" s="2061"/>
      <c r="H36" s="2064"/>
      <c r="I36" s="3431"/>
      <c r="J36" s="2078"/>
      <c r="K36" s="2079"/>
      <c r="L36" s="2078"/>
      <c r="M36" s="2078"/>
    </row>
    <row r="37" spans="1:18" ht="18" customHeight="1">
      <c r="A37" s="814"/>
      <c r="B37" s="792"/>
      <c r="C37" s="68"/>
      <c r="D37" s="815"/>
      <c r="E37" s="783" t="s">
        <v>639</v>
      </c>
      <c r="F37" s="784">
        <f ca="1">INDIRECT("'数据-取费表'!r"&amp;$G$1)</f>
        <v>0</v>
      </c>
      <c r="G37" s="2061"/>
      <c r="H37" s="2064"/>
      <c r="I37" s="3431"/>
      <c r="J37" s="2076"/>
      <c r="K37" s="2077"/>
      <c r="L37" s="2076"/>
      <c r="M37" s="2076"/>
    </row>
    <row r="38" spans="1:18" ht="18" customHeight="1">
      <c r="A38" s="802" t="s">
        <v>1839</v>
      </c>
      <c r="B38" s="783" t="s">
        <v>641</v>
      </c>
      <c r="C38" s="52">
        <f ca="1">ROUND(C31*F38,1)</f>
        <v>0</v>
      </c>
      <c r="D38" s="1976" t="s">
        <v>656</v>
      </c>
      <c r="E38" s="783" t="s">
        <v>614</v>
      </c>
      <c r="F38" s="816">
        <f ca="1">INDIRECT("'数据-取费表'!Ak"&amp;$G$1)</f>
        <v>0</v>
      </c>
      <c r="G38" s="2061"/>
      <c r="H38" s="2076"/>
      <c r="I38" s="2080"/>
      <c r="J38" s="1987"/>
      <c r="K38" s="2081"/>
      <c r="L38" s="2076"/>
      <c r="M38" s="2076"/>
    </row>
    <row r="39" spans="1:18" ht="18" customHeight="1">
      <c r="A39" s="802" t="s">
        <v>1840</v>
      </c>
      <c r="B39" s="783" t="s">
        <v>644</v>
      </c>
      <c r="C39" s="52">
        <f ca="1">ROUND(C15*F39,1)</f>
        <v>0</v>
      </c>
      <c r="D39" s="1976" t="s">
        <v>645</v>
      </c>
      <c r="E39" s="783" t="s">
        <v>614</v>
      </c>
      <c r="F39" s="817">
        <f ca="1">INDIRECT("'数据-取费表'!Al"&amp;$G$1)</f>
        <v>0</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0</v>
      </c>
      <c r="D42" s="1978" t="s">
        <v>659</v>
      </c>
      <c r="E42" s="1980"/>
      <c r="F42" s="819"/>
      <c r="G42" s="2061"/>
      <c r="H42" s="2061"/>
      <c r="I42" s="2061"/>
      <c r="J42" s="2061"/>
      <c r="K42" s="2082"/>
      <c r="L42" s="2061"/>
      <c r="M42" s="2061"/>
    </row>
    <row r="43" spans="1:18" ht="18" customHeight="1">
      <c r="A43" s="802" t="s">
        <v>1839</v>
      </c>
      <c r="B43" s="834" t="s">
        <v>676</v>
      </c>
      <c r="C43" s="835">
        <f ca="1">ROUND(C15*F43,0)</f>
        <v>0</v>
      </c>
      <c r="D43" s="1354" t="s">
        <v>677</v>
      </c>
      <c r="E43" s="3122" t="s">
        <v>2923</v>
      </c>
      <c r="F43" s="3123">
        <f ca="1">INDIRECT("'数据-取费表'!j"&amp;$G$1)</f>
        <v>0</v>
      </c>
      <c r="G43" s="2061"/>
      <c r="H43" s="2061"/>
      <c r="I43" s="2061"/>
      <c r="J43" s="2061"/>
      <c r="K43" s="2082"/>
      <c r="L43" s="2061"/>
      <c r="M43" s="2061"/>
    </row>
    <row r="44" spans="1:18" ht="18" customHeight="1">
      <c r="A44" s="802" t="s">
        <v>1840</v>
      </c>
      <c r="B44" s="834" t="s">
        <v>678</v>
      </c>
      <c r="C44" s="1355">
        <f ca="1">C42-C43</f>
        <v>0</v>
      </c>
      <c r="D44" s="462" t="s">
        <v>679</v>
      </c>
      <c r="E44" s="463"/>
      <c r="F44" s="464"/>
      <c r="G44" s="2061"/>
      <c r="H44" s="2061"/>
      <c r="I44" s="2061"/>
      <c r="J44" s="2061"/>
      <c r="K44" s="2082"/>
      <c r="L44" s="2061"/>
      <c r="M44" s="2061"/>
    </row>
    <row r="45" spans="1:18" ht="18" customHeight="1">
      <c r="A45" s="802" t="s">
        <v>1841</v>
      </c>
      <c r="B45" s="1354" t="s">
        <v>680</v>
      </c>
      <c r="C45" s="3037">
        <f ca="1">ROUND(-PV(F45,F46,C44,0),0)</f>
        <v>0</v>
      </c>
      <c r="D45" s="1356" t="s">
        <v>681</v>
      </c>
      <c r="E45" s="805" t="s">
        <v>682</v>
      </c>
      <c r="F45" s="829">
        <f ca="1">INDIRECT("'数据-取费表'!h"&amp;$G$1)</f>
        <v>0</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str">
        <f ca="1">IF(M48="住宅",0,IF(L49&gt;J52,L61,J61))</f>
        <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0</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0</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-2</v>
      </c>
      <c r="K54" s="3436"/>
      <c r="L54" s="3437"/>
      <c r="O54" s="2400" t="s">
        <v>2350</v>
      </c>
      <c r="P54" s="2398" t="s">
        <v>2351</v>
      </c>
      <c r="Q54" s="2399">
        <f ca="1">J54</f>
        <v>-2</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0</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0</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0</v>
      </c>
      <c r="R69" s="2405" t="s">
        <v>2378</v>
      </c>
    </row>
    <row r="70" spans="1:18" s="2058" customFormat="1" ht="19.2" thickBot="1">
      <c r="A70" s="2095"/>
      <c r="B70" s="2096"/>
      <c r="C70" s="2096"/>
      <c r="K70" s="2085"/>
      <c r="O70" s="2400" t="s">
        <v>2346</v>
      </c>
      <c r="P70" s="2406" t="s">
        <v>2360</v>
      </c>
      <c r="Q70" s="2399">
        <f ca="1">ROUND(Q71-Q72*Q73,0)</f>
        <v>0</v>
      </c>
      <c r="R70" s="2402"/>
    </row>
    <row r="71" spans="1:18" s="2058" customFormat="1" ht="16.2" thickBot="1">
      <c r="A71" s="2095"/>
      <c r="B71" s="2096"/>
      <c r="C71" s="2096"/>
      <c r="K71" s="2085"/>
      <c r="O71" s="2400" t="s">
        <v>2361</v>
      </c>
      <c r="P71" s="2406" t="s">
        <v>2362</v>
      </c>
      <c r="Q71" s="2399">
        <f ca="1">C42</f>
        <v>0</v>
      </c>
      <c r="R71" s="2398" t="s">
        <v>2342</v>
      </c>
    </row>
    <row r="72" spans="1:18" s="2058" customFormat="1" ht="16.2" thickBot="1">
      <c r="A72" s="2095"/>
      <c r="B72" s="2096"/>
      <c r="C72" s="2096"/>
      <c r="K72" s="2085"/>
      <c r="O72" s="2400" t="s">
        <v>2363</v>
      </c>
      <c r="P72" s="2406" t="s">
        <v>2364</v>
      </c>
      <c r="Q72" s="2399">
        <f ca="1">C15</f>
        <v>0</v>
      </c>
      <c r="R72" s="2398" t="s">
        <v>2342</v>
      </c>
    </row>
    <row r="73" spans="1:18" s="2058" customFormat="1" ht="16.2" thickBot="1">
      <c r="A73" s="2095"/>
      <c r="B73" s="2096"/>
      <c r="C73" s="2096"/>
      <c r="K73" s="2085"/>
      <c r="O73" s="2400" t="s">
        <v>2365</v>
      </c>
      <c r="P73" s="2406" t="s">
        <v>2366</v>
      </c>
      <c r="Q73" s="2401">
        <f ca="1">F43</f>
        <v>0</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受贵公司委托，我公司对丹阳出让国有建设用地使用权抵押价格进行了预评估。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2018年11月12日（评估专业人员勘察现场之日）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本次估价对象为出让国有建设用地使用权，证载土地终止日期为住宅2083年5月30日、商业2053年5月30日。截至估价期日，出让国有建设用地使用权剩余土地使用年限为。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40" t="s">
        <v>2538</v>
      </c>
      <c r="C1" s="3440"/>
      <c r="D1" s="3440"/>
      <c r="E1" s="3440"/>
      <c r="F1" s="3440"/>
      <c r="G1" s="3439" t="s">
        <v>2539</v>
      </c>
      <c r="H1" s="3439"/>
      <c r="I1" s="3439"/>
      <c r="J1" s="3439"/>
      <c r="K1" s="3439"/>
      <c r="L1" s="3439"/>
      <c r="N1" s="3439" t="s">
        <v>2540</v>
      </c>
      <c r="O1" s="3439"/>
      <c r="P1" s="3439"/>
      <c r="Q1" s="3439"/>
      <c r="R1" s="2653"/>
      <c r="S1" s="3439" t="s">
        <v>2541</v>
      </c>
      <c r="T1" s="3439"/>
      <c r="U1" s="3439"/>
      <c r="V1" s="3439"/>
      <c r="X1" s="3438" t="s">
        <v>2601</v>
      </c>
      <c r="Y1" s="3439"/>
      <c r="Z1" s="3439"/>
      <c r="AA1" s="3439"/>
      <c r="AB1" s="3439"/>
      <c r="AD1" s="3438" t="s">
        <v>2605</v>
      </c>
      <c r="AE1" s="3439"/>
      <c r="AF1" s="3439"/>
      <c r="AG1" s="3439"/>
      <c r="AH1" s="3439"/>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7">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2"/>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2"/>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3"/>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41">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2"/>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2"/>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3"/>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41">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2"/>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2"/>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3"/>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44">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5"/>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5"/>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6"/>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41">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2"/>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2"/>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43"/>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41">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2">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2">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3">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41">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2">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2">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3">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41">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2">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2">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3">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41">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2">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2">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3">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41">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2">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2">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3">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41">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2">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2">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3">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41">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2">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2">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3">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41">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2">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2">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3">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41">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2">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2">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43">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41">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2">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2">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43">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2987</v>
      </c>
      <c r="E1" s="2386" t="s">
        <v>2336</v>
      </c>
      <c r="F1" s="2387">
        <f ca="1">J53</f>
        <v>32.56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55953</v>
      </c>
      <c r="C2" s="2056"/>
      <c r="D2" s="2054"/>
      <c r="E2" s="2055"/>
      <c r="F2" s="2055"/>
      <c r="G2" s="1588"/>
      <c r="H2" s="2056"/>
      <c r="I2" s="2056"/>
      <c r="J2" s="2056"/>
      <c r="K2" s="2057"/>
      <c r="L2" s="2056"/>
      <c r="M2" s="2056"/>
    </row>
    <row r="3" spans="1:33" ht="18" customHeight="1" thickBot="1">
      <c r="A3" s="832" t="s">
        <v>1689</v>
      </c>
      <c r="B3" s="833">
        <f ca="1">IF(ISERROR(B2*10000/F43),0,ROUND(B2*10000/F43,0))</f>
        <v>10479</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3512</v>
      </c>
      <c r="D5" s="2495" t="s">
        <v>2423</v>
      </c>
      <c r="E5" s="2489"/>
      <c r="F5" s="2490"/>
      <c r="G5" s="1590"/>
      <c r="H5" s="780">
        <v>1</v>
      </c>
      <c r="I5" s="781" t="s">
        <v>2420</v>
      </c>
      <c r="J5" s="54">
        <f ca="1">J6+J10+J12</f>
        <v>0</v>
      </c>
      <c r="K5" s="2495" t="s">
        <v>2423</v>
      </c>
      <c r="L5" s="2489"/>
      <c r="M5" s="2490"/>
    </row>
    <row r="6" spans="1:33" ht="18" customHeight="1">
      <c r="A6" s="1829" t="s">
        <v>1786</v>
      </c>
      <c r="B6" s="3432" t="s">
        <v>2425</v>
      </c>
      <c r="C6" s="782">
        <f ca="1">ROUND(F6*F8*F7*(1-F9)/10000,0)</f>
        <v>3508</v>
      </c>
      <c r="D6" s="2496" t="s">
        <v>2424</v>
      </c>
      <c r="E6" s="783" t="s">
        <v>1700</v>
      </c>
      <c r="F6" s="784">
        <f ca="1">INDIRECT("'数据-取费表'!u"&amp;$G$1)</f>
        <v>2</v>
      </c>
      <c r="G6" s="1590"/>
      <c r="H6" s="2503" t="s">
        <v>2430</v>
      </c>
      <c r="I6" s="3432" t="s">
        <v>2425</v>
      </c>
      <c r="J6" s="782">
        <f ca="1">ROUND(M6*M8*M7*(1-M9)/10000,0)</f>
        <v>0</v>
      </c>
      <c r="K6" s="340" t="s">
        <v>1699</v>
      </c>
      <c r="L6" s="783" t="s">
        <v>1700</v>
      </c>
      <c r="M6" s="784">
        <f ca="1">INDIRECT("'数据-取费表'!z"&amp;$G$1)</f>
        <v>0</v>
      </c>
    </row>
    <row r="7" spans="1:33" ht="18" customHeight="1">
      <c r="A7" s="2499"/>
      <c r="B7" s="3433"/>
      <c r="C7" s="787"/>
      <c r="D7" s="788"/>
      <c r="E7" s="783" t="s">
        <v>1701</v>
      </c>
      <c r="F7" s="784">
        <f ca="1">IF(INDIRECT("'数据-取费表'!ah"&amp;$G$1)="",INDIRECT("'数据-取费表'!k"&amp;$G$1),INDIRECT("'数据-取费表'!ah"&amp;$G$1))</f>
        <v>53393.62000000001</v>
      </c>
      <c r="G7" s="1590"/>
      <c r="H7" s="2488"/>
      <c r="I7" s="3433"/>
      <c r="J7" s="787"/>
      <c r="K7" s="788"/>
      <c r="L7" s="783" t="s">
        <v>1701</v>
      </c>
      <c r="M7" s="784">
        <f ca="1">F7</f>
        <v>53393.62000000001</v>
      </c>
    </row>
    <row r="8" spans="1:33" ht="18" customHeight="1">
      <c r="A8" s="2492"/>
      <c r="B8" s="3434"/>
      <c r="C8" s="787"/>
      <c r="D8" s="788"/>
      <c r="E8" s="783" t="s">
        <v>1702</v>
      </c>
      <c r="F8" s="784">
        <f ca="1">INDIRECT("'数据-取费表'!ai"&amp;$G$1)</f>
        <v>365</v>
      </c>
      <c r="G8" s="1590"/>
      <c r="H8" s="2488"/>
      <c r="I8" s="3434"/>
      <c r="J8" s="787"/>
      <c r="K8" s="788"/>
      <c r="L8" s="783" t="s">
        <v>1702</v>
      </c>
      <c r="M8" s="784">
        <f ca="1">INDIRECT("'数据-取费表'!ai"&amp;$G$1)</f>
        <v>365</v>
      </c>
    </row>
    <row r="9" spans="1:33" ht="18" customHeight="1">
      <c r="A9" s="785"/>
      <c r="B9" s="3435"/>
      <c r="C9" s="787"/>
      <c r="D9" s="788"/>
      <c r="E9" s="783" t="s">
        <v>1703</v>
      </c>
      <c r="F9" s="793">
        <f ca="1">INDIRECT("'数据-取费表'!w"&amp;$G$1)</f>
        <v>0.1</v>
      </c>
      <c r="G9" s="1590"/>
      <c r="H9" s="2504"/>
      <c r="I9" s="3434"/>
      <c r="J9" s="787"/>
      <c r="K9" s="788"/>
      <c r="L9" s="794" t="s">
        <v>1703</v>
      </c>
      <c r="M9" s="795">
        <f ca="1">INDIRECT("'数据-取费表'!ab"&amp;$G$1)</f>
        <v>0</v>
      </c>
    </row>
    <row r="10" spans="1:33" ht="18" customHeight="1">
      <c r="A10" s="1829" t="s">
        <v>2428</v>
      </c>
      <c r="B10" s="2493" t="s">
        <v>2421</v>
      </c>
      <c r="C10" s="798">
        <f ca="1">ROUND(IF(F10="押一",C6/12*F11,IF(F10="押二",C6/12*2*F11,IF(F10="押三",C6/12*3*F11,C11*F11))),0)</f>
        <v>4</v>
      </c>
      <c r="D10" s="2500" t="s">
        <v>2934</v>
      </c>
      <c r="E10" s="2497" t="s">
        <v>2426</v>
      </c>
      <c r="F10" s="2620" t="s">
        <v>2989</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18798</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11747</v>
      </c>
      <c r="D14" s="1978" t="s">
        <v>1707</v>
      </c>
      <c r="E14" s="1979"/>
      <c r="F14" s="804"/>
      <c r="G14" s="1590"/>
      <c r="H14" s="1647" t="s">
        <v>1792</v>
      </c>
      <c r="I14" s="2230" t="s">
        <v>2788</v>
      </c>
      <c r="J14" s="52">
        <f ca="1">C29</f>
        <v>18798</v>
      </c>
      <c r="K14" s="25"/>
      <c r="L14" s="800"/>
      <c r="M14" s="801"/>
    </row>
    <row r="15" spans="1:33" s="2063" customFormat="1" ht="18" customHeight="1" thickBot="1">
      <c r="A15" s="1646" t="s">
        <v>1847</v>
      </c>
      <c r="B15" s="783" t="s">
        <v>612</v>
      </c>
      <c r="C15" s="52">
        <f ca="1">ROUND(C14*F15,0)</f>
        <v>352</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1961</v>
      </c>
      <c r="K16" s="1820" t="s">
        <v>1712</v>
      </c>
      <c r="L16" s="2485"/>
      <c r="M16" s="2490"/>
    </row>
    <row r="17" spans="1:33" s="2063" customFormat="1" ht="18" customHeight="1">
      <c r="A17" s="1646" t="s">
        <v>1849</v>
      </c>
      <c r="B17" s="783" t="s">
        <v>618</v>
      </c>
      <c r="C17" s="52">
        <f ca="1">ROUND(F17*(F43+INDIRECT("'数据-取费表'!S"&amp;$G$1))/10000,0)</f>
        <v>801</v>
      </c>
      <c r="D17" s="783" t="s">
        <v>1713</v>
      </c>
      <c r="E17" s="783" t="s">
        <v>1714</v>
      </c>
      <c r="F17" s="55">
        <f>'数据-取费表'!B35</f>
        <v>150</v>
      </c>
      <c r="G17" s="1591"/>
      <c r="H17" s="1647" t="s">
        <v>1792</v>
      </c>
      <c r="I17" s="783" t="s">
        <v>621</v>
      </c>
      <c r="J17" s="52">
        <f ca="1">ROUND(IF(项目基本情况!B11="自然人",J5*M17,J18+J19+J20),0)</f>
        <v>1585</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176</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13076</v>
      </c>
      <c r="D19" s="260" t="s">
        <v>1719</v>
      </c>
      <c r="E19" s="1981"/>
      <c r="F19" s="55"/>
      <c r="G19" s="1590"/>
      <c r="H19" s="1646" t="s">
        <v>1847</v>
      </c>
      <c r="I19" s="783" t="s">
        <v>1720</v>
      </c>
      <c r="J19" s="52">
        <f ca="1">IF(K19="按租金收入计税",ROUND(J5*M19,1),ROUND(C29*F33*0.7,1))</f>
        <v>1579</v>
      </c>
      <c r="K19" s="810" t="s">
        <v>630</v>
      </c>
      <c r="L19" s="783" t="s">
        <v>1709</v>
      </c>
      <c r="M19" s="808">
        <f>IF(K19="按租金收入计税",'数据-取费表'!B51,'数据-取费表'!B50)</f>
        <v>1.2E-2</v>
      </c>
    </row>
    <row r="20" spans="1:33" s="2063" customFormat="1" ht="18" customHeight="1">
      <c r="A20" s="1647" t="s">
        <v>1851</v>
      </c>
      <c r="B20" s="783" t="s">
        <v>631</v>
      </c>
      <c r="C20" s="52">
        <f ca="1">ROUND(C19*F20,0)</f>
        <v>262</v>
      </c>
      <c r="D20" s="811" t="s">
        <v>1721</v>
      </c>
      <c r="E20" s="783" t="s">
        <v>1709</v>
      </c>
      <c r="F20" s="808">
        <f>'数据-取费表'!B37</f>
        <v>0.02</v>
      </c>
      <c r="G20" s="1591"/>
      <c r="H20" s="1649" t="s">
        <v>1842</v>
      </c>
      <c r="I20" s="340" t="s">
        <v>1722</v>
      </c>
      <c r="J20" s="53">
        <f ca="1">ROUND(M20*M21/10000,0)</f>
        <v>6</v>
      </c>
      <c r="K20" s="813" t="s">
        <v>1723</v>
      </c>
      <c r="L20" s="783" t="s">
        <v>1724</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15255.32</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376</v>
      </c>
      <c r="K22" s="2483" t="s">
        <v>1731</v>
      </c>
      <c r="L22" s="783" t="s">
        <v>1709</v>
      </c>
      <c r="M22" s="816">
        <f ca="1">INDIRECT("'数据-取费表'!Ak"&amp;$G$1)</f>
        <v>0.02</v>
      </c>
    </row>
    <row r="23" spans="1:33" s="2063" customFormat="1" ht="18" customHeight="1">
      <c r="A23" s="1646" t="s">
        <v>1793</v>
      </c>
      <c r="B23" s="783" t="s">
        <v>2497</v>
      </c>
      <c r="C23" s="52">
        <f ca="1">ROUND(IF('数据-取费表'!B22&lt;=1,(C19+C20)*F24*F23/2,(C19+C20)*(POWER((1+F24),F23/2)-1)),0)</f>
        <v>634</v>
      </c>
      <c r="D23" s="2570" t="str">
        <f>IF(F23&lt;=1,"(建造成本+管理费用)×利率×(建设周期÷2)","(建造成本+管理费用)×((1+利率)^(建设周期÷2)-1)")</f>
        <v>(建造成本+管理费用)×((1+利率)^(建设周期÷2)-1)</v>
      </c>
      <c r="E23" s="783" t="s">
        <v>1732</v>
      </c>
      <c r="F23" s="639">
        <f>'数据-取费表'!B20</f>
        <v>2</v>
      </c>
      <c r="G23" s="1591"/>
      <c r="H23" s="1647" t="s">
        <v>1852</v>
      </c>
      <c r="I23" s="783" t="s">
        <v>644</v>
      </c>
      <c r="J23" s="52">
        <f ca="1">ROUND(J13*M23,0)</f>
        <v>0</v>
      </c>
      <c r="K23" s="2483" t="s">
        <v>1733</v>
      </c>
      <c r="L23" s="783" t="s">
        <v>1709</v>
      </c>
      <c r="M23" s="817">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1E-3</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-1961</v>
      </c>
      <c r="K25" s="2547" t="s">
        <v>1739</v>
      </c>
      <c r="L25" s="2548"/>
      <c r="M25" s="2549"/>
    </row>
    <row r="26" spans="1:33" ht="18" customHeight="1">
      <c r="A26" s="1646" t="s">
        <v>1793</v>
      </c>
      <c r="B26" s="783" t="s">
        <v>2400</v>
      </c>
      <c r="C26" s="52">
        <f ca="1">ROUND((C19+C20)*F26,0)</f>
        <v>3335</v>
      </c>
      <c r="D26" s="811" t="s">
        <v>1740</v>
      </c>
      <c r="E26" s="794" t="s">
        <v>1741</v>
      </c>
      <c r="F26" s="793">
        <f ca="1">INDIRECT("'数据-取费表'!q"&amp;$G$1)</f>
        <v>0.25</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5.0000000000000001E-3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18798</v>
      </c>
      <c r="D29" s="2544"/>
      <c r="E29" s="2545"/>
      <c r="F29" s="2546"/>
      <c r="G29" s="1591"/>
      <c r="H29" s="822" t="s">
        <v>1749</v>
      </c>
      <c r="I29" s="823" t="s">
        <v>1750</v>
      </c>
      <c r="J29" s="824">
        <f ca="1">ROUND(J26/(1+F40)^F41,0)</f>
        <v>0</v>
      </c>
      <c r="K29" s="825" t="s">
        <v>1751</v>
      </c>
      <c r="L29" s="826"/>
      <c r="M29" s="827">
        <f ca="1">INDIRECT("'数据-取费表'!k"&amp;$G$1)</f>
        <v>53393.62000000001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1099</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614.79999999999995</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187.3</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421.4</v>
      </c>
      <c r="D33" s="810" t="s">
        <v>2990</v>
      </c>
      <c r="E33" s="783" t="s">
        <v>1758</v>
      </c>
      <c r="F33" s="808">
        <f>IF(D33="按租金收入计税",'数据-取费表'!B51,'数据-取费表'!B50)</f>
        <v>0.12</v>
      </c>
      <c r="G33" s="2061"/>
      <c r="H33" s="2076"/>
      <c r="I33" s="2076"/>
      <c r="J33" s="2076"/>
      <c r="K33" s="2077"/>
      <c r="L33" s="2076"/>
      <c r="M33" s="2076"/>
    </row>
    <row r="34" spans="1:18" ht="18" customHeight="1">
      <c r="A34" s="1649" t="s">
        <v>1795</v>
      </c>
      <c r="B34" s="340" t="s">
        <v>1760</v>
      </c>
      <c r="C34" s="53">
        <f ca="1">ROUND(F34*F35/10000,1)</f>
        <v>6.1</v>
      </c>
      <c r="D34" s="813" t="s">
        <v>1761</v>
      </c>
      <c r="E34" s="783" t="s">
        <v>1762</v>
      </c>
      <c r="F34" s="639">
        <f>'数据-取费表'!B52</f>
        <v>4</v>
      </c>
      <c r="G34" s="2061"/>
      <c r="H34" s="2064"/>
      <c r="I34" s="834" t="s">
        <v>1775</v>
      </c>
      <c r="J34" s="835"/>
      <c r="K34" s="2079"/>
      <c r="L34" s="2078"/>
      <c r="M34" s="2078"/>
    </row>
    <row r="35" spans="1:18" ht="18" customHeight="1">
      <c r="A35" s="814"/>
      <c r="B35" s="792"/>
      <c r="C35" s="68"/>
      <c r="D35" s="815"/>
      <c r="E35" s="783" t="s">
        <v>1763</v>
      </c>
      <c r="F35" s="784">
        <f ca="1">INDIRECT("'数据-取费表'!r"&amp;$G$1)</f>
        <v>15255.32</v>
      </c>
      <c r="G35" s="2061"/>
      <c r="H35" s="2064"/>
      <c r="I35" s="836" t="s">
        <v>1776</v>
      </c>
      <c r="J35" s="837">
        <f ca="1">ROUND(C13*J36,0)</f>
        <v>1598</v>
      </c>
      <c r="K35" s="2077"/>
      <c r="L35" s="2076"/>
      <c r="M35" s="2076"/>
    </row>
    <row r="36" spans="1:18" ht="18" customHeight="1">
      <c r="A36" s="1647" t="s">
        <v>1851</v>
      </c>
      <c r="B36" s="783" t="s">
        <v>1764</v>
      </c>
      <c r="C36" s="52">
        <f ca="1">ROUND(C29*F36,1)</f>
        <v>376</v>
      </c>
      <c r="D36" s="1976" t="s">
        <v>1765</v>
      </c>
      <c r="E36" s="783" t="s">
        <v>1758</v>
      </c>
      <c r="F36" s="816">
        <f ca="1">INDIRECT("'数据-取费表'!Ak"&amp;$G$1)</f>
        <v>0.02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37.6</v>
      </c>
      <c r="D37" s="1976" t="s">
        <v>1766</v>
      </c>
      <c r="E37" s="783" t="s">
        <v>1758</v>
      </c>
      <c r="F37" s="817">
        <f ca="1">INDIRECT("'数据-取费表'!Al"&amp;$G$1)</f>
        <v>2E-3</v>
      </c>
      <c r="G37" s="2061"/>
      <c r="H37" s="2076"/>
      <c r="I37" s="840" t="s">
        <v>1778</v>
      </c>
      <c r="J37" s="841"/>
      <c r="K37" s="2081"/>
      <c r="L37" s="2076"/>
      <c r="M37" s="2076"/>
    </row>
    <row r="38" spans="1:18" ht="18" customHeight="1" thickBot="1">
      <c r="A38" s="2550" t="s">
        <v>1853</v>
      </c>
      <c r="B38" s="2545" t="s">
        <v>631</v>
      </c>
      <c r="C38" s="2543">
        <f ca="1">ROUND(C5*F38,1)</f>
        <v>70.2</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2413</v>
      </c>
      <c r="D39" s="2547" t="s">
        <v>1768</v>
      </c>
      <c r="E39" s="2548"/>
      <c r="F39" s="2549"/>
      <c r="G39" s="2061"/>
      <c r="H39" s="2076"/>
      <c r="I39" s="836" t="s">
        <v>1780</v>
      </c>
      <c r="J39" s="844">
        <f ca="1">ROUND(J35/C39,3)</f>
        <v>0.66200000000000003</v>
      </c>
      <c r="K39" s="2082"/>
      <c r="L39" s="2076"/>
      <c r="M39" s="2076"/>
    </row>
    <row r="40" spans="1:18" ht="18" customHeight="1">
      <c r="A40" s="780" t="s">
        <v>1857</v>
      </c>
      <c r="B40" s="2231" t="s">
        <v>2263</v>
      </c>
      <c r="C40" s="782">
        <f ca="1">ROUND(C39*(1-((1+F42)/(1+F40))^F41)/(F40-F42),0)</f>
        <v>55953</v>
      </c>
      <c r="D40" s="813" t="s">
        <v>1769</v>
      </c>
      <c r="E40" s="783" t="s">
        <v>2381</v>
      </c>
      <c r="F40" s="793">
        <f ca="1">INDIRECT("'数据-取费表'!I"&amp;$G$1)</f>
        <v>5.5E-2</v>
      </c>
      <c r="G40" s="2061"/>
      <c r="H40" s="2061"/>
      <c r="I40" s="836" t="s">
        <v>1781</v>
      </c>
      <c r="J40" s="844">
        <f ca="1">1-J39</f>
        <v>0.33799999999999997</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32.56</v>
      </c>
      <c r="G41" s="2061"/>
      <c r="H41" s="1987"/>
      <c r="I41" s="842" t="s">
        <v>1782</v>
      </c>
      <c r="J41" s="845"/>
      <c r="K41" s="2081"/>
      <c r="L41" s="1987"/>
      <c r="M41" s="1987"/>
    </row>
    <row r="42" spans="1:18" ht="18" customHeight="1">
      <c r="A42" s="789"/>
      <c r="B42" s="790"/>
      <c r="C42" s="791"/>
      <c r="D42" s="815"/>
      <c r="E42" s="783" t="s">
        <v>1771</v>
      </c>
      <c r="F42" s="793">
        <f ca="1">INDIRECT("'数据-取费表'!v"&amp;$G$1)</f>
        <v>3.5000000000000003E-2</v>
      </c>
      <c r="G42" s="2061"/>
      <c r="H42" s="1987"/>
      <c r="I42" s="846" t="s">
        <v>1783</v>
      </c>
      <c r="J42" s="844">
        <f ca="1">ROUND(C13/C40,3)</f>
        <v>0.33600000000000002</v>
      </c>
      <c r="K42" s="2081"/>
      <c r="L42" s="1987"/>
      <c r="M42" s="1987"/>
    </row>
    <row r="43" spans="1:18" ht="18" customHeight="1" thickBot="1">
      <c r="A43" s="822" t="s">
        <v>1749</v>
      </c>
      <c r="B43" s="823" t="s">
        <v>1772</v>
      </c>
      <c r="C43" s="824">
        <f ca="1">ROUND(C40*10000/F43,0)</f>
        <v>10479</v>
      </c>
      <c r="D43" s="825" t="s">
        <v>1773</v>
      </c>
      <c r="E43" s="826" t="s">
        <v>1774</v>
      </c>
      <c r="F43" s="827">
        <f ca="1">INDIRECT("'数据-取费表'!k"&amp;$G$1)</f>
        <v>53393.62000000001</v>
      </c>
      <c r="G43" s="2061"/>
      <c r="H43" s="1987"/>
      <c r="I43" s="846" t="s">
        <v>1784</v>
      </c>
      <c r="J43" s="847">
        <f ca="1">1-J42</f>
        <v>0.66399999999999992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-62253</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2986</v>
      </c>
      <c r="K47" s="3157" t="s">
        <v>2311</v>
      </c>
      <c r="L47" s="3161">
        <f ca="1">INDIRECT("'数据-取费表'!d"&amp;$G$1)</f>
        <v>40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34.56</v>
      </c>
      <c r="O48" s="2397" t="s">
        <v>2341</v>
      </c>
      <c r="P48" s="2398" t="s">
        <v>2367</v>
      </c>
      <c r="Q48" s="2399">
        <f ca="1">C40+J29</f>
        <v>55953</v>
      </c>
      <c r="R48" s="2398" t="s">
        <v>2342</v>
      </c>
    </row>
    <row r="49" spans="1:18" s="2058" customFormat="1" ht="18" customHeight="1" thickBot="1">
      <c r="A49" s="785"/>
      <c r="B49" s="786"/>
      <c r="C49" s="787"/>
      <c r="D49" s="788"/>
      <c r="E49" s="783" t="s">
        <v>1701</v>
      </c>
      <c r="F49" s="784">
        <f ca="1">F7</f>
        <v>53393.62000000001</v>
      </c>
      <c r="G49" s="2089"/>
      <c r="H49" s="2092"/>
      <c r="I49" s="3126" t="s">
        <v>2308</v>
      </c>
      <c r="J49" s="2382">
        <v>2018</v>
      </c>
      <c r="K49" s="3159" t="s">
        <v>2314</v>
      </c>
      <c r="L49" s="2383"/>
      <c r="O49" s="2397" t="s">
        <v>2343</v>
      </c>
      <c r="P49" s="2398" t="s">
        <v>2368</v>
      </c>
      <c r="Q49" s="2399">
        <f ca="1">J60</f>
        <v>7970</v>
      </c>
      <c r="R49" s="2398" t="s">
        <v>2344</v>
      </c>
    </row>
    <row r="50" spans="1:18" s="2058" customFormat="1" ht="18" customHeight="1" thickBot="1">
      <c r="A50" s="785"/>
      <c r="B50" s="786"/>
      <c r="C50" s="787"/>
      <c r="D50" s="788"/>
      <c r="E50" s="783" t="s">
        <v>1702</v>
      </c>
      <c r="F50" s="784">
        <f ca="1">F8</f>
        <v>365</v>
      </c>
      <c r="G50" s="2094"/>
      <c r="H50" s="2092"/>
      <c r="I50" s="3126" t="s">
        <v>2309</v>
      </c>
      <c r="J50" s="3154">
        <f>SUMPRODUCT((I63:I65=J47)*(J62:L62=J48)*(J63:L65))</f>
        <v>60</v>
      </c>
      <c r="K50" s="3159" t="s">
        <v>2315</v>
      </c>
      <c r="L50" s="2383"/>
      <c r="O50" s="2400" t="s">
        <v>2345</v>
      </c>
      <c r="P50" s="2398" t="s">
        <v>2369</v>
      </c>
      <c r="Q50" s="2399">
        <f ca="1">C29</f>
        <v>18798</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13284</v>
      </c>
      <c r="O51" s="2400" t="s">
        <v>2346</v>
      </c>
      <c r="P51" s="2398" t="s">
        <v>2347</v>
      </c>
      <c r="Q51" s="2401">
        <f ca="1">J58</f>
        <v>0.42399999999999999</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32.56</v>
      </c>
      <c r="K53" s="3448" t="s">
        <v>2926</v>
      </c>
      <c r="L53" s="3449"/>
      <c r="O53" s="2400" t="s">
        <v>2350</v>
      </c>
      <c r="P53" s="2398" t="s">
        <v>2351</v>
      </c>
      <c r="Q53" s="2399">
        <f ca="1">J53</f>
        <v>32.56</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63923</v>
      </c>
      <c r="R54" s="2402" t="s">
        <v>2354</v>
      </c>
    </row>
    <row r="55" spans="1:18" s="2058" customFormat="1" ht="18" customHeight="1" thickTop="1" thickBot="1">
      <c r="A55" s="796">
        <v>2</v>
      </c>
      <c r="B55" s="797" t="s">
        <v>609</v>
      </c>
      <c r="C55" s="798">
        <f ca="1">C13</f>
        <v>18798</v>
      </c>
      <c r="D55" s="794"/>
      <c r="E55" s="794"/>
      <c r="F55" s="799"/>
      <c r="I55" s="3165" t="s">
        <v>2317</v>
      </c>
      <c r="J55" s="3101">
        <f ca="1">ROUND(IF(J47="钢混",J57/J50,1-(1-2%)*(J50-J57)/J50),3)</f>
        <v>0.42399999999999999</v>
      </c>
      <c r="K55" s="3166" t="s">
        <v>2318</v>
      </c>
      <c r="L55" s="2385"/>
      <c r="O55" s="2403" t="s">
        <v>2373</v>
      </c>
      <c r="P55" s="1590"/>
      <c r="Q55" s="1602"/>
      <c r="R55" s="1590"/>
    </row>
    <row r="56" spans="1:18" s="2058" customFormat="1" ht="42.75" customHeight="1" thickBot="1">
      <c r="A56" s="1648"/>
      <c r="B56" s="2230" t="s">
        <v>2264</v>
      </c>
      <c r="C56" s="52">
        <f ca="1">C29</f>
        <v>18798</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420</v>
      </c>
      <c r="D57" s="25" t="s">
        <v>1712</v>
      </c>
      <c r="E57" s="2639"/>
      <c r="F57" s="55"/>
      <c r="I57" s="3168" t="s">
        <v>2320</v>
      </c>
      <c r="J57" s="3169">
        <f ca="1">IF(OR(M47="住宅",J51&lt;L48,J56="是"),"——",J51-L48)</f>
        <v>25.439999999999998</v>
      </c>
      <c r="K57" s="3126" t="s">
        <v>2325</v>
      </c>
      <c r="L57" s="1907" t="str">
        <f ca="1">IF(L48&lt;J51,"——",IF(L55="比较法",L49,IF(L55="基准地价",L50,L51)))</f>
        <v>——</v>
      </c>
      <c r="O57" s="2397" t="s">
        <v>2341</v>
      </c>
      <c r="P57" s="2398" t="s">
        <v>2371</v>
      </c>
      <c r="Q57" s="2399">
        <f ca="1">C40+J29</f>
        <v>55953</v>
      </c>
      <c r="R57" s="2398" t="s">
        <v>2342</v>
      </c>
    </row>
    <row r="58" spans="1:18" s="2058" customFormat="1" ht="28.5" customHeight="1" thickBot="1">
      <c r="A58" s="1647" t="s">
        <v>1786</v>
      </c>
      <c r="B58" s="783" t="s">
        <v>621</v>
      </c>
      <c r="C58" s="52">
        <f ca="1">ROUND(IF(项目基本情况!B11="自然人",C47*F58,C59+C60+C61),1)</f>
        <v>6.1</v>
      </c>
      <c r="D58" s="2637" t="s">
        <v>622</v>
      </c>
      <c r="E58" s="2638" t="s">
        <v>655</v>
      </c>
      <c r="F58" s="809" t="str">
        <f ca="1">IF(项目基本情况!B11="企业","",IF(INDIRECT("'数据-取费表'!c"&amp;$G$1)="住宅",5%,IF(F48*F49*F50/12/(1+'数据-取费表'!C42)&gt;20000,12%,7%)))</f>
        <v/>
      </c>
      <c r="I58" s="3168" t="s">
        <v>2321</v>
      </c>
      <c r="J58" s="3102">
        <f ca="1">IF(J55&lt;0.4,0.4,J55)</f>
        <v>0.42399999999999999</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7970</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0</v>
      </c>
      <c r="D60" s="2638" t="str">
        <f>D33</f>
        <v>按租金收入计税</v>
      </c>
      <c r="E60" s="783" t="s">
        <v>1709</v>
      </c>
      <c r="F60" s="808">
        <f t="shared" si="0"/>
        <v>0.12</v>
      </c>
      <c r="I60" s="3170" t="s">
        <v>2323</v>
      </c>
      <c r="J60" s="3171">
        <f ca="1">IF(OR(M47="住宅",J51&lt;L48,J56="是"),"0",ROUND(J59/(1+J52)^J53,0))</f>
        <v>7970</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6.1</v>
      </c>
      <c r="D61" s="813" t="s">
        <v>634</v>
      </c>
      <c r="E61" s="783" t="s">
        <v>635</v>
      </c>
      <c r="F61" s="639">
        <f t="shared" si="0"/>
        <v>4</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15255.32</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376</v>
      </c>
      <c r="D63" s="2638" t="s">
        <v>1765</v>
      </c>
      <c r="E63" s="783" t="s">
        <v>1709</v>
      </c>
      <c r="F63" s="816">
        <f t="shared" ca="1" si="0"/>
        <v>0.02</v>
      </c>
      <c r="I63" s="3173" t="s">
        <v>2332</v>
      </c>
      <c r="J63" s="3174">
        <v>70</v>
      </c>
      <c r="K63" s="3174">
        <v>50</v>
      </c>
      <c r="L63" s="3174">
        <v>80</v>
      </c>
      <c r="M63" s="3176">
        <v>0.02</v>
      </c>
      <c r="O63" s="2397" t="s">
        <v>2353</v>
      </c>
      <c r="P63" s="2398" t="s">
        <v>2370</v>
      </c>
      <c r="Q63" s="2399">
        <f ca="1">Q57+Q58</f>
        <v>55953</v>
      </c>
      <c r="R63" s="2402" t="s">
        <v>2354</v>
      </c>
    </row>
    <row r="64" spans="1:18" s="2058" customFormat="1" ht="16.2" thickBot="1">
      <c r="A64" s="1647" t="s">
        <v>1852</v>
      </c>
      <c r="B64" s="783" t="s">
        <v>644</v>
      </c>
      <c r="C64" s="52">
        <f ca="1">ROUND(C55*F64,1)</f>
        <v>37.6</v>
      </c>
      <c r="D64" s="2638" t="s">
        <v>645</v>
      </c>
      <c r="E64" s="783" t="s">
        <v>1709</v>
      </c>
      <c r="F64" s="817">
        <f t="shared" ca="1" si="0"/>
        <v>2E-3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-420</v>
      </c>
      <c r="D66" s="2637" t="s">
        <v>665</v>
      </c>
      <c r="E66" s="2636"/>
      <c r="F66" s="819"/>
      <c r="K66" s="2085"/>
      <c r="O66" s="2397" t="s">
        <v>2341</v>
      </c>
      <c r="P66" s="2398" t="s">
        <v>2371</v>
      </c>
      <c r="Q66" s="2399">
        <f ca="1">C40+J29</f>
        <v>55953</v>
      </c>
      <c r="R66" s="2398" t="s">
        <v>2342</v>
      </c>
    </row>
    <row r="67" spans="1:18" s="2058" customFormat="1" ht="19.2" thickBot="1">
      <c r="A67" s="780" t="s">
        <v>1742</v>
      </c>
      <c r="B67" s="2231" t="s">
        <v>2263</v>
      </c>
      <c r="C67" s="782">
        <f ca="1">ROUND(C66*(1-((1+F69)/(1+F67))^F68)/(F67-F69),0)</f>
        <v>-6300</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32.56</v>
      </c>
      <c r="O68" s="2400" t="s">
        <v>2345</v>
      </c>
      <c r="P68" s="2398" t="s">
        <v>2375</v>
      </c>
      <c r="Q68" s="2404">
        <f ca="1">L51</f>
        <v>13284</v>
      </c>
      <c r="R68" s="2405" t="s">
        <v>2378</v>
      </c>
    </row>
    <row r="69" spans="1:18" ht="19.2" thickBot="1">
      <c r="A69" s="789"/>
      <c r="B69" s="790"/>
      <c r="C69" s="791"/>
      <c r="D69" s="815"/>
      <c r="E69" s="783" t="s">
        <v>675</v>
      </c>
      <c r="F69" s="2370"/>
      <c r="O69" s="2400" t="s">
        <v>2346</v>
      </c>
      <c r="P69" s="2406" t="s">
        <v>2360</v>
      </c>
      <c r="Q69" s="2399">
        <f ca="1">ROUND(Q70-Q71*Q72,0)</f>
        <v>815</v>
      </c>
      <c r="R69" s="2402"/>
    </row>
    <row r="70" spans="1:18" ht="16.2" thickBot="1">
      <c r="A70" s="822" t="s">
        <v>1749</v>
      </c>
      <c r="B70" s="823" t="s">
        <v>1772</v>
      </c>
      <c r="C70" s="824">
        <f ca="1">ROUND(C67*10000/F70,0)</f>
        <v>-1180</v>
      </c>
      <c r="D70" s="825" t="s">
        <v>1773</v>
      </c>
      <c r="E70" s="826" t="s">
        <v>1774</v>
      </c>
      <c r="F70" s="827">
        <f ca="1">F43</f>
        <v>53393.62000000001</v>
      </c>
      <c r="O70" s="2400" t="s">
        <v>2361</v>
      </c>
      <c r="P70" s="2406" t="s">
        <v>2362</v>
      </c>
      <c r="Q70" s="2399">
        <f ca="1">C39</f>
        <v>2413</v>
      </c>
      <c r="R70" s="2398" t="s">
        <v>2342</v>
      </c>
    </row>
    <row r="71" spans="1:18" ht="16.2" thickBot="1">
      <c r="O71" s="2400" t="s">
        <v>2363</v>
      </c>
      <c r="P71" s="2406" t="s">
        <v>2364</v>
      </c>
      <c r="Q71" s="2399">
        <f ca="1">C13</f>
        <v>18798</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55953</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66" t="s">
        <v>2433</v>
      </c>
      <c r="B1" s="3467"/>
      <c r="C1" s="3468"/>
      <c r="D1" s="3469">
        <f>SUM(I10,I15,I20,I21,I23)</f>
        <v>0</v>
      </c>
      <c r="E1" s="3469"/>
      <c r="F1" s="3469"/>
      <c r="G1" s="3469"/>
      <c r="H1" s="3469"/>
      <c r="I1" s="3470"/>
    </row>
    <row r="2" spans="1:9">
      <c r="A2" s="3456" t="s">
        <v>2434</v>
      </c>
      <c r="B2" s="3457" t="s">
        <v>2435</v>
      </c>
      <c r="C2" s="3457"/>
      <c r="D2" s="2506" t="s">
        <v>2436</v>
      </c>
      <c r="E2" s="2506" t="s">
        <v>2437</v>
      </c>
      <c r="F2" s="2506" t="s">
        <v>2438</v>
      </c>
      <c r="G2" s="2506" t="s">
        <v>2439</v>
      </c>
      <c r="H2" s="2506" t="s">
        <v>2440</v>
      </c>
      <c r="I2" s="2507" t="s">
        <v>2441</v>
      </c>
    </row>
    <row r="3" spans="1:9">
      <c r="A3" s="3456"/>
      <c r="B3" s="3457" t="s">
        <v>2442</v>
      </c>
      <c r="C3" s="3457"/>
      <c r="D3" s="2508"/>
      <c r="E3" s="2506"/>
      <c r="F3" s="2509"/>
      <c r="G3" s="2509"/>
      <c r="H3" s="2510"/>
      <c r="I3" s="2511">
        <f>ROUND(D3*E3*F3*G3*H3/10000,0)</f>
        <v>0</v>
      </c>
    </row>
    <row r="4" spans="1:9">
      <c r="A4" s="3456"/>
      <c r="B4" s="3457" t="s">
        <v>2443</v>
      </c>
      <c r="C4" s="3457"/>
      <c r="D4" s="2508"/>
      <c r="E4" s="2506"/>
      <c r="F4" s="2509"/>
      <c r="G4" s="2509"/>
      <c r="H4" s="2510"/>
      <c r="I4" s="2511">
        <f t="shared" ref="I4:I9" si="0">ROUND(D4*E4*F4*G4*H4/10000,0)</f>
        <v>0</v>
      </c>
    </row>
    <row r="5" spans="1:9">
      <c r="A5" s="3456"/>
      <c r="B5" s="3457" t="s">
        <v>2444</v>
      </c>
      <c r="C5" s="3457"/>
      <c r="D5" s="2508"/>
      <c r="E5" s="2506"/>
      <c r="F5" s="2509"/>
      <c r="G5" s="2509"/>
      <c r="H5" s="2510"/>
      <c r="I5" s="2511">
        <f t="shared" si="0"/>
        <v>0</v>
      </c>
    </row>
    <row r="6" spans="1:9">
      <c r="A6" s="3456"/>
      <c r="B6" s="3457" t="s">
        <v>2445</v>
      </c>
      <c r="C6" s="3457"/>
      <c r="D6" s="2508"/>
      <c r="E6" s="2506"/>
      <c r="F6" s="2509"/>
      <c r="G6" s="2509"/>
      <c r="H6" s="2510"/>
      <c r="I6" s="2511">
        <f t="shared" si="0"/>
        <v>0</v>
      </c>
    </row>
    <row r="7" spans="1:9">
      <c r="A7" s="3456"/>
      <c r="B7" s="3457" t="s">
        <v>2446</v>
      </c>
      <c r="C7" s="3457"/>
      <c r="D7" s="2508"/>
      <c r="E7" s="2506"/>
      <c r="F7" s="2509"/>
      <c r="G7" s="2509"/>
      <c r="H7" s="2510"/>
      <c r="I7" s="2511">
        <f t="shared" si="0"/>
        <v>0</v>
      </c>
    </row>
    <row r="8" spans="1:9">
      <c r="A8" s="3456"/>
      <c r="B8" s="3457" t="s">
        <v>2447</v>
      </c>
      <c r="C8" s="3457"/>
      <c r="D8" s="2508"/>
      <c r="E8" s="2506"/>
      <c r="F8" s="2509"/>
      <c r="G8" s="2509"/>
      <c r="H8" s="2510"/>
      <c r="I8" s="2511">
        <f t="shared" si="0"/>
        <v>0</v>
      </c>
    </row>
    <row r="9" spans="1:9">
      <c r="A9" s="3456"/>
      <c r="B9" s="3457" t="s">
        <v>2448</v>
      </c>
      <c r="C9" s="3457"/>
      <c r="D9" s="2508"/>
      <c r="E9" s="2506"/>
      <c r="F9" s="2509"/>
      <c r="G9" s="2509"/>
      <c r="H9" s="2510"/>
      <c r="I9" s="2511">
        <f t="shared" si="0"/>
        <v>0</v>
      </c>
    </row>
    <row r="10" spans="1:9">
      <c r="A10" s="3456"/>
      <c r="B10" s="3458" t="s">
        <v>2449</v>
      </c>
      <c r="C10" s="3458"/>
      <c r="D10" s="2512">
        <v>527</v>
      </c>
      <c r="E10" s="2512" t="e">
        <f>ROUND(D1*10000/D10/H9,0)</f>
        <v>#DIV/0!</v>
      </c>
      <c r="F10" s="2513"/>
      <c r="G10" s="2513"/>
      <c r="H10" s="2514"/>
      <c r="I10" s="2515">
        <f>SUM(I3:I9)</f>
        <v>0</v>
      </c>
    </row>
    <row r="11" spans="1:9" ht="15.6">
      <c r="A11" s="3456" t="s">
        <v>2450</v>
      </c>
      <c r="B11" s="3457" t="s">
        <v>2451</v>
      </c>
      <c r="C11" s="3457"/>
      <c r="D11" s="2508" t="s">
        <v>2452</v>
      </c>
      <c r="E11" s="2508" t="s">
        <v>2453</v>
      </c>
      <c r="F11" s="2509" t="s">
        <v>2454</v>
      </c>
      <c r="G11" s="2509" t="s">
        <v>2455</v>
      </c>
      <c r="H11" s="2516" t="s">
        <v>2456</v>
      </c>
      <c r="I11" s="2507" t="s">
        <v>2457</v>
      </c>
    </row>
    <row r="12" spans="1:9">
      <c r="A12" s="3456"/>
      <c r="B12" s="3457" t="s">
        <v>2458</v>
      </c>
      <c r="C12" s="3457"/>
      <c r="D12" s="2508"/>
      <c r="E12" s="2508"/>
      <c r="F12" s="2509"/>
      <c r="G12" s="2510"/>
      <c r="H12" s="2517"/>
      <c r="I12" s="2507">
        <f>ROUND(D12*E12*F12*G12/10000,0)</f>
        <v>0</v>
      </c>
    </row>
    <row r="13" spans="1:9">
      <c r="A13" s="3456"/>
      <c r="B13" s="3457" t="s">
        <v>2459</v>
      </c>
      <c r="C13" s="3457"/>
      <c r="D13" s="2508"/>
      <c r="E13" s="2508"/>
      <c r="F13" s="2509"/>
      <c r="G13" s="2510"/>
      <c r="H13" s="2517"/>
      <c r="I13" s="2507">
        <f>ROUND(D13*E13*F13*G13/10000,0)</f>
        <v>0</v>
      </c>
    </row>
    <row r="14" spans="1:9">
      <c r="A14" s="3456"/>
      <c r="B14" s="3457" t="s">
        <v>2460</v>
      </c>
      <c r="C14" s="3457"/>
      <c r="D14" s="2508"/>
      <c r="E14" s="2508"/>
      <c r="F14" s="2509"/>
      <c r="G14" s="2510"/>
      <c r="H14" s="2517"/>
      <c r="I14" s="2507">
        <f>ROUND(D14*E14*F14*G14/10000,0)</f>
        <v>0</v>
      </c>
    </row>
    <row r="15" spans="1:9">
      <c r="A15" s="3456"/>
      <c r="B15" s="3458" t="s">
        <v>2449</v>
      </c>
      <c r="C15" s="3458"/>
      <c r="D15" s="2512"/>
      <c r="E15" s="2512">
        <f>SUM(E12:E14)</f>
        <v>0</v>
      </c>
      <c r="F15" s="2513"/>
      <c r="G15" s="2510"/>
      <c r="H15" s="2517"/>
      <c r="I15" s="2518">
        <f>SUM(I12:I14)</f>
        <v>0</v>
      </c>
    </row>
    <row r="16" spans="1:9" ht="24">
      <c r="A16" s="3456" t="s">
        <v>2461</v>
      </c>
      <c r="B16" s="3457" t="s">
        <v>2462</v>
      </c>
      <c r="C16" s="3457"/>
      <c r="D16" s="2508" t="s">
        <v>2463</v>
      </c>
      <c r="E16" s="2519" t="s">
        <v>2464</v>
      </c>
      <c r="F16" s="2509" t="s">
        <v>2465</v>
      </c>
      <c r="G16" s="2510" t="s">
        <v>2455</v>
      </c>
      <c r="H16" s="2516" t="s">
        <v>2456</v>
      </c>
      <c r="I16" s="2507" t="s">
        <v>2457</v>
      </c>
    </row>
    <row r="17" spans="1:9" ht="15.6">
      <c r="A17" s="3456"/>
      <c r="B17" s="3457" t="s">
        <v>2466</v>
      </c>
      <c r="C17" s="3457"/>
      <c r="D17" s="2508"/>
      <c r="E17" s="2508"/>
      <c r="F17" s="2509"/>
      <c r="G17" s="2510"/>
      <c r="H17" s="2520"/>
      <c r="I17" s="2521">
        <f>ROUND(D17*E17*F17*G17/10000,0)</f>
        <v>0</v>
      </c>
    </row>
    <row r="18" spans="1:9" ht="15.6">
      <c r="A18" s="3456"/>
      <c r="B18" s="3457" t="s">
        <v>2467</v>
      </c>
      <c r="C18" s="3457"/>
      <c r="D18" s="2508"/>
      <c r="E18" s="2508"/>
      <c r="F18" s="2509"/>
      <c r="G18" s="2510"/>
      <c r="H18" s="2520"/>
      <c r="I18" s="2521">
        <f>ROUND(D18*E18*F18*G18/10000,0)</f>
        <v>0</v>
      </c>
    </row>
    <row r="19" spans="1:9" ht="15.6">
      <c r="A19" s="3456"/>
      <c r="B19" s="3457" t="s">
        <v>2468</v>
      </c>
      <c r="C19" s="3457"/>
      <c r="D19" s="2508"/>
      <c r="E19" s="2508"/>
      <c r="F19" s="2509"/>
      <c r="G19" s="2510"/>
      <c r="H19" s="2520"/>
      <c r="I19" s="2521">
        <f>ROUND(D19*E19*F19*G19/10000,0)</f>
        <v>0</v>
      </c>
    </row>
    <row r="20" spans="1:9">
      <c r="A20" s="3456"/>
      <c r="B20" s="3458" t="s">
        <v>2449</v>
      </c>
      <c r="C20" s="3458"/>
      <c r="D20" s="2512">
        <f>SUM(D17:D19)</f>
        <v>0</v>
      </c>
      <c r="E20" s="2512"/>
      <c r="F20" s="2513"/>
      <c r="G20" s="2510"/>
      <c r="H20" s="2517"/>
      <c r="I20" s="2518">
        <f>SUM(I17:I19)</f>
        <v>0</v>
      </c>
    </row>
    <row r="21" spans="1:9">
      <c r="A21" s="3456" t="s">
        <v>2469</v>
      </c>
      <c r="B21" s="3459"/>
      <c r="C21" s="3459"/>
      <c r="D21" s="3459"/>
      <c r="E21" s="3459"/>
      <c r="F21" s="3459"/>
      <c r="G21" s="3459"/>
      <c r="H21" s="2522">
        <v>0.1</v>
      </c>
      <c r="I21" s="2515">
        <f>ROUND(I10*H21,0)</f>
        <v>0</v>
      </c>
    </row>
    <row r="22" spans="1:9" ht="15.6">
      <c r="A22" s="3460" t="s">
        <v>2470</v>
      </c>
      <c r="B22" s="3461"/>
      <c r="C22" s="3462"/>
      <c r="D22" s="2523" t="s">
        <v>2471</v>
      </c>
      <c r="E22" s="2523" t="s">
        <v>2472</v>
      </c>
      <c r="F22" s="2524" t="s">
        <v>2473</v>
      </c>
      <c r="G22" s="2524" t="s">
        <v>2474</v>
      </c>
      <c r="H22" s="2516" t="s">
        <v>2475</v>
      </c>
      <c r="I22" s="2507" t="s">
        <v>2476</v>
      </c>
    </row>
    <row r="23" spans="1:9" ht="15" thickBot="1">
      <c r="A23" s="3463"/>
      <c r="B23" s="3464"/>
      <c r="C23" s="3465"/>
      <c r="D23" s="2525"/>
      <c r="E23" s="2525"/>
      <c r="F23" s="2525"/>
      <c r="G23" s="2526"/>
      <c r="H23" s="2527"/>
      <c r="I23" s="2528">
        <f>ROUND(E23*D23*F23*(1-G23)/10000,0)</f>
        <v>0</v>
      </c>
    </row>
    <row r="26" spans="1:9">
      <c r="A26" s="2529" t="s">
        <v>2477</v>
      </c>
      <c r="B26" s="2529"/>
      <c r="C26" s="2529"/>
      <c r="D26" s="2529"/>
      <c r="E26" s="3453">
        <f>C27-C30-C31-C32</f>
        <v>0</v>
      </c>
      <c r="F26" s="3453"/>
      <c r="G26" s="3453"/>
      <c r="H26" s="3043" t="s">
        <v>2805</v>
      </c>
    </row>
    <row r="27" spans="1:9">
      <c r="A27" s="2530">
        <v>1</v>
      </c>
      <c r="B27" s="2531" t="s">
        <v>2478</v>
      </c>
      <c r="C27" s="2531"/>
      <c r="D27" s="2531"/>
      <c r="E27" s="3454"/>
      <c r="F27" s="3454"/>
      <c r="G27" s="3454"/>
    </row>
    <row r="28" spans="1:9">
      <c r="A28" s="2532" t="s">
        <v>2479</v>
      </c>
      <c r="B28" s="2531" t="s">
        <v>2480</v>
      </c>
      <c r="C28" s="2531"/>
      <c r="D28" s="2531"/>
      <c r="E28" s="3454"/>
      <c r="F28" s="3454"/>
      <c r="G28" s="3454"/>
    </row>
    <row r="29" spans="1:9">
      <c r="A29" s="2532" t="s">
        <v>2481</v>
      </c>
      <c r="B29" s="2531" t="s">
        <v>2422</v>
      </c>
      <c r="C29" s="2531"/>
      <c r="D29" s="2531"/>
      <c r="E29" s="2531" t="s">
        <v>2482</v>
      </c>
      <c r="F29" s="2531"/>
      <c r="G29" s="2531"/>
    </row>
    <row r="30" spans="1:9">
      <c r="A30" s="2530">
        <v>2</v>
      </c>
      <c r="B30" s="2531" t="s">
        <v>2483</v>
      </c>
      <c r="C30" s="2531">
        <f>C27*D30</f>
        <v>0</v>
      </c>
      <c r="D30" s="2533">
        <v>0.2</v>
      </c>
      <c r="E30" s="2531" t="s">
        <v>2484</v>
      </c>
      <c r="F30" s="2531"/>
      <c r="G30" s="2531"/>
    </row>
    <row r="31" spans="1:9">
      <c r="A31" s="2530">
        <v>3</v>
      </c>
      <c r="B31" s="2531" t="s">
        <v>2485</v>
      </c>
      <c r="C31" s="2531">
        <f>C25*D31</f>
        <v>0</v>
      </c>
      <c r="D31" s="2533">
        <v>0.15</v>
      </c>
      <c r="E31" s="2531" t="s">
        <v>2486</v>
      </c>
      <c r="F31" s="2531"/>
      <c r="G31" s="2531"/>
    </row>
    <row r="32" spans="1:9">
      <c r="A32" s="2530">
        <v>4</v>
      </c>
      <c r="B32" s="2531" t="s">
        <v>2487</v>
      </c>
      <c r="C32" s="2531">
        <f>C27*D32</f>
        <v>0</v>
      </c>
      <c r="D32" s="2533">
        <v>0.05</v>
      </c>
      <c r="E32" s="3455"/>
      <c r="F32" s="3455"/>
      <c r="G32" s="3455"/>
    </row>
    <row r="33" spans="1:7" hidden="1">
      <c r="A33" s="3450" t="s">
        <v>2488</v>
      </c>
      <c r="B33" s="3451"/>
      <c r="C33" s="3451"/>
      <c r="D33" s="3452"/>
      <c r="E33" s="3453"/>
      <c r="F33" s="3453"/>
      <c r="G33" s="3453"/>
    </row>
    <row r="34" spans="1:7" hidden="1">
      <c r="A34" s="2534">
        <v>1</v>
      </c>
      <c r="B34" s="2531" t="s">
        <v>2489</v>
      </c>
      <c r="C34" s="2531"/>
      <c r="D34" s="2531"/>
      <c r="E34" s="3454"/>
      <c r="F34" s="3454"/>
      <c r="G34" s="3454"/>
    </row>
    <row r="35" spans="1:7" hidden="1">
      <c r="A35" s="2534">
        <v>2</v>
      </c>
      <c r="B35" s="2531" t="s">
        <v>2490</v>
      </c>
      <c r="C35" s="2531"/>
      <c r="D35" s="2531"/>
      <c r="E35" s="3454"/>
      <c r="F35" s="3454"/>
      <c r="G35" s="3454"/>
    </row>
    <row r="36" spans="1:7" hidden="1">
      <c r="A36" s="2534">
        <v>3</v>
      </c>
      <c r="B36" s="2531" t="s">
        <v>2491</v>
      </c>
      <c r="C36" s="2531"/>
      <c r="D36" s="2531"/>
      <c r="E36" s="3454"/>
      <c r="F36" s="3454"/>
      <c r="G36" s="3454"/>
    </row>
    <row r="37" spans="1:7" hidden="1">
      <c r="A37" s="2534">
        <v>4</v>
      </c>
      <c r="B37" s="2531" t="s">
        <v>2492</v>
      </c>
      <c r="C37" s="2531"/>
      <c r="D37" s="2531"/>
      <c r="E37" s="3454"/>
      <c r="F37" s="3454"/>
      <c r="G37" s="3454"/>
    </row>
    <row r="38" spans="1:7" hidden="1">
      <c r="A38" s="3450" t="s">
        <v>2493</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266968.10000000003</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1602</v>
      </c>
      <c r="D12" s="757">
        <f>'数据-汇总表'!E5</f>
        <v>213574.48000000004</v>
      </c>
      <c r="E12" s="756">
        <f>'数据-取费表'!B27</f>
        <v>75</v>
      </c>
      <c r="F12" s="754"/>
      <c r="G12" s="758"/>
    </row>
    <row r="13" spans="1:25" s="2182" customFormat="1" ht="13.5" customHeight="1">
      <c r="A13" s="2475" t="s">
        <v>2409</v>
      </c>
      <c r="B13" s="755" t="s">
        <v>577</v>
      </c>
      <c r="C13" s="756">
        <f>ROUND(D13*E13/10000,0)</f>
        <v>400</v>
      </c>
      <c r="D13" s="757">
        <f>'数据-汇总表'!E6</f>
        <v>53393.619999999995</v>
      </c>
      <c r="E13" s="756">
        <f>'数据-取费表'!B28</f>
        <v>75</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0.17</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0.9</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I48"/>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2992</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f>ROUND(B3*D3/10000,0)</f>
        <v>176391</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f>C49</f>
        <v>8259</v>
      </c>
      <c r="C3" s="851" t="s">
        <v>687</v>
      </c>
      <c r="D3" s="850">
        <f>SUMIF('数据-汇总表'!$C19:$C33,D1,'数据-汇总表'!$E19:$E33)</f>
        <v>213574.48000000004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77" t="s">
        <v>487</v>
      </c>
      <c r="D4" s="3378"/>
      <c r="E4" s="3402" t="s">
        <v>488</v>
      </c>
      <c r="F4" s="3403"/>
      <c r="G4" s="3377" t="s">
        <v>489</v>
      </c>
      <c r="H4" s="3378"/>
      <c r="I4" s="3377" t="s">
        <v>490</v>
      </c>
      <c r="J4" s="3378"/>
      <c r="K4" s="852"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60" t="s">
        <v>489</v>
      </c>
      <c r="AC4" s="3360" t="s">
        <v>490</v>
      </c>
    </row>
    <row r="5" spans="1:29">
      <c r="A5" s="514"/>
      <c r="B5" s="515"/>
      <c r="C5" s="3388" t="s">
        <v>2998</v>
      </c>
      <c r="D5" s="3389"/>
      <c r="E5" s="3471" t="s">
        <v>2993</v>
      </c>
      <c r="F5" s="3405"/>
      <c r="G5" s="3388" t="s">
        <v>3272</v>
      </c>
      <c r="H5" s="3389"/>
      <c r="I5" s="3388" t="s">
        <v>3026</v>
      </c>
      <c r="J5" s="3389"/>
      <c r="K5" s="85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472" t="s">
        <v>2996</v>
      </c>
      <c r="D6" s="3387"/>
      <c r="E6" s="3473" t="s">
        <v>2994</v>
      </c>
      <c r="F6" s="3407"/>
      <c r="G6" s="3472" t="s">
        <v>3025</v>
      </c>
      <c r="H6" s="3387"/>
      <c r="I6" s="3472" t="s">
        <v>3027</v>
      </c>
      <c r="J6" s="3387"/>
      <c r="K6" s="85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v>43416</v>
      </c>
      <c r="F7" s="521">
        <f>SUMIF(58:58,YEAR(E7)&amp;"-"&amp;MONTH(E7),59:59)</f>
        <v>100</v>
      </c>
      <c r="G7" s="522">
        <v>43416</v>
      </c>
      <c r="H7" s="519">
        <f>SUMIF(58:58,YEAR(G7)&amp;"-"&amp;MONTH(G7),59:59)</f>
        <v>100</v>
      </c>
      <c r="I7" s="522">
        <v>43416</v>
      </c>
      <c r="J7" s="519">
        <f>SUMIF(58:58,YEAR(I7)&amp;"-"&amp;MONTH(I7),59:59)</f>
        <v>100</v>
      </c>
      <c r="K7" s="854"/>
      <c r="L7" s="2134"/>
      <c r="M7" s="2135"/>
      <c r="N7" s="2135"/>
      <c r="O7" s="2135"/>
      <c r="P7" s="3363" t="s">
        <v>495</v>
      </c>
      <c r="Q7" s="3372"/>
      <c r="R7" s="1566" t="s">
        <v>12</v>
      </c>
      <c r="S7" s="1567">
        <f t="shared" ref="S7:S15" si="0">F7</f>
        <v>100</v>
      </c>
      <c r="T7" s="1566" t="s">
        <v>12</v>
      </c>
      <c r="U7" s="1567">
        <f t="shared" ref="U7:U15" si="1">H7</f>
        <v>100</v>
      </c>
      <c r="V7" s="1566" t="s">
        <v>12</v>
      </c>
      <c r="W7" s="1567">
        <f t="shared" ref="W7:W15" si="2">J7</f>
        <v>100</v>
      </c>
      <c r="X7" s="1568"/>
      <c r="Y7" s="3363" t="s">
        <v>495</v>
      </c>
      <c r="Z7" s="3364"/>
      <c r="AA7" s="1569">
        <f>D7/F7</f>
        <v>1</v>
      </c>
      <c r="AB7" s="1569">
        <f>D7/H7</f>
        <v>1</v>
      </c>
      <c r="AC7" s="1569">
        <f>D7/J7</f>
        <v>1</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63" t="s">
        <v>498</v>
      </c>
      <c r="Q8" s="3364"/>
      <c r="R8" s="1566" t="s">
        <v>12</v>
      </c>
      <c r="S8" s="1567">
        <f t="shared" si="0"/>
        <v>100</v>
      </c>
      <c r="T8" s="1566" t="s">
        <v>12</v>
      </c>
      <c r="U8" s="1567">
        <f t="shared" si="1"/>
        <v>100</v>
      </c>
      <c r="V8" s="1566" t="s">
        <v>12</v>
      </c>
      <c r="W8" s="1567">
        <f t="shared" si="2"/>
        <v>100</v>
      </c>
      <c r="X8" s="1568"/>
      <c r="Y8" s="3363" t="s">
        <v>498</v>
      </c>
      <c r="Z8" s="3364"/>
      <c r="AA8" s="1569">
        <f t="shared" ref="AA8:AA46" si="3">D8/F8</f>
        <v>1</v>
      </c>
      <c r="AB8" s="1569">
        <f t="shared" ref="AB8:AB46" si="4">D8/H8</f>
        <v>1</v>
      </c>
      <c r="AC8" s="1569">
        <f t="shared" ref="AC8:AC46" si="5">D8/J8</f>
        <v>1</v>
      </c>
    </row>
    <row r="9" spans="1:29" s="1218" customFormat="1" ht="14.4">
      <c r="A9" s="2913"/>
      <c r="B9" s="2920" t="s">
        <v>2718</v>
      </c>
      <c r="C9" s="3181" t="s">
        <v>3001</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t="s">
        <v>3002</v>
      </c>
      <c r="D10" s="254">
        <v>100</v>
      </c>
      <c r="E10" s="860" t="s">
        <v>3002</v>
      </c>
      <c r="F10" s="862">
        <f>SUMIF(65:65,E10,66:66)-SUMIF(65:65,C10,66:66)+100</f>
        <v>100</v>
      </c>
      <c r="G10" s="860" t="s">
        <v>3002</v>
      </c>
      <c r="H10" s="254">
        <f>SUMIF(65:65,G10,66:66)-SUMIF(65:65,C10,66:66)+100</f>
        <v>100</v>
      </c>
      <c r="I10" s="860" t="s">
        <v>3002</v>
      </c>
      <c r="J10" s="254">
        <f>SUMIF(65:65,I10,66:66)-SUMIF(65:65,C10,66:66)+100</f>
        <v>100</v>
      </c>
      <c r="K10" s="863">
        <v>1</v>
      </c>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f>'数据-汇总表'!I6</f>
        <v>3.5</v>
      </c>
      <c r="D11" s="254">
        <v>100</v>
      </c>
      <c r="E11" s="533">
        <v>3.73</v>
      </c>
      <c r="F11" s="862">
        <f>LOOKUP(E11,68:68,69:69)-LOOKUP(C11,68:68,69:69)+100</f>
        <v>100</v>
      </c>
      <c r="G11" s="532">
        <v>2.2000000000000002</v>
      </c>
      <c r="H11" s="254">
        <f>LOOKUP(G11,68:68,69:69)-LOOKUP(C11,68:68,69:69)+100</f>
        <v>105</v>
      </c>
      <c r="I11" s="532">
        <v>2.3199999999999998</v>
      </c>
      <c r="J11" s="254">
        <f>LOOKUP(I11,68:68,69:69)-LOOKUP(C11,68:68,69:69)+100</f>
        <v>105</v>
      </c>
      <c r="K11" s="863">
        <v>5</v>
      </c>
      <c r="L11" s="2139"/>
      <c r="M11" s="2133"/>
      <c r="N11" s="2133"/>
      <c r="O11" s="2140"/>
      <c r="P11" s="3371"/>
      <c r="Q11" s="1149" t="str">
        <f t="shared" si="6"/>
        <v>容积率</v>
      </c>
      <c r="R11" s="1566" t="s">
        <v>11</v>
      </c>
      <c r="S11" s="1567">
        <f t="shared" si="0"/>
        <v>100</v>
      </c>
      <c r="T11" s="1566" t="s">
        <v>11</v>
      </c>
      <c r="U11" s="1567">
        <f t="shared" si="1"/>
        <v>105</v>
      </c>
      <c r="V11" s="1566" t="s">
        <v>11</v>
      </c>
      <c r="W11" s="1567">
        <f t="shared" si="2"/>
        <v>105</v>
      </c>
      <c r="X11" s="1568"/>
      <c r="Y11" s="3328"/>
      <c r="Z11" s="1148" t="str">
        <f t="shared" si="7"/>
        <v>容积率</v>
      </c>
      <c r="AA11" s="1569">
        <f t="shared" si="3"/>
        <v>1</v>
      </c>
      <c r="AB11" s="1569">
        <f t="shared" si="4"/>
        <v>0.95238095238095233</v>
      </c>
      <c r="AC11" s="1569">
        <f t="shared" si="5"/>
        <v>0.95238095238095233</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1"/>
      <c r="Q12" s="1149">
        <f t="shared" si="6"/>
        <v>111</v>
      </c>
      <c r="R12" s="1566" t="s">
        <v>11</v>
      </c>
      <c r="S12" s="1567">
        <f t="shared" si="0"/>
        <v>100</v>
      </c>
      <c r="T12" s="1566" t="s">
        <v>11</v>
      </c>
      <c r="U12" s="1567">
        <f t="shared" si="1"/>
        <v>100</v>
      </c>
      <c r="V12" s="1566" t="s">
        <v>11</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1"/>
      <c r="Q13" s="1149">
        <f t="shared" si="6"/>
        <v>111</v>
      </c>
      <c r="R13" s="1566" t="s">
        <v>11</v>
      </c>
      <c r="S13" s="1567">
        <f t="shared" si="0"/>
        <v>100</v>
      </c>
      <c r="T13" s="1566" t="s">
        <v>11</v>
      </c>
      <c r="U13" s="1567">
        <f t="shared" si="1"/>
        <v>100</v>
      </c>
      <c r="V13" s="1566" t="s">
        <v>11</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1"/>
      <c r="Q14" s="1149">
        <f t="shared" si="6"/>
        <v>111</v>
      </c>
      <c r="R14" s="1566" t="s">
        <v>11</v>
      </c>
      <c r="S14" s="1567">
        <f t="shared" si="0"/>
        <v>100</v>
      </c>
      <c r="T14" s="1566" t="s">
        <v>11</v>
      </c>
      <c r="U14" s="1567">
        <f t="shared" si="1"/>
        <v>100</v>
      </c>
      <c r="V14" s="1566" t="s">
        <v>11</v>
      </c>
      <c r="W14" s="1567">
        <f t="shared" si="2"/>
        <v>100</v>
      </c>
      <c r="X14" s="1568"/>
      <c r="Y14" s="3328"/>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73" t="s">
        <v>505</v>
      </c>
      <c r="Q15" s="1570" t="str">
        <f t="shared" si="6"/>
        <v>居住社区成熟度</v>
      </c>
      <c r="R15" s="1571" t="s">
        <v>11</v>
      </c>
      <c r="S15" s="1572">
        <f t="shared" si="0"/>
        <v>102</v>
      </c>
      <c r="T15" s="1571" t="s">
        <v>11</v>
      </c>
      <c r="U15" s="1572">
        <f t="shared" si="1"/>
        <v>102</v>
      </c>
      <c r="V15" s="1571" t="s">
        <v>11</v>
      </c>
      <c r="W15" s="1572">
        <f t="shared" si="2"/>
        <v>104</v>
      </c>
      <c r="X15" s="1565"/>
      <c r="Y15" s="3373"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3003</v>
      </c>
      <c r="D16" s="554"/>
      <c r="E16" s="555" t="s">
        <v>2949</v>
      </c>
      <c r="F16" s="556"/>
      <c r="G16" s="555" t="s">
        <v>2949</v>
      </c>
      <c r="H16" s="558"/>
      <c r="I16" s="555" t="s">
        <v>3011</v>
      </c>
      <c r="J16" s="554"/>
      <c r="K16" s="869"/>
      <c r="L16" s="2141"/>
      <c r="M16" s="2133"/>
      <c r="N16" s="2133"/>
      <c r="O16" s="2140"/>
      <c r="P16" s="3374"/>
      <c r="Q16" s="1570"/>
      <c r="R16" s="1571"/>
      <c r="S16" s="1572"/>
      <c r="T16" s="1571"/>
      <c r="U16" s="1572"/>
      <c r="V16" s="1571"/>
      <c r="W16" s="1572"/>
      <c r="X16" s="1565"/>
      <c r="Y16" s="3374"/>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4"/>
      <c r="Q17" s="1570" t="str">
        <f>B17</f>
        <v>交通便捷度</v>
      </c>
      <c r="R17" s="1571" t="s">
        <v>11</v>
      </c>
      <c r="S17" s="1572">
        <f>F17</f>
        <v>102</v>
      </c>
      <c r="T17" s="1571" t="s">
        <v>11</v>
      </c>
      <c r="U17" s="1572">
        <f>H17</f>
        <v>102</v>
      </c>
      <c r="V17" s="1571" t="s">
        <v>11</v>
      </c>
      <c r="W17" s="1572">
        <f>J17</f>
        <v>102</v>
      </c>
      <c r="X17" s="1565"/>
      <c r="Y17" s="3374"/>
      <c r="Z17" s="1573" t="str">
        <f>Q17</f>
        <v>交通便捷度</v>
      </c>
      <c r="AA17" s="1574">
        <f t="shared" si="3"/>
        <v>0.98039215686274506</v>
      </c>
      <c r="AB17" s="1574">
        <f t="shared" si="4"/>
        <v>0.98039215686274506</v>
      </c>
      <c r="AC17" s="1574">
        <f t="shared" si="5"/>
        <v>0.98039215686274506</v>
      </c>
    </row>
    <row r="18" spans="1:29" ht="15">
      <c r="A18" s="531"/>
      <c r="B18" s="594"/>
      <c r="C18" s="872" t="s">
        <v>3003</v>
      </c>
      <c r="D18" s="558"/>
      <c r="E18" s="555" t="s">
        <v>2949</v>
      </c>
      <c r="F18" s="562"/>
      <c r="G18" s="555" t="s">
        <v>2949</v>
      </c>
      <c r="H18" s="554"/>
      <c r="I18" s="555" t="s">
        <v>2949</v>
      </c>
      <c r="J18" s="554"/>
      <c r="K18" s="869"/>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4"/>
      <c r="Q19" s="1570" t="str">
        <f>B19</f>
        <v>公共配套设施</v>
      </c>
      <c r="R19" s="1571" t="s">
        <v>11</v>
      </c>
      <c r="S19" s="1572">
        <f>F19</f>
        <v>102</v>
      </c>
      <c r="T19" s="1571" t="s">
        <v>11</v>
      </c>
      <c r="U19" s="1572">
        <f>H19</f>
        <v>100</v>
      </c>
      <c r="V19" s="1571" t="s">
        <v>11</v>
      </c>
      <c r="W19" s="1572">
        <f>J19</f>
        <v>102</v>
      </c>
      <c r="X19" s="1565"/>
      <c r="Y19" s="3374"/>
      <c r="Z19" s="1573" t="str">
        <f>Q19</f>
        <v>公共配套设施</v>
      </c>
      <c r="AA19" s="1574">
        <f t="shared" si="3"/>
        <v>0.98039215686274506</v>
      </c>
      <c r="AB19" s="1574">
        <f t="shared" si="4"/>
        <v>1</v>
      </c>
      <c r="AC19" s="1574">
        <f t="shared" si="5"/>
        <v>0.98039215686274506</v>
      </c>
    </row>
    <row r="20" spans="1:29" ht="15">
      <c r="A20" s="531"/>
      <c r="B20" s="594"/>
      <c r="C20" s="575" t="s">
        <v>3003</v>
      </c>
      <c r="D20" s="554"/>
      <c r="E20" s="555" t="s">
        <v>2949</v>
      </c>
      <c r="F20" s="556"/>
      <c r="G20" s="555" t="s">
        <v>3003</v>
      </c>
      <c r="H20" s="554"/>
      <c r="I20" s="555" t="s">
        <v>2949</v>
      </c>
      <c r="J20" s="554"/>
      <c r="K20" s="869"/>
      <c r="L20" s="2141"/>
      <c r="M20" s="2133"/>
      <c r="N20" s="2133"/>
      <c r="O20" s="2140"/>
      <c r="P20" s="3374"/>
      <c r="Q20" s="1570"/>
      <c r="R20" s="1571"/>
      <c r="S20" s="1572"/>
      <c r="T20" s="1571"/>
      <c r="U20" s="1572"/>
      <c r="V20" s="1571"/>
      <c r="W20" s="1572"/>
      <c r="X20" s="1565"/>
      <c r="Y20" s="3374"/>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4"/>
      <c r="Q21" s="2578" t="str">
        <f>B21</f>
        <v>基础设施水平</v>
      </c>
      <c r="R21" s="1571" t="s">
        <v>11</v>
      </c>
      <c r="S21" s="1572">
        <f>F21</f>
        <v>100</v>
      </c>
      <c r="T21" s="1571" t="s">
        <v>11</v>
      </c>
      <c r="U21" s="1572">
        <f>H21</f>
        <v>100</v>
      </c>
      <c r="V21" s="1571" t="s">
        <v>11</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4"/>
      <c r="Q22" s="2578"/>
      <c r="R22" s="1571"/>
      <c r="S22" s="1572"/>
      <c r="T22" s="1571"/>
      <c r="U22" s="1572"/>
      <c r="V22" s="1571"/>
      <c r="W22" s="1572"/>
      <c r="X22" s="2580"/>
      <c r="Y22" s="3374"/>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4"/>
      <c r="Q23" s="1570" t="str">
        <f>B23</f>
        <v>自然及人文环境</v>
      </c>
      <c r="R23" s="1571" t="s">
        <v>11</v>
      </c>
      <c r="S23" s="1572">
        <f>F23</f>
        <v>102</v>
      </c>
      <c r="T23" s="1571" t="s">
        <v>11</v>
      </c>
      <c r="U23" s="1572">
        <f>H23</f>
        <v>102</v>
      </c>
      <c r="V23" s="1571" t="s">
        <v>11</v>
      </c>
      <c r="W23" s="1572">
        <f>J23</f>
        <v>102</v>
      </c>
      <c r="X23" s="1565"/>
      <c r="Y23" s="3374"/>
      <c r="Z23" s="1573" t="str">
        <f>Q23</f>
        <v>自然及人文环境</v>
      </c>
      <c r="AA23" s="1574">
        <f t="shared" si="3"/>
        <v>0.98039215686274506</v>
      </c>
      <c r="AB23" s="1574">
        <f t="shared" si="4"/>
        <v>0.98039215686274506</v>
      </c>
      <c r="AC23" s="1574">
        <f t="shared" si="5"/>
        <v>0.98039215686274506</v>
      </c>
    </row>
    <row r="24" spans="1:29" ht="15">
      <c r="A24" s="531"/>
      <c r="B24" s="594"/>
      <c r="C24" s="575" t="s">
        <v>3003</v>
      </c>
      <c r="D24" s="554"/>
      <c r="E24" s="555" t="s">
        <v>2949</v>
      </c>
      <c r="F24" s="556"/>
      <c r="G24" s="555" t="s">
        <v>2949</v>
      </c>
      <c r="H24" s="554"/>
      <c r="I24" s="555" t="s">
        <v>2949</v>
      </c>
      <c r="J24" s="554"/>
      <c r="K24" s="869"/>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4"/>
      <c r="Q25" s="1570" t="str">
        <f t="shared" ref="Q25:Q46" si="11">B25</f>
        <v>楼层-1</v>
      </c>
      <c r="R25" s="1571" t="s">
        <v>11</v>
      </c>
      <c r="S25" s="1572">
        <f>F25</f>
        <v>100</v>
      </c>
      <c r="T25" s="1571" t="s">
        <v>11</v>
      </c>
      <c r="U25" s="1572">
        <f>H25</f>
        <v>100</v>
      </c>
      <c r="V25" s="1571" t="s">
        <v>11</v>
      </c>
      <c r="W25" s="1572">
        <f>J25</f>
        <v>100</v>
      </c>
      <c r="X25" s="1565"/>
      <c r="Y25" s="3374"/>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4"/>
      <c r="Q26" s="1570" t="str">
        <f t="shared" si="11"/>
        <v>朝向</v>
      </c>
      <c r="R26" s="1571" t="s">
        <v>11</v>
      </c>
      <c r="S26" s="1572">
        <f>F26</f>
        <v>100</v>
      </c>
      <c r="T26" s="1571" t="s">
        <v>11</v>
      </c>
      <c r="U26" s="1572">
        <f>H26</f>
        <v>100</v>
      </c>
      <c r="V26" s="1571" t="s">
        <v>11</v>
      </c>
      <c r="W26" s="1572">
        <f>J26</f>
        <v>100</v>
      </c>
      <c r="X26" s="1565"/>
      <c r="Y26" s="3374"/>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4"/>
      <c r="Q27" s="1149" t="str">
        <f t="shared" si="11"/>
        <v>道路级别</v>
      </c>
      <c r="R27" s="1566" t="s">
        <v>11</v>
      </c>
      <c r="S27" s="1567">
        <f>F27</f>
        <v>100</v>
      </c>
      <c r="T27" s="1566" t="s">
        <v>11</v>
      </c>
      <c r="U27" s="1567">
        <f>H27</f>
        <v>100</v>
      </c>
      <c r="V27" s="1566" t="s">
        <v>11</v>
      </c>
      <c r="W27" s="1567">
        <f>J27</f>
        <v>100</v>
      </c>
      <c r="X27" s="1568"/>
      <c r="Y27" s="3374"/>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4"/>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4"/>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4"/>
      <c r="Q29" s="1570">
        <f t="shared" si="11"/>
        <v>111</v>
      </c>
      <c r="R29" s="1571" t="s">
        <v>11</v>
      </c>
      <c r="S29" s="1572">
        <f t="shared" si="12"/>
        <v>100</v>
      </c>
      <c r="T29" s="1571" t="s">
        <v>11</v>
      </c>
      <c r="U29" s="1572">
        <f t="shared" si="13"/>
        <v>100</v>
      </c>
      <c r="V29" s="1571" t="s">
        <v>11</v>
      </c>
      <c r="W29" s="1572">
        <f t="shared" si="14"/>
        <v>100</v>
      </c>
      <c r="X29" s="1565"/>
      <c r="Y29" s="3374"/>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4"/>
      <c r="Q30" s="1570">
        <f t="shared" si="11"/>
        <v>111</v>
      </c>
      <c r="R30" s="1571" t="s">
        <v>11</v>
      </c>
      <c r="S30" s="1572">
        <f t="shared" si="12"/>
        <v>100</v>
      </c>
      <c r="T30" s="1571" t="s">
        <v>11</v>
      </c>
      <c r="U30" s="1572">
        <f t="shared" si="13"/>
        <v>100</v>
      </c>
      <c r="V30" s="1571" t="s">
        <v>11</v>
      </c>
      <c r="W30" s="1572">
        <f t="shared" si="14"/>
        <v>100</v>
      </c>
      <c r="X30" s="1565"/>
      <c r="Y30" s="3374"/>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4"/>
      <c r="Q31" s="1570">
        <f t="shared" si="11"/>
        <v>111</v>
      </c>
      <c r="R31" s="1571" t="s">
        <v>11</v>
      </c>
      <c r="S31" s="1572">
        <f t="shared" si="12"/>
        <v>100</v>
      </c>
      <c r="T31" s="1571" t="s">
        <v>11</v>
      </c>
      <c r="U31" s="1572">
        <f t="shared" si="13"/>
        <v>100</v>
      </c>
      <c r="V31" s="1571" t="s">
        <v>11</v>
      </c>
      <c r="W31" s="1572">
        <f t="shared" si="14"/>
        <v>100</v>
      </c>
      <c r="X31" s="1565"/>
      <c r="Y31" s="3374"/>
      <c r="Z31" s="1573">
        <f t="shared" si="15"/>
        <v>111</v>
      </c>
      <c r="AA31" s="1574">
        <f t="shared" si="3"/>
        <v>1</v>
      </c>
      <c r="AB31" s="1574">
        <f t="shared" si="4"/>
        <v>1</v>
      </c>
      <c r="AC31" s="1574">
        <f t="shared" si="5"/>
        <v>1</v>
      </c>
    </row>
    <row r="32" spans="1:29" ht="15">
      <c r="A32" s="2906" t="s">
        <v>2717</v>
      </c>
      <c r="B32" s="171" t="s">
        <v>690</v>
      </c>
      <c r="C32" s="877" t="s">
        <v>3019</v>
      </c>
      <c r="D32" s="596">
        <v>100</v>
      </c>
      <c r="E32" s="877" t="s">
        <v>3019</v>
      </c>
      <c r="F32" s="574">
        <f>SUMIF(100:100,E32,101:101)-SUMIF(100:100,C32,101:101)+100</f>
        <v>100</v>
      </c>
      <c r="G32" s="877" t="s">
        <v>3019</v>
      </c>
      <c r="H32" s="596">
        <f>SUMIF(100:100,G32,101:101)-SUMIF(100:100,C32,101:101)+100</f>
        <v>100</v>
      </c>
      <c r="I32" s="877" t="s">
        <v>3019</v>
      </c>
      <c r="J32" s="539">
        <f>SUMIF(100:100,I32,101:101)-SUMIF(100:100,C32,101:101)+100</f>
        <v>100</v>
      </c>
      <c r="K32" s="863">
        <v>2</v>
      </c>
      <c r="L32" s="2141"/>
      <c r="M32" s="2133"/>
      <c r="N32" s="2133"/>
      <c r="O32" s="2140"/>
      <c r="P32" s="3375" t="s">
        <v>515</v>
      </c>
      <c r="Q32" s="1570" t="str">
        <f t="shared" si="11"/>
        <v>建筑类型</v>
      </c>
      <c r="R32" s="1571" t="s">
        <v>11</v>
      </c>
      <c r="S32" s="1572">
        <f t="shared" si="12"/>
        <v>100</v>
      </c>
      <c r="T32" s="1571" t="s">
        <v>11</v>
      </c>
      <c r="U32" s="1572">
        <f t="shared" si="13"/>
        <v>100</v>
      </c>
      <c r="V32" s="1571" t="s">
        <v>11</v>
      </c>
      <c r="W32" s="1572">
        <f t="shared" si="14"/>
        <v>100</v>
      </c>
      <c r="X32" s="1565"/>
      <c r="Y32" s="3376" t="s">
        <v>515</v>
      </c>
      <c r="Z32" s="1573" t="str">
        <f t="shared" si="15"/>
        <v>建筑类型</v>
      </c>
      <c r="AA32" s="1574">
        <f t="shared" si="3"/>
        <v>1</v>
      </c>
      <c r="AB32" s="1574">
        <f t="shared" si="4"/>
        <v>1</v>
      </c>
      <c r="AC32" s="1574">
        <f t="shared" si="5"/>
        <v>1</v>
      </c>
    </row>
    <row r="33" spans="1:29" s="1337" customFormat="1" ht="15">
      <c r="A33" s="602"/>
      <c r="B33" s="526" t="s">
        <v>691</v>
      </c>
      <c r="C33" s="878">
        <f>'数据-汇总表'!E3</f>
        <v>266968.10000000003</v>
      </c>
      <c r="D33" s="254">
        <v>100</v>
      </c>
      <c r="E33" s="533">
        <v>232125</v>
      </c>
      <c r="F33" s="862">
        <f>LOOKUP(E33,103:103,104:104)-LOOKUP(C33,103:103,104:104)+100</f>
        <v>99</v>
      </c>
      <c r="G33" s="532">
        <v>500000</v>
      </c>
      <c r="H33" s="254">
        <f>LOOKUP(G33,103:103,104:104)-LOOKUP(C33,103:103,104:104)+100</f>
        <v>102</v>
      </c>
      <c r="I33" s="533">
        <v>473510.2</v>
      </c>
      <c r="J33" s="254">
        <f>LOOKUP(I33,103:103,104:104)-LOOKUP(C33,103:103,104:104)+100</f>
        <v>102</v>
      </c>
      <c r="K33" s="864"/>
      <c r="L33" s="2139"/>
      <c r="M33" s="2170"/>
      <c r="N33" s="2170"/>
      <c r="O33" s="2142"/>
      <c r="P33" s="3376"/>
      <c r="Q33" s="1603" t="str">
        <f t="shared" si="11"/>
        <v>项目建筑规模</v>
      </c>
      <c r="R33" s="1575" t="s">
        <v>11</v>
      </c>
      <c r="S33" s="1576">
        <f t="shared" si="12"/>
        <v>99</v>
      </c>
      <c r="T33" s="1575" t="s">
        <v>11</v>
      </c>
      <c r="U33" s="1576">
        <f t="shared" si="13"/>
        <v>102</v>
      </c>
      <c r="V33" s="1575" t="s">
        <v>11</v>
      </c>
      <c r="W33" s="1576">
        <f t="shared" si="14"/>
        <v>102</v>
      </c>
      <c r="X33" s="1577"/>
      <c r="Y33" s="3376"/>
      <c r="Z33" s="1578" t="str">
        <f t="shared" si="15"/>
        <v>项目建筑规模</v>
      </c>
      <c r="AA33" s="1574">
        <f t="shared" si="3"/>
        <v>1.0101010101010102</v>
      </c>
      <c r="AB33" s="1574">
        <f t="shared" si="4"/>
        <v>0.98039215686274506</v>
      </c>
      <c r="AC33" s="1574">
        <f t="shared" si="5"/>
        <v>0.98039215686274506</v>
      </c>
    </row>
    <row r="34" spans="1:29" ht="15">
      <c r="A34" s="593"/>
      <c r="B34" s="526" t="s">
        <v>692</v>
      </c>
      <c r="C34" s="879" t="s">
        <v>2986</v>
      </c>
      <c r="D34" s="539">
        <v>100</v>
      </c>
      <c r="E34" s="879" t="s">
        <v>2986</v>
      </c>
      <c r="F34" s="574">
        <f>SUMIF(105:105,E34,106:106)-SUMIF(105:105,C34,106:106)+100</f>
        <v>100</v>
      </c>
      <c r="G34" s="879" t="s">
        <v>2986</v>
      </c>
      <c r="H34" s="539">
        <f>SUMIF(105:105,G34,106:106)-SUMIF(105:105,C34,106:106)+100</f>
        <v>100</v>
      </c>
      <c r="I34" s="879" t="s">
        <v>2986</v>
      </c>
      <c r="J34" s="539">
        <f>SUMIF(105:105,I34,106:106)-SUMIF(105:105,C34,106:106)+100</f>
        <v>100</v>
      </c>
      <c r="K34" s="863">
        <v>1</v>
      </c>
      <c r="L34" s="2141"/>
      <c r="M34" s="2133"/>
      <c r="N34" s="2133"/>
      <c r="O34" s="2140"/>
      <c r="P34" s="3376"/>
      <c r="Q34" s="1570" t="str">
        <f t="shared" si="11"/>
        <v>建筑结构</v>
      </c>
      <c r="R34" s="1571" t="s">
        <v>11</v>
      </c>
      <c r="S34" s="1572">
        <f t="shared" si="12"/>
        <v>100</v>
      </c>
      <c r="T34" s="1571" t="s">
        <v>11</v>
      </c>
      <c r="U34" s="1572">
        <f t="shared" si="13"/>
        <v>100</v>
      </c>
      <c r="V34" s="1571" t="s">
        <v>11</v>
      </c>
      <c r="W34" s="1572">
        <f t="shared" si="14"/>
        <v>100</v>
      </c>
      <c r="X34" s="1565"/>
      <c r="Y34" s="3376"/>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6"/>
      <c r="Q35" s="1570" t="str">
        <f t="shared" si="11"/>
        <v>建筑品质</v>
      </c>
      <c r="R35" s="1571" t="s">
        <v>11</v>
      </c>
      <c r="S35" s="1572">
        <f t="shared" si="12"/>
        <v>100</v>
      </c>
      <c r="T35" s="1571" t="s">
        <v>11</v>
      </c>
      <c r="U35" s="1572">
        <f t="shared" si="13"/>
        <v>100</v>
      </c>
      <c r="V35" s="1571" t="s">
        <v>11</v>
      </c>
      <c r="W35" s="1572">
        <f t="shared" si="14"/>
        <v>100</v>
      </c>
      <c r="X35" s="1565"/>
      <c r="Y35" s="3376"/>
      <c r="Z35" s="1573" t="str">
        <f t="shared" si="15"/>
        <v>建筑品质</v>
      </c>
      <c r="AA35" s="1574">
        <f t="shared" si="3"/>
        <v>1</v>
      </c>
      <c r="AB35" s="1574">
        <f t="shared" si="4"/>
        <v>1</v>
      </c>
      <c r="AC35" s="1574">
        <f t="shared" si="5"/>
        <v>1</v>
      </c>
    </row>
    <row r="36" spans="1:29" ht="15">
      <c r="A36" s="593"/>
      <c r="B36" s="526" t="s">
        <v>694</v>
      </c>
      <c r="C36" s="598" t="s">
        <v>3004</v>
      </c>
      <c r="D36" s="539">
        <v>100</v>
      </c>
      <c r="E36" s="598" t="s">
        <v>3004</v>
      </c>
      <c r="F36" s="574">
        <f>SUMIF(109:109,E36,110:110)-SUMIF(109:109,C36,110:110)+100</f>
        <v>100</v>
      </c>
      <c r="G36" s="598" t="s">
        <v>3004</v>
      </c>
      <c r="H36" s="539">
        <f>SUMIF(109:109,G36,110:110)-SUMIF(109:109,C36,110:110)+100</f>
        <v>100</v>
      </c>
      <c r="I36" s="598" t="s">
        <v>3004</v>
      </c>
      <c r="J36" s="539">
        <f>SUMIF(109:109,I36,110:110)-SUMIF(109:109,C36,110:110)+100</f>
        <v>100</v>
      </c>
      <c r="K36" s="863">
        <v>2</v>
      </c>
      <c r="L36" s="2141"/>
      <c r="M36" s="2133"/>
      <c r="N36" s="2133"/>
      <c r="O36" s="2140"/>
      <c r="P36" s="3376"/>
      <c r="Q36" s="1570" t="str">
        <f t="shared" si="11"/>
        <v>公共部分装修</v>
      </c>
      <c r="R36" s="1571" t="s">
        <v>11</v>
      </c>
      <c r="S36" s="1572">
        <f t="shared" si="12"/>
        <v>100</v>
      </c>
      <c r="T36" s="1571" t="s">
        <v>11</v>
      </c>
      <c r="U36" s="1572">
        <f t="shared" si="13"/>
        <v>100</v>
      </c>
      <c r="V36" s="1571" t="s">
        <v>11</v>
      </c>
      <c r="W36" s="1572">
        <f t="shared" si="14"/>
        <v>100</v>
      </c>
      <c r="X36" s="1565"/>
      <c r="Y36" s="3376"/>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6"/>
      <c r="Q37" s="1149" t="str">
        <f t="shared" si="11"/>
        <v>成新度</v>
      </c>
      <c r="R37" s="1566" t="s">
        <v>11</v>
      </c>
      <c r="S37" s="1567">
        <f t="shared" si="12"/>
        <v>100</v>
      </c>
      <c r="T37" s="1566" t="s">
        <v>11</v>
      </c>
      <c r="U37" s="1567">
        <f t="shared" si="13"/>
        <v>100</v>
      </c>
      <c r="V37" s="1566" t="s">
        <v>11</v>
      </c>
      <c r="W37" s="1567">
        <f t="shared" si="14"/>
        <v>100</v>
      </c>
      <c r="X37" s="1568"/>
      <c r="Y37" s="3376"/>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6" t="s">
        <v>515</v>
      </c>
      <c r="Q38" s="1570" t="str">
        <f t="shared" si="11"/>
        <v>物业管理</v>
      </c>
      <c r="R38" s="1571" t="s">
        <v>11</v>
      </c>
      <c r="S38" s="1572">
        <f t="shared" si="12"/>
        <v>100</v>
      </c>
      <c r="T38" s="1571" t="s">
        <v>11</v>
      </c>
      <c r="U38" s="1572">
        <f t="shared" si="13"/>
        <v>100</v>
      </c>
      <c r="V38" s="1571" t="s">
        <v>11</v>
      </c>
      <c r="W38" s="1572">
        <f t="shared" si="14"/>
        <v>100</v>
      </c>
      <c r="X38" s="1565"/>
      <c r="Y38" s="3376"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6"/>
      <c r="Q39" s="1570" t="str">
        <f t="shared" si="11"/>
        <v>市政基础设施</v>
      </c>
      <c r="R39" s="1571" t="s">
        <v>11</v>
      </c>
      <c r="S39" s="1572">
        <f t="shared" si="12"/>
        <v>100</v>
      </c>
      <c r="T39" s="1571" t="s">
        <v>11</v>
      </c>
      <c r="U39" s="1572">
        <f t="shared" si="13"/>
        <v>100</v>
      </c>
      <c r="V39" s="1571" t="s">
        <v>11</v>
      </c>
      <c r="W39" s="1572">
        <f t="shared" si="14"/>
        <v>100</v>
      </c>
      <c r="X39" s="1565"/>
      <c r="Y39" s="3376"/>
      <c r="Z39" s="1573" t="str">
        <f t="shared" si="15"/>
        <v>市政基础设施</v>
      </c>
      <c r="AA39" s="1574">
        <f t="shared" si="3"/>
        <v>1</v>
      </c>
      <c r="AB39" s="1574">
        <f t="shared" si="4"/>
        <v>1</v>
      </c>
      <c r="AC39" s="1574">
        <f t="shared" si="5"/>
        <v>1</v>
      </c>
    </row>
    <row r="40" spans="1:29" ht="15">
      <c r="A40" s="593"/>
      <c r="B40" s="526" t="s">
        <v>697</v>
      </c>
      <c r="C40" s="598" t="s">
        <v>3017</v>
      </c>
      <c r="D40" s="539">
        <v>100</v>
      </c>
      <c r="E40" s="598" t="s">
        <v>3017</v>
      </c>
      <c r="F40" s="574">
        <f>SUMIF(118:118,E40,119:119)-SUMIF(118:118,C40,119:119)+100</f>
        <v>100</v>
      </c>
      <c r="G40" s="598" t="s">
        <v>3017</v>
      </c>
      <c r="H40" s="539">
        <f>SUMIF(118:118,G40,119:119)-SUMIF(118:118,C40,119:119)+100</f>
        <v>100</v>
      </c>
      <c r="I40" s="598" t="s">
        <v>3017</v>
      </c>
      <c r="J40" s="539">
        <f>SUMIF(118:118,I40,119:119)-SUMIF(118:118,C40,119:119)+100</f>
        <v>100</v>
      </c>
      <c r="K40" s="863">
        <v>2</v>
      </c>
      <c r="L40" s="2141"/>
      <c r="M40" s="2133"/>
      <c r="N40" s="2133"/>
      <c r="O40" s="2140"/>
      <c r="P40" s="3376"/>
      <c r="Q40" s="1570" t="str">
        <f t="shared" si="11"/>
        <v>房型</v>
      </c>
      <c r="R40" s="1571" t="s">
        <v>11</v>
      </c>
      <c r="S40" s="1572">
        <f t="shared" si="12"/>
        <v>100</v>
      </c>
      <c r="T40" s="1571" t="s">
        <v>11</v>
      </c>
      <c r="U40" s="1572">
        <f t="shared" si="13"/>
        <v>100</v>
      </c>
      <c r="V40" s="1571" t="s">
        <v>11</v>
      </c>
      <c r="W40" s="1572">
        <f t="shared" si="14"/>
        <v>100</v>
      </c>
      <c r="X40" s="1565"/>
      <c r="Y40" s="3376"/>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6"/>
      <c r="Q41" s="1603" t="str">
        <f t="shared" si="11"/>
        <v>单套/主力户型建筑面积</v>
      </c>
      <c r="R41" s="1575" t="s">
        <v>11</v>
      </c>
      <c r="S41" s="1576">
        <f t="shared" si="12"/>
        <v>100</v>
      </c>
      <c r="T41" s="1575" t="s">
        <v>11</v>
      </c>
      <c r="U41" s="1576">
        <f t="shared" si="13"/>
        <v>100</v>
      </c>
      <c r="V41" s="1575" t="s">
        <v>11</v>
      </c>
      <c r="W41" s="1576">
        <f t="shared" si="14"/>
        <v>100</v>
      </c>
      <c r="X41" s="1577"/>
      <c r="Y41" s="3376"/>
      <c r="Z41" s="1578" t="str">
        <f t="shared" si="15"/>
        <v>单套/主力户型建筑面积</v>
      </c>
      <c r="AA41" s="1574">
        <f t="shared" si="3"/>
        <v>1</v>
      </c>
      <c r="AB41" s="1574">
        <f t="shared" si="4"/>
        <v>1</v>
      </c>
      <c r="AC41" s="1574">
        <f t="shared" si="5"/>
        <v>1</v>
      </c>
    </row>
    <row r="42" spans="1:29" ht="15">
      <c r="A42" s="593"/>
      <c r="B42" s="526" t="s">
        <v>699</v>
      </c>
      <c r="C42" s="598" t="s">
        <v>3008</v>
      </c>
      <c r="D42" s="539">
        <v>100</v>
      </c>
      <c r="E42" s="598" t="s">
        <v>3008</v>
      </c>
      <c r="F42" s="574">
        <f>SUMIF(122:122,E42,123:123)-SUMIF(122:122,C42,123:123)+100</f>
        <v>100</v>
      </c>
      <c r="G42" s="598" t="s">
        <v>3008</v>
      </c>
      <c r="H42" s="539">
        <f>SUMIF(122:122,G42,123:123)-SUMIF(122:122,C42,123:123)+100</f>
        <v>100</v>
      </c>
      <c r="I42" s="598" t="s">
        <v>3008</v>
      </c>
      <c r="J42" s="539">
        <f>SUMIF(122:122,I42,123:123)-SUMIF(122:122,C42,123:123)+100</f>
        <v>100</v>
      </c>
      <c r="K42" s="863">
        <v>2</v>
      </c>
      <c r="L42" s="2141"/>
      <c r="M42" s="2133"/>
      <c r="N42" s="2133"/>
      <c r="O42" s="2140"/>
      <c r="P42" s="3376"/>
      <c r="Q42" s="1570" t="str">
        <f t="shared" si="11"/>
        <v>内部装修</v>
      </c>
      <c r="R42" s="1571" t="s">
        <v>11</v>
      </c>
      <c r="S42" s="1572">
        <f t="shared" si="12"/>
        <v>100</v>
      </c>
      <c r="T42" s="1571" t="s">
        <v>11</v>
      </c>
      <c r="U42" s="1572">
        <f t="shared" si="13"/>
        <v>100</v>
      </c>
      <c r="V42" s="1571" t="s">
        <v>11</v>
      </c>
      <c r="W42" s="1572">
        <f t="shared" si="14"/>
        <v>100</v>
      </c>
      <c r="X42" s="1565"/>
      <c r="Y42" s="3376"/>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6"/>
      <c r="Q43" s="1570" t="str">
        <f t="shared" si="11"/>
        <v>内部装修维护情况</v>
      </c>
      <c r="R43" s="1571" t="s">
        <v>11</v>
      </c>
      <c r="S43" s="1572">
        <f t="shared" si="12"/>
        <v>100</v>
      </c>
      <c r="T43" s="1571" t="s">
        <v>11</v>
      </c>
      <c r="U43" s="1572">
        <f t="shared" si="13"/>
        <v>100</v>
      </c>
      <c r="V43" s="1571" t="s">
        <v>11</v>
      </c>
      <c r="W43" s="1572">
        <f t="shared" si="14"/>
        <v>100</v>
      </c>
      <c r="X43" s="1565"/>
      <c r="Y43" s="3376"/>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6"/>
      <c r="Q44" s="1149">
        <f t="shared" si="11"/>
        <v>111</v>
      </c>
      <c r="R44" s="1566" t="s">
        <v>11</v>
      </c>
      <c r="S44" s="1567">
        <f t="shared" si="12"/>
        <v>100</v>
      </c>
      <c r="T44" s="1566" t="s">
        <v>11</v>
      </c>
      <c r="U44" s="1567">
        <f t="shared" si="13"/>
        <v>100</v>
      </c>
      <c r="V44" s="1566" t="s">
        <v>11</v>
      </c>
      <c r="W44" s="1567">
        <f t="shared" si="14"/>
        <v>100</v>
      </c>
      <c r="X44" s="1568"/>
      <c r="Y44" s="3376"/>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6"/>
      <c r="Q45" s="1570">
        <f t="shared" si="11"/>
        <v>111</v>
      </c>
      <c r="R45" s="1571" t="s">
        <v>11</v>
      </c>
      <c r="S45" s="1572">
        <f t="shared" si="12"/>
        <v>100</v>
      </c>
      <c r="T45" s="1571" t="s">
        <v>11</v>
      </c>
      <c r="U45" s="1572">
        <f t="shared" si="13"/>
        <v>100</v>
      </c>
      <c r="V45" s="1571" t="s">
        <v>11</v>
      </c>
      <c r="W45" s="1572">
        <f t="shared" si="14"/>
        <v>100</v>
      </c>
      <c r="X45" s="1565"/>
      <c r="Y45" s="3376"/>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6"/>
      <c r="Q46" s="1570">
        <f t="shared" si="11"/>
        <v>111</v>
      </c>
      <c r="R46" s="1571" t="s">
        <v>10</v>
      </c>
      <c r="S46" s="1572">
        <f t="shared" si="12"/>
        <v>100</v>
      </c>
      <c r="T46" s="1571" t="s">
        <v>10</v>
      </c>
      <c r="U46" s="1572">
        <f t="shared" si="13"/>
        <v>100</v>
      </c>
      <c r="V46" s="1571" t="s">
        <v>10</v>
      </c>
      <c r="W46" s="1572">
        <f t="shared" si="14"/>
        <v>100</v>
      </c>
      <c r="X46" s="1565"/>
      <c r="Y46" s="3476"/>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71" t="str">
        <f>A47</f>
        <v>成交单价（元/平方米）</v>
      </c>
      <c r="Q47" s="3371"/>
      <c r="R47" s="3475">
        <f>E47</f>
        <v>9000</v>
      </c>
      <c r="S47" s="3475"/>
      <c r="T47" s="3475">
        <f>G47</f>
        <v>9000</v>
      </c>
      <c r="U47" s="3475"/>
      <c r="V47" s="3475">
        <f>I47</f>
        <v>10000</v>
      </c>
      <c r="W47" s="3475"/>
      <c r="X47" s="1557"/>
      <c r="Y47" s="1579"/>
      <c r="Z47" s="1557"/>
      <c r="AA47" s="1557"/>
      <c r="AB47" s="1557"/>
      <c r="AC47" s="1557"/>
    </row>
    <row r="48" spans="1:29" ht="15" thickBot="1">
      <c r="A48" s="614" t="s">
        <v>2722</v>
      </c>
      <c r="B48" s="886"/>
      <c r="C48" s="2632">
        <f>R49</f>
        <v>8259</v>
      </c>
      <c r="D48" s="2633"/>
      <c r="E48" s="2634">
        <f>R48</f>
        <v>8399</v>
      </c>
      <c r="F48" s="2634"/>
      <c r="G48" s="2632">
        <f>T48</f>
        <v>7919</v>
      </c>
      <c r="H48" s="2633"/>
      <c r="I48" s="2634">
        <f>V48</f>
        <v>8460</v>
      </c>
      <c r="J48" s="2633"/>
      <c r="K48" s="1605"/>
      <c r="L48" s="2143"/>
      <c r="M48" s="2144"/>
      <c r="N48" s="2144"/>
      <c r="O48" s="2144"/>
      <c r="P48" s="3371" t="str">
        <f>A48</f>
        <v>比较价格（元/平方米）</v>
      </c>
      <c r="Q48" s="3371"/>
      <c r="R48" s="3475">
        <f>IF(F1="售价",ROUND(PRODUCT(R47,AA7:AA46),0),ROUND(PRODUCT(R47,AA7:AA46),1))</f>
        <v>8399</v>
      </c>
      <c r="S48" s="3475"/>
      <c r="T48" s="3475">
        <f>IF(F1="售价",ROUND(PRODUCT(T47,AB7:AB46),0),ROUND(PRODUCT(T47,AB7:AB46),1))</f>
        <v>7919</v>
      </c>
      <c r="U48" s="3475"/>
      <c r="V48" s="3475">
        <f>IF(F1="售价",ROUND(PRODUCT(V47,AC7:AC46),0),ROUND(PRODUCT(V47,AC7:AC46),1))</f>
        <v>8460</v>
      </c>
      <c r="W48" s="3475"/>
      <c r="X48" s="1557"/>
      <c r="Y48" s="1557"/>
      <c r="Z48" s="1557"/>
      <c r="AA48" s="1557"/>
      <c r="AB48" s="1557"/>
      <c r="AC48" s="1557"/>
    </row>
    <row r="49" spans="1:29" ht="15" thickBot="1">
      <c r="A49" s="620" t="s">
        <v>2895</v>
      </c>
      <c r="B49" s="621"/>
      <c r="C49" s="2635">
        <f>R49</f>
        <v>8259</v>
      </c>
      <c r="D49" s="2635"/>
      <c r="E49" s="2635"/>
      <c r="F49" s="2635"/>
      <c r="G49" s="2635"/>
      <c r="H49" s="2635"/>
      <c r="I49" s="2635"/>
      <c r="J49" s="2635"/>
      <c r="K49" s="1606"/>
      <c r="L49" s="2143"/>
      <c r="M49" s="2144"/>
      <c r="N49" s="2144"/>
      <c r="O49" s="2144"/>
      <c r="P49" s="3393" t="str">
        <f>A49</f>
        <v>估价对象XX用房的比较价格（楼面单价，元/平方米）</v>
      </c>
      <c r="Q49" s="3394"/>
      <c r="R49" s="3474">
        <f>IF(F1="售价",ROUND(AVERAGE(R48:V48),0),ROUND(AVERAGE(R48:V48),1))</f>
        <v>8259</v>
      </c>
      <c r="S49" s="3474"/>
      <c r="T49" s="3474"/>
      <c r="U49" s="3474"/>
      <c r="V49" s="3474"/>
      <c r="W49" s="347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f>IF(E47&lt;E48,E48/E47-1,E47/E48-1)</f>
        <v>7.1556137635432782E-2</v>
      </c>
      <c r="F52" s="626" t="str">
        <f>IF(OR(E52&gt;=0.3,E52&lt;=-0.3),"超过30%","")</f>
        <v/>
      </c>
      <c r="G52" s="625">
        <f>IF(G47&lt;G48,G48/G47-1,G47/G48-1)</f>
        <v>0.13650713473923481</v>
      </c>
      <c r="H52" s="626" t="str">
        <f>IF(OR(G52&gt;=0.3,G52&lt;=-0.3),"超过30%","")</f>
        <v/>
      </c>
      <c r="I52" s="625">
        <f>IF(I47&lt;I48,I48/I47-1,I47/I48-1)</f>
        <v>0.18203309692671388</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f>IF(E48&lt;G48,G48/E48-1,E48/G48-1)</f>
        <v>6.0613713852759155E-2</v>
      </c>
      <c r="F53" s="626" t="str">
        <f>IF(OR(E53&gt;=0.2,E53&lt;=-0.2),"超过20%","")</f>
        <v/>
      </c>
      <c r="G53" s="625">
        <f>IF(G48&lt;I48,I48/G48-1,G48/I48-1)</f>
        <v>6.8316706654880655E-2</v>
      </c>
      <c r="H53" s="626" t="str">
        <f>IF(OR(G53&gt;=0.2,G53&lt;=-0.2),"超过20%","")</f>
        <v/>
      </c>
      <c r="I53" s="625">
        <f>IF(I48&lt;E48,E48/I48-1,I48/E48-1)</f>
        <v>7.2627693773068547E-3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3020</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3010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3012</v>
      </c>
      <c r="D107" s="3183" t="s">
        <v>3013</v>
      </c>
      <c r="E107" s="3183" t="s">
        <v>3014</v>
      </c>
      <c r="F107" s="3183" t="s">
        <v>3015</v>
      </c>
      <c r="G107" s="3183" t="s">
        <v>3016</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3005</v>
      </c>
      <c r="D109" s="3182" t="s">
        <v>3006</v>
      </c>
      <c r="E109" s="3182" t="s">
        <v>3007</v>
      </c>
      <c r="F109" s="3183" t="s">
        <v>3009</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3012</v>
      </c>
      <c r="D114" s="3183" t="s">
        <v>3013</v>
      </c>
      <c r="E114" s="3183" t="s">
        <v>3014</v>
      </c>
      <c r="F114" s="3183" t="s">
        <v>3015</v>
      </c>
      <c r="G114" s="3183" t="s">
        <v>3016</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3021</v>
      </c>
      <c r="D116" s="3182" t="s">
        <v>3022</v>
      </c>
      <c r="E116" s="3182" t="s">
        <v>3023</v>
      </c>
      <c r="F116" s="3182" t="s">
        <v>3024</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3018</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3005</v>
      </c>
      <c r="D122" s="3182" t="s">
        <v>3006</v>
      </c>
      <c r="E122" s="3182" t="s">
        <v>3007</v>
      </c>
      <c r="F122" s="3183" t="s">
        <v>3009</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77" t="s">
        <v>487</v>
      </c>
      <c r="D4" s="3378"/>
      <c r="E4" s="3402" t="s">
        <v>488</v>
      </c>
      <c r="F4" s="3403"/>
      <c r="G4" s="3377" t="s">
        <v>489</v>
      </c>
      <c r="H4" s="3378"/>
      <c r="I4" s="3377" t="s">
        <v>490</v>
      </c>
      <c r="J4" s="3378"/>
      <c r="K4" s="513"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85"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85"/>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85"/>
      <c r="AC6" s="3362"/>
    </row>
    <row r="7" spans="1:29" s="1218" customFormat="1" ht="15" thickBot="1">
      <c r="A7" s="2911"/>
      <c r="B7" s="2918" t="s">
        <v>494</v>
      </c>
      <c r="C7" s="518">
        <f>'数据-取费表'!B2</f>
        <v>43416</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3"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3" t="s">
        <v>505</v>
      </c>
      <c r="Q15" s="1570" t="str">
        <f t="shared" si="6"/>
        <v>商业繁华度</v>
      </c>
      <c r="R15" s="1571" t="s">
        <v>8</v>
      </c>
      <c r="S15" s="1572">
        <f t="shared" si="0"/>
        <v>100</v>
      </c>
      <c r="T15" s="1571" t="s">
        <v>8</v>
      </c>
      <c r="U15" s="1572">
        <f t="shared" si="1"/>
        <v>100</v>
      </c>
      <c r="V15" s="1571" t="s">
        <v>8</v>
      </c>
      <c r="W15" s="1572">
        <f t="shared" si="2"/>
        <v>100</v>
      </c>
      <c r="X15" s="1565"/>
      <c r="Y15" s="3373"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4"/>
      <c r="Q16" s="1570"/>
      <c r="R16" s="1571"/>
      <c r="S16" s="1572"/>
      <c r="T16" s="1571"/>
      <c r="U16" s="1572"/>
      <c r="V16" s="1571"/>
      <c r="W16" s="1572"/>
      <c r="X16" s="1565"/>
      <c r="Y16" s="3374"/>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4"/>
      <c r="Q20" s="1570"/>
      <c r="R20" s="1571"/>
      <c r="S20" s="1572"/>
      <c r="T20" s="1571"/>
      <c r="U20" s="1572"/>
      <c r="V20" s="1571"/>
      <c r="W20" s="1572"/>
      <c r="X20" s="1565"/>
      <c r="Y20" s="3374"/>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4"/>
      <c r="Q22" s="2578"/>
      <c r="R22" s="1571"/>
      <c r="S22" s="1572"/>
      <c r="T22" s="1571"/>
      <c r="U22" s="1572"/>
      <c r="V22" s="1571"/>
      <c r="W22" s="1572"/>
      <c r="X22" s="2580"/>
      <c r="Y22" s="3374"/>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4"/>
      <c r="Q23" s="1570" t="str">
        <f>B23</f>
        <v>自然及人文环境</v>
      </c>
      <c r="R23" s="1571" t="s">
        <v>8</v>
      </c>
      <c r="S23" s="1572">
        <f>F23</f>
        <v>100</v>
      </c>
      <c r="T23" s="1571" t="s">
        <v>8</v>
      </c>
      <c r="U23" s="1572">
        <f>H23</f>
        <v>100</v>
      </c>
      <c r="V23" s="1571" t="s">
        <v>8</v>
      </c>
      <c r="W23" s="1572">
        <f>J23</f>
        <v>100</v>
      </c>
      <c r="X23" s="1565"/>
      <c r="Y23" s="3374"/>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4"/>
      <c r="Q25" s="1570" t="str">
        <f t="shared" ref="Q25:Q46" si="11">B25</f>
        <v>临街状况</v>
      </c>
      <c r="R25" s="1571" t="s">
        <v>8</v>
      </c>
      <c r="S25" s="1572">
        <f>F25</f>
        <v>100</v>
      </c>
      <c r="T25" s="1571" t="s">
        <v>8</v>
      </c>
      <c r="U25" s="1572">
        <f>H25</f>
        <v>100</v>
      </c>
      <c r="V25" s="1571" t="s">
        <v>8</v>
      </c>
      <c r="W25" s="1572">
        <f>J25</f>
        <v>100</v>
      </c>
      <c r="X25" s="1565"/>
      <c r="Y25" s="3374"/>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4"/>
      <c r="Q26" s="1570" t="str">
        <f t="shared" si="11"/>
        <v>平面位置/可视性</v>
      </c>
      <c r="R26" s="1571" t="s">
        <v>8</v>
      </c>
      <c r="S26" s="1572">
        <f>F26</f>
        <v>100</v>
      </c>
      <c r="T26" s="1571" t="s">
        <v>8</v>
      </c>
      <c r="U26" s="1572">
        <f>H26</f>
        <v>100</v>
      </c>
      <c r="V26" s="1571" t="s">
        <v>8</v>
      </c>
      <c r="W26" s="1572">
        <f>J26</f>
        <v>100</v>
      </c>
      <c r="X26" s="1565"/>
      <c r="Y26" s="3374"/>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4"/>
      <c r="Q27" s="1149" t="str">
        <f t="shared" si="11"/>
        <v>人流量</v>
      </c>
      <c r="R27" s="1566" t="s">
        <v>8</v>
      </c>
      <c r="S27" s="1567">
        <f>F27</f>
        <v>100</v>
      </c>
      <c r="T27" s="1566" t="s">
        <v>8</v>
      </c>
      <c r="U27" s="1567">
        <f>H27</f>
        <v>100</v>
      </c>
      <c r="V27" s="1566" t="s">
        <v>8</v>
      </c>
      <c r="W27" s="1567">
        <f>J27</f>
        <v>100</v>
      </c>
      <c r="X27" s="1568"/>
      <c r="Y27" s="3374"/>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4"/>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4"/>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4"/>
      <c r="Q29" s="1570">
        <f t="shared" si="11"/>
        <v>111</v>
      </c>
      <c r="R29" s="1571" t="s">
        <v>8</v>
      </c>
      <c r="S29" s="1572">
        <f t="shared" si="12"/>
        <v>100</v>
      </c>
      <c r="T29" s="1571" t="s">
        <v>8</v>
      </c>
      <c r="U29" s="1572">
        <f t="shared" si="13"/>
        <v>100</v>
      </c>
      <c r="V29" s="1571" t="s">
        <v>8</v>
      </c>
      <c r="W29" s="1572">
        <f t="shared" si="14"/>
        <v>100</v>
      </c>
      <c r="X29" s="1565"/>
      <c r="Y29" s="3374"/>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4"/>
      <c r="Q30" s="1570">
        <f t="shared" si="11"/>
        <v>111</v>
      </c>
      <c r="R30" s="1571" t="s">
        <v>8</v>
      </c>
      <c r="S30" s="1572">
        <f t="shared" si="12"/>
        <v>100</v>
      </c>
      <c r="T30" s="1571" t="s">
        <v>8</v>
      </c>
      <c r="U30" s="1572">
        <f t="shared" si="13"/>
        <v>100</v>
      </c>
      <c r="V30" s="1571" t="s">
        <v>8</v>
      </c>
      <c r="W30" s="1572">
        <f t="shared" si="14"/>
        <v>100</v>
      </c>
      <c r="X30" s="1565"/>
      <c r="Y30" s="3374"/>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4"/>
      <c r="Q31" s="1570">
        <f t="shared" si="11"/>
        <v>111</v>
      </c>
      <c r="R31" s="1571" t="s">
        <v>8</v>
      </c>
      <c r="S31" s="1572">
        <f t="shared" si="12"/>
        <v>100</v>
      </c>
      <c r="T31" s="1571" t="s">
        <v>8</v>
      </c>
      <c r="U31" s="1572">
        <f t="shared" si="13"/>
        <v>100</v>
      </c>
      <c r="V31" s="1571" t="s">
        <v>8</v>
      </c>
      <c r="W31" s="1572">
        <f t="shared" si="14"/>
        <v>100</v>
      </c>
      <c r="X31" s="1565"/>
      <c r="Y31" s="3374"/>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5" t="s">
        <v>515</v>
      </c>
      <c r="Q32" s="1570" t="str">
        <f t="shared" si="11"/>
        <v>商业类型</v>
      </c>
      <c r="R32" s="1571" t="s">
        <v>8</v>
      </c>
      <c r="S32" s="1572">
        <f t="shared" si="12"/>
        <v>100</v>
      </c>
      <c r="T32" s="1571" t="s">
        <v>8</v>
      </c>
      <c r="U32" s="1572">
        <f t="shared" si="13"/>
        <v>100</v>
      </c>
      <c r="V32" s="1571" t="s">
        <v>8</v>
      </c>
      <c r="W32" s="1572">
        <f t="shared" si="14"/>
        <v>100</v>
      </c>
      <c r="X32" s="1565"/>
      <c r="Y32" s="3376"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6"/>
      <c r="Q33" s="1603" t="str">
        <f t="shared" si="11"/>
        <v>项目建筑规模</v>
      </c>
      <c r="R33" s="1575" t="s">
        <v>8</v>
      </c>
      <c r="S33" s="1576" t="e">
        <f t="shared" si="12"/>
        <v>#N/A</v>
      </c>
      <c r="T33" s="1575" t="s">
        <v>8</v>
      </c>
      <c r="U33" s="1576" t="e">
        <f t="shared" si="13"/>
        <v>#N/A</v>
      </c>
      <c r="V33" s="1575" t="s">
        <v>8</v>
      </c>
      <c r="W33" s="1576" t="e">
        <f t="shared" si="14"/>
        <v>#N/A</v>
      </c>
      <c r="X33" s="1577"/>
      <c r="Y33" s="3376"/>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6"/>
      <c r="Q34" s="1570" t="str">
        <f t="shared" si="11"/>
        <v>建筑结构</v>
      </c>
      <c r="R34" s="1571" t="s">
        <v>8</v>
      </c>
      <c r="S34" s="1572">
        <f t="shared" si="12"/>
        <v>100</v>
      </c>
      <c r="T34" s="1571" t="s">
        <v>8</v>
      </c>
      <c r="U34" s="1572">
        <f t="shared" si="13"/>
        <v>100</v>
      </c>
      <c r="V34" s="1571" t="s">
        <v>8</v>
      </c>
      <c r="W34" s="1572">
        <f t="shared" si="14"/>
        <v>100</v>
      </c>
      <c r="X34" s="1565"/>
      <c r="Y34" s="3376"/>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6"/>
      <c r="Q35" s="1570" t="str">
        <f t="shared" si="11"/>
        <v>公共部分装修</v>
      </c>
      <c r="R35" s="1571" t="s">
        <v>8</v>
      </c>
      <c r="S35" s="1572">
        <f t="shared" si="12"/>
        <v>100</v>
      </c>
      <c r="T35" s="1571" t="s">
        <v>8</v>
      </c>
      <c r="U35" s="1572">
        <f t="shared" si="13"/>
        <v>100</v>
      </c>
      <c r="V35" s="1571" t="s">
        <v>8</v>
      </c>
      <c r="W35" s="1572">
        <f t="shared" si="14"/>
        <v>100</v>
      </c>
      <c r="X35" s="1565"/>
      <c r="Y35" s="3376"/>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6"/>
      <c r="Q36" s="1570" t="str">
        <f t="shared" si="11"/>
        <v>成新度</v>
      </c>
      <c r="R36" s="1571" t="s">
        <v>8</v>
      </c>
      <c r="S36" s="1572" t="e">
        <f t="shared" si="12"/>
        <v>#N/A</v>
      </c>
      <c r="T36" s="1571" t="s">
        <v>8</v>
      </c>
      <c r="U36" s="1572" t="e">
        <f t="shared" si="13"/>
        <v>#N/A</v>
      </c>
      <c r="V36" s="1571" t="s">
        <v>8</v>
      </c>
      <c r="W36" s="1572" t="e">
        <f t="shared" si="14"/>
        <v>#N/A</v>
      </c>
      <c r="X36" s="1565"/>
      <c r="Y36" s="3376"/>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6"/>
      <c r="Q37" s="1149" t="str">
        <f t="shared" si="11"/>
        <v>市政基础设施</v>
      </c>
      <c r="R37" s="1566" t="s">
        <v>8</v>
      </c>
      <c r="S37" s="1567">
        <f t="shared" si="12"/>
        <v>100</v>
      </c>
      <c r="T37" s="1566" t="s">
        <v>8</v>
      </c>
      <c r="U37" s="1567">
        <f t="shared" si="13"/>
        <v>100</v>
      </c>
      <c r="V37" s="1566" t="s">
        <v>8</v>
      </c>
      <c r="W37" s="1567">
        <f t="shared" si="14"/>
        <v>100</v>
      </c>
      <c r="X37" s="1568"/>
      <c r="Y37" s="3376"/>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6" t="s">
        <v>731</v>
      </c>
      <c r="Q38" s="1570" t="str">
        <f t="shared" si="11"/>
        <v>业态</v>
      </c>
      <c r="R38" s="1571" t="s">
        <v>8</v>
      </c>
      <c r="S38" s="1572">
        <f t="shared" si="12"/>
        <v>100</v>
      </c>
      <c r="T38" s="1571" t="s">
        <v>8</v>
      </c>
      <c r="U38" s="1572">
        <f t="shared" si="13"/>
        <v>100</v>
      </c>
      <c r="V38" s="1571" t="s">
        <v>8</v>
      </c>
      <c r="W38" s="1572">
        <f t="shared" si="14"/>
        <v>100</v>
      </c>
      <c r="X38" s="1565"/>
      <c r="Y38" s="3376"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6"/>
      <c r="Q39" s="1570" t="str">
        <f t="shared" si="11"/>
        <v>层高</v>
      </c>
      <c r="R39" s="1571" t="s">
        <v>8</v>
      </c>
      <c r="S39" s="1572">
        <f t="shared" si="12"/>
        <v>100</v>
      </c>
      <c r="T39" s="1571" t="s">
        <v>8</v>
      </c>
      <c r="U39" s="1572">
        <f t="shared" si="13"/>
        <v>100</v>
      </c>
      <c r="V39" s="1571" t="s">
        <v>8</v>
      </c>
      <c r="W39" s="1572">
        <f t="shared" si="14"/>
        <v>100</v>
      </c>
      <c r="X39" s="1565"/>
      <c r="Y39" s="3376"/>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6"/>
      <c r="Q40" s="1570" t="str">
        <f t="shared" si="11"/>
        <v>单套建筑面积</v>
      </c>
      <c r="R40" s="1571" t="s">
        <v>8</v>
      </c>
      <c r="S40" s="1572">
        <f t="shared" si="12"/>
        <v>100</v>
      </c>
      <c r="T40" s="1571" t="s">
        <v>8</v>
      </c>
      <c r="U40" s="1572">
        <f t="shared" si="13"/>
        <v>100</v>
      </c>
      <c r="V40" s="1571" t="s">
        <v>8</v>
      </c>
      <c r="W40" s="1572">
        <f t="shared" si="14"/>
        <v>100</v>
      </c>
      <c r="X40" s="1565"/>
      <c r="Y40" s="3376"/>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6"/>
      <c r="Q41" s="1603" t="str">
        <f t="shared" si="11"/>
        <v>进深比</v>
      </c>
      <c r="R41" s="1575" t="s">
        <v>8</v>
      </c>
      <c r="S41" s="1576">
        <f t="shared" si="12"/>
        <v>100</v>
      </c>
      <c r="T41" s="1575" t="s">
        <v>8</v>
      </c>
      <c r="U41" s="1576">
        <f t="shared" si="13"/>
        <v>100</v>
      </c>
      <c r="V41" s="1575" t="s">
        <v>8</v>
      </c>
      <c r="W41" s="1576">
        <f t="shared" si="14"/>
        <v>100</v>
      </c>
      <c r="X41" s="1577"/>
      <c r="Y41" s="3376"/>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6"/>
      <c r="Q42" s="1570" t="str">
        <f t="shared" si="11"/>
        <v>内部装修</v>
      </c>
      <c r="R42" s="1571" t="s">
        <v>8</v>
      </c>
      <c r="S42" s="1572">
        <f t="shared" si="12"/>
        <v>100</v>
      </c>
      <c r="T42" s="1571" t="s">
        <v>8</v>
      </c>
      <c r="U42" s="1572">
        <f t="shared" si="13"/>
        <v>100</v>
      </c>
      <c r="V42" s="1571" t="s">
        <v>8</v>
      </c>
      <c r="W42" s="1572">
        <f t="shared" si="14"/>
        <v>100</v>
      </c>
      <c r="X42" s="1565"/>
      <c r="Y42" s="3376"/>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6"/>
      <c r="Q43" s="1570" t="str">
        <f t="shared" si="11"/>
        <v>内部装修维护情况</v>
      </c>
      <c r="R43" s="1571" t="s">
        <v>8</v>
      </c>
      <c r="S43" s="1572">
        <f t="shared" si="12"/>
        <v>100</v>
      </c>
      <c r="T43" s="1571" t="s">
        <v>8</v>
      </c>
      <c r="U43" s="1572">
        <f t="shared" si="13"/>
        <v>100</v>
      </c>
      <c r="V43" s="1571" t="s">
        <v>8</v>
      </c>
      <c r="W43" s="1572">
        <f t="shared" si="14"/>
        <v>100</v>
      </c>
      <c r="X43" s="1565"/>
      <c r="Y43" s="3376"/>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6"/>
      <c r="Q44" s="1149">
        <f t="shared" si="11"/>
        <v>111</v>
      </c>
      <c r="R44" s="1566" t="s">
        <v>8</v>
      </c>
      <c r="S44" s="1567">
        <f t="shared" si="12"/>
        <v>100</v>
      </c>
      <c r="T44" s="1566" t="s">
        <v>8</v>
      </c>
      <c r="U44" s="1567">
        <f t="shared" si="13"/>
        <v>100</v>
      </c>
      <c r="V44" s="1566" t="s">
        <v>8</v>
      </c>
      <c r="W44" s="1567">
        <f t="shared" si="14"/>
        <v>100</v>
      </c>
      <c r="X44" s="1568"/>
      <c r="Y44" s="3376"/>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6"/>
      <c r="Q45" s="1570">
        <f t="shared" si="11"/>
        <v>111</v>
      </c>
      <c r="R45" s="1571" t="s">
        <v>8</v>
      </c>
      <c r="S45" s="1572">
        <f t="shared" si="12"/>
        <v>100</v>
      </c>
      <c r="T45" s="1571" t="s">
        <v>8</v>
      </c>
      <c r="U45" s="1572">
        <f t="shared" si="13"/>
        <v>100</v>
      </c>
      <c r="V45" s="1571" t="s">
        <v>8</v>
      </c>
      <c r="W45" s="1572">
        <f t="shared" si="14"/>
        <v>100</v>
      </c>
      <c r="X45" s="1565"/>
      <c r="Y45" s="3376"/>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6"/>
      <c r="Q46" s="1570">
        <f t="shared" si="11"/>
        <v>111</v>
      </c>
      <c r="R46" s="1571" t="s">
        <v>8</v>
      </c>
      <c r="S46" s="1572">
        <f t="shared" si="12"/>
        <v>100</v>
      </c>
      <c r="T46" s="1571" t="s">
        <v>8</v>
      </c>
      <c r="U46" s="1572">
        <f t="shared" si="13"/>
        <v>100</v>
      </c>
      <c r="V46" s="1571" t="s">
        <v>8</v>
      </c>
      <c r="W46" s="1572">
        <f t="shared" si="14"/>
        <v>100</v>
      </c>
      <c r="X46" s="1565"/>
      <c r="Y46" s="3476"/>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71" t="str">
        <f>A47</f>
        <v>成交单价（元/平方米）</v>
      </c>
      <c r="Q47" s="3371"/>
      <c r="R47" s="3475">
        <f>E47</f>
        <v>0</v>
      </c>
      <c r="S47" s="3475"/>
      <c r="T47" s="3475">
        <f>G47</f>
        <v>0</v>
      </c>
      <c r="U47" s="3475"/>
      <c r="V47" s="3475">
        <f>I47</f>
        <v>0</v>
      </c>
      <c r="W47" s="3475"/>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93" t="str">
        <f>A49</f>
        <v>估价对象XX用房的比较价格（楼面单价，元/平方米）</v>
      </c>
      <c r="Q49" s="3394"/>
      <c r="R49" s="3474" t="e">
        <f>IF(F1="售价",ROUND(AVERAGE(R48:V48),0),ROUND(AVERAGE(R48:V48),1))</f>
        <v>#DIV/0!</v>
      </c>
      <c r="S49" s="3474"/>
      <c r="T49" s="3474"/>
      <c r="U49" s="3474"/>
      <c r="V49" s="3474"/>
      <c r="W49" s="347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77" t="s">
        <v>487</v>
      </c>
      <c r="D4" s="3378"/>
      <c r="E4" s="3402" t="s">
        <v>488</v>
      </c>
      <c r="F4" s="3403"/>
      <c r="G4" s="3377" t="s">
        <v>489</v>
      </c>
      <c r="H4" s="3378"/>
      <c r="I4" s="3377" t="s">
        <v>490</v>
      </c>
      <c r="J4" s="3378"/>
      <c r="K4" s="513" t="s">
        <v>491</v>
      </c>
      <c r="L4" s="2132"/>
      <c r="M4" s="2133"/>
      <c r="N4" s="2133"/>
      <c r="O4" s="2133"/>
      <c r="P4" s="3477" t="s">
        <v>492</v>
      </c>
      <c r="Q4" s="3380"/>
      <c r="R4" s="3365" t="s">
        <v>488</v>
      </c>
      <c r="S4" s="3366"/>
      <c r="T4" s="3365" t="s">
        <v>489</v>
      </c>
      <c r="U4" s="3366"/>
      <c r="V4" s="3385" t="s">
        <v>490</v>
      </c>
      <c r="W4" s="3385"/>
      <c r="X4" s="1565"/>
      <c r="Y4" s="3365" t="s">
        <v>492</v>
      </c>
      <c r="Z4" s="3366"/>
      <c r="AA4" s="3360" t="s">
        <v>488</v>
      </c>
      <c r="AB4" s="3360"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478"/>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479"/>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2"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2" t="s">
        <v>498</v>
      </c>
      <c r="Q8" s="3364"/>
      <c r="R8" s="1566" t="s">
        <v>8</v>
      </c>
      <c r="S8" s="1567">
        <f t="shared" si="0"/>
        <v>0</v>
      </c>
      <c r="T8" s="1566" t="s">
        <v>8</v>
      </c>
      <c r="U8" s="1567">
        <f t="shared" si="1"/>
        <v>0</v>
      </c>
      <c r="V8" s="1566" t="s">
        <v>8</v>
      </c>
      <c r="W8" s="1567">
        <f t="shared" si="2"/>
        <v>0</v>
      </c>
      <c r="X8" s="1568"/>
      <c r="Y8" s="3363" t="s">
        <v>498</v>
      </c>
      <c r="Z8" s="3364"/>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3" t="s">
        <v>505</v>
      </c>
      <c r="Q15" s="1570" t="str">
        <f t="shared" si="6"/>
        <v>办公集聚程度</v>
      </c>
      <c r="R15" s="1571" t="s">
        <v>8</v>
      </c>
      <c r="S15" s="1572">
        <f t="shared" si="0"/>
        <v>100</v>
      </c>
      <c r="T15" s="1571" t="s">
        <v>8</v>
      </c>
      <c r="U15" s="1572">
        <f t="shared" si="1"/>
        <v>100</v>
      </c>
      <c r="V15" s="1571" t="s">
        <v>8</v>
      </c>
      <c r="W15" s="1572">
        <f t="shared" si="2"/>
        <v>100</v>
      </c>
      <c r="X15" s="1565"/>
      <c r="Y15" s="3373"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4"/>
      <c r="Q16" s="1570"/>
      <c r="R16" s="1571"/>
      <c r="S16" s="1572"/>
      <c r="T16" s="1571"/>
      <c r="U16" s="1572"/>
      <c r="V16" s="1571"/>
      <c r="W16" s="1572"/>
      <c r="X16" s="1565"/>
      <c r="Y16" s="3374"/>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4"/>
      <c r="Q18" s="1570"/>
      <c r="R18" s="1571"/>
      <c r="S18" s="1572"/>
      <c r="T18" s="1571"/>
      <c r="U18" s="1572"/>
      <c r="V18" s="1571"/>
      <c r="W18" s="1572"/>
      <c r="X18" s="1565"/>
      <c r="Y18" s="3374"/>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4"/>
      <c r="Q20" s="1570"/>
      <c r="R20" s="1571"/>
      <c r="S20" s="1572"/>
      <c r="T20" s="1571"/>
      <c r="U20" s="1572"/>
      <c r="V20" s="1571"/>
      <c r="W20" s="1572"/>
      <c r="X20" s="1565"/>
      <c r="Y20" s="3374"/>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4"/>
      <c r="Q22" s="2578"/>
      <c r="R22" s="1571"/>
      <c r="S22" s="1572"/>
      <c r="T22" s="1571"/>
      <c r="U22" s="1572"/>
      <c r="V22" s="1571"/>
      <c r="W22" s="1572"/>
      <c r="X22" s="2580"/>
      <c r="Y22" s="3374"/>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4"/>
      <c r="Q23" s="1570" t="str">
        <f>B23</f>
        <v>环境质量</v>
      </c>
      <c r="R23" s="1571" t="s">
        <v>8</v>
      </c>
      <c r="S23" s="1572">
        <f>F23</f>
        <v>100</v>
      </c>
      <c r="T23" s="1571" t="s">
        <v>8</v>
      </c>
      <c r="U23" s="1572">
        <f>H23</f>
        <v>100</v>
      </c>
      <c r="V23" s="1571" t="s">
        <v>8</v>
      </c>
      <c r="W23" s="1572">
        <f>J23</f>
        <v>100</v>
      </c>
      <c r="X23" s="1565"/>
      <c r="Y23" s="3374"/>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4"/>
      <c r="Q24" s="1570"/>
      <c r="R24" s="1571"/>
      <c r="S24" s="1572"/>
      <c r="T24" s="1571"/>
      <c r="U24" s="1572"/>
      <c r="V24" s="1571"/>
      <c r="W24" s="1572"/>
      <c r="X24" s="1565"/>
      <c r="Y24" s="3374"/>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4"/>
      <c r="Q25" s="1570" t="str">
        <f>B25</f>
        <v>毗邻道路的类型与等级</v>
      </c>
      <c r="R25" s="1571" t="s">
        <v>8</v>
      </c>
      <c r="S25" s="1572">
        <f>F25</f>
        <v>100</v>
      </c>
      <c r="T25" s="1571" t="s">
        <v>8</v>
      </c>
      <c r="U25" s="1572">
        <f>H25</f>
        <v>100</v>
      </c>
      <c r="V25" s="1571" t="s">
        <v>8</v>
      </c>
      <c r="W25" s="1572">
        <f>J25</f>
        <v>100</v>
      </c>
      <c r="X25" s="1565"/>
      <c r="Y25" s="3374"/>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4"/>
      <c r="Q26" s="1570"/>
      <c r="R26" s="1571"/>
      <c r="S26" s="1572"/>
      <c r="T26" s="1571"/>
      <c r="U26" s="1572"/>
      <c r="V26" s="1571"/>
      <c r="W26" s="1572"/>
      <c r="X26" s="1565"/>
      <c r="Y26" s="3374"/>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4"/>
      <c r="Q27" s="1570" t="str">
        <f t="shared" ref="Q27:Q47" si="11">B27</f>
        <v>楼层</v>
      </c>
      <c r="R27" s="1571" t="s">
        <v>8</v>
      </c>
      <c r="S27" s="1572">
        <f>F27</f>
        <v>100</v>
      </c>
      <c r="T27" s="1571" t="s">
        <v>8</v>
      </c>
      <c r="U27" s="1572">
        <f>H27</f>
        <v>100</v>
      </c>
      <c r="V27" s="1571" t="s">
        <v>8</v>
      </c>
      <c r="W27" s="1572">
        <f>J27</f>
        <v>100</v>
      </c>
      <c r="X27" s="1565"/>
      <c r="Y27" s="3374"/>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4"/>
      <c r="Q28" s="1149" t="str">
        <f t="shared" si="11"/>
        <v>朝向</v>
      </c>
      <c r="R28" s="1566" t="s">
        <v>8</v>
      </c>
      <c r="S28" s="1567">
        <f>F28</f>
        <v>100</v>
      </c>
      <c r="T28" s="1566" t="s">
        <v>8</v>
      </c>
      <c r="U28" s="1567">
        <f>H28</f>
        <v>100</v>
      </c>
      <c r="V28" s="1566" t="s">
        <v>8</v>
      </c>
      <c r="W28" s="1567">
        <f>J28</f>
        <v>100</v>
      </c>
      <c r="X28" s="1568"/>
      <c r="Y28" s="3374"/>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4"/>
      <c r="Q29" s="1570">
        <f t="shared" si="11"/>
        <v>111</v>
      </c>
      <c r="R29" s="1571" t="s">
        <v>8</v>
      </c>
      <c r="S29" s="1572">
        <f t="shared" ref="S29:S47" si="12">F29</f>
        <v>100</v>
      </c>
      <c r="T29" s="1571" t="s">
        <v>8</v>
      </c>
      <c r="U29" s="1572">
        <f t="shared" ref="U29:U47" si="13">H29</f>
        <v>100</v>
      </c>
      <c r="V29" s="1571" t="s">
        <v>8</v>
      </c>
      <c r="W29" s="1572">
        <f t="shared" ref="W29:W47" si="14">J29</f>
        <v>100</v>
      </c>
      <c r="X29" s="1565"/>
      <c r="Y29" s="3374"/>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4"/>
      <c r="Q30" s="1570">
        <f t="shared" si="11"/>
        <v>111</v>
      </c>
      <c r="R30" s="1571" t="s">
        <v>8</v>
      </c>
      <c r="S30" s="1572">
        <f t="shared" si="12"/>
        <v>100</v>
      </c>
      <c r="T30" s="1571" t="s">
        <v>8</v>
      </c>
      <c r="U30" s="1572">
        <f t="shared" si="13"/>
        <v>100</v>
      </c>
      <c r="V30" s="1571" t="s">
        <v>8</v>
      </c>
      <c r="W30" s="1572">
        <f t="shared" si="14"/>
        <v>100</v>
      </c>
      <c r="X30" s="1565"/>
      <c r="Y30" s="3374"/>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4"/>
      <c r="Q31" s="1570">
        <f t="shared" si="11"/>
        <v>111</v>
      </c>
      <c r="R31" s="1571" t="s">
        <v>8</v>
      </c>
      <c r="S31" s="1572">
        <f t="shared" si="12"/>
        <v>100</v>
      </c>
      <c r="T31" s="1571" t="s">
        <v>8</v>
      </c>
      <c r="U31" s="1572">
        <f t="shared" si="13"/>
        <v>100</v>
      </c>
      <c r="V31" s="1571" t="s">
        <v>8</v>
      </c>
      <c r="W31" s="1572">
        <f t="shared" si="14"/>
        <v>100</v>
      </c>
      <c r="X31" s="1565"/>
      <c r="Y31" s="3374"/>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4"/>
      <c r="Q32" s="1570">
        <f t="shared" si="11"/>
        <v>111</v>
      </c>
      <c r="R32" s="1571" t="s">
        <v>8</v>
      </c>
      <c r="S32" s="1572">
        <f t="shared" si="12"/>
        <v>100</v>
      </c>
      <c r="T32" s="1571" t="s">
        <v>8</v>
      </c>
      <c r="U32" s="1572">
        <f t="shared" si="13"/>
        <v>100</v>
      </c>
      <c r="V32" s="1571" t="s">
        <v>8</v>
      </c>
      <c r="W32" s="1572">
        <f t="shared" si="14"/>
        <v>100</v>
      </c>
      <c r="X32" s="1565"/>
      <c r="Y32" s="3374"/>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5" t="s">
        <v>515</v>
      </c>
      <c r="Q33" s="1570" t="str">
        <f t="shared" si="11"/>
        <v>建筑类型</v>
      </c>
      <c r="R33" s="1571" t="s">
        <v>8</v>
      </c>
      <c r="S33" s="1572">
        <f t="shared" si="12"/>
        <v>100</v>
      </c>
      <c r="T33" s="1571" t="s">
        <v>8</v>
      </c>
      <c r="U33" s="1572">
        <f t="shared" si="13"/>
        <v>100</v>
      </c>
      <c r="V33" s="1571" t="s">
        <v>8</v>
      </c>
      <c r="W33" s="1572">
        <f t="shared" si="14"/>
        <v>100</v>
      </c>
      <c r="X33" s="1565"/>
      <c r="Y33" s="3376"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6"/>
      <c r="Q34" s="1603" t="str">
        <f t="shared" si="11"/>
        <v>项目建筑规模</v>
      </c>
      <c r="R34" s="1575" t="s">
        <v>8</v>
      </c>
      <c r="S34" s="1576" t="e">
        <f t="shared" si="12"/>
        <v>#N/A</v>
      </c>
      <c r="T34" s="1575" t="s">
        <v>8</v>
      </c>
      <c r="U34" s="1576" t="e">
        <f t="shared" si="13"/>
        <v>#N/A</v>
      </c>
      <c r="V34" s="1575" t="s">
        <v>8</v>
      </c>
      <c r="W34" s="1576" t="e">
        <f t="shared" si="14"/>
        <v>#N/A</v>
      </c>
      <c r="X34" s="1577"/>
      <c r="Y34" s="3376"/>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6"/>
      <c r="Q35" s="1570" t="str">
        <f t="shared" si="11"/>
        <v>建筑结构</v>
      </c>
      <c r="R35" s="1571" t="s">
        <v>8</v>
      </c>
      <c r="S35" s="1572">
        <f t="shared" si="12"/>
        <v>100</v>
      </c>
      <c r="T35" s="1571" t="s">
        <v>8</v>
      </c>
      <c r="U35" s="1572">
        <f t="shared" si="13"/>
        <v>100</v>
      </c>
      <c r="V35" s="1571" t="s">
        <v>8</v>
      </c>
      <c r="W35" s="1572">
        <f t="shared" si="14"/>
        <v>100</v>
      </c>
      <c r="X35" s="1565"/>
      <c r="Y35" s="3376"/>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6"/>
      <c r="Q36" s="1570" t="str">
        <f t="shared" si="11"/>
        <v>公共部分装修</v>
      </c>
      <c r="R36" s="1571" t="s">
        <v>8</v>
      </c>
      <c r="S36" s="1572">
        <f t="shared" si="12"/>
        <v>100</v>
      </c>
      <c r="T36" s="1571" t="s">
        <v>8</v>
      </c>
      <c r="U36" s="1572">
        <f t="shared" si="13"/>
        <v>100</v>
      </c>
      <c r="V36" s="1571" t="s">
        <v>8</v>
      </c>
      <c r="W36" s="1572">
        <f t="shared" si="14"/>
        <v>100</v>
      </c>
      <c r="X36" s="1565"/>
      <c r="Y36" s="3376"/>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6"/>
      <c r="Q37" s="1570" t="str">
        <f t="shared" si="11"/>
        <v>成新度</v>
      </c>
      <c r="R37" s="1571" t="s">
        <v>8</v>
      </c>
      <c r="S37" s="1572" t="e">
        <f t="shared" si="12"/>
        <v>#N/A</v>
      </c>
      <c r="T37" s="1571" t="s">
        <v>8</v>
      </c>
      <c r="U37" s="1572" t="e">
        <f t="shared" si="13"/>
        <v>#N/A</v>
      </c>
      <c r="V37" s="1571" t="s">
        <v>8</v>
      </c>
      <c r="W37" s="1572" t="e">
        <f t="shared" si="14"/>
        <v>#N/A</v>
      </c>
      <c r="X37" s="1565"/>
      <c r="Y37" s="3376"/>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6"/>
      <c r="Q38" s="1149" t="str">
        <f t="shared" si="11"/>
        <v>写字楼等级</v>
      </c>
      <c r="R38" s="1566" t="s">
        <v>8</v>
      </c>
      <c r="S38" s="1567">
        <f t="shared" si="12"/>
        <v>100</v>
      </c>
      <c r="T38" s="1566" t="s">
        <v>8</v>
      </c>
      <c r="U38" s="1567">
        <f t="shared" si="13"/>
        <v>100</v>
      </c>
      <c r="V38" s="1566" t="s">
        <v>8</v>
      </c>
      <c r="W38" s="1567">
        <f t="shared" si="14"/>
        <v>100</v>
      </c>
      <c r="X38" s="1568"/>
      <c r="Y38" s="3376"/>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6" t="s">
        <v>515</v>
      </c>
      <c r="Q39" s="1570" t="str">
        <f t="shared" si="11"/>
        <v>物业管理</v>
      </c>
      <c r="R39" s="1571" t="s">
        <v>8</v>
      </c>
      <c r="S39" s="1572">
        <f t="shared" si="12"/>
        <v>100</v>
      </c>
      <c r="T39" s="1571" t="s">
        <v>8</v>
      </c>
      <c r="U39" s="1572">
        <f t="shared" si="13"/>
        <v>100</v>
      </c>
      <c r="V39" s="1571" t="s">
        <v>8</v>
      </c>
      <c r="W39" s="1572">
        <f t="shared" si="14"/>
        <v>100</v>
      </c>
      <c r="X39" s="1565"/>
      <c r="Y39" s="3376"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6"/>
      <c r="Q40" s="1570" t="str">
        <f t="shared" si="11"/>
        <v>市政基础设施</v>
      </c>
      <c r="R40" s="1571" t="s">
        <v>8</v>
      </c>
      <c r="S40" s="1572">
        <f t="shared" si="12"/>
        <v>100</v>
      </c>
      <c r="T40" s="1571" t="s">
        <v>8</v>
      </c>
      <c r="U40" s="1572">
        <f t="shared" si="13"/>
        <v>100</v>
      </c>
      <c r="V40" s="1571" t="s">
        <v>8</v>
      </c>
      <c r="W40" s="1572">
        <f t="shared" si="14"/>
        <v>100</v>
      </c>
      <c r="X40" s="1565"/>
      <c r="Y40" s="3376"/>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6"/>
      <c r="Q41" s="1570" t="str">
        <f t="shared" si="11"/>
        <v>层高</v>
      </c>
      <c r="R41" s="1571" t="s">
        <v>8</v>
      </c>
      <c r="S41" s="1572">
        <f t="shared" si="12"/>
        <v>100</v>
      </c>
      <c r="T41" s="1571" t="s">
        <v>8</v>
      </c>
      <c r="U41" s="1572">
        <f t="shared" si="13"/>
        <v>100</v>
      </c>
      <c r="V41" s="1571" t="s">
        <v>8</v>
      </c>
      <c r="W41" s="1572">
        <f t="shared" si="14"/>
        <v>100</v>
      </c>
      <c r="X41" s="1565"/>
      <c r="Y41" s="3376"/>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6"/>
      <c r="Q42" s="1603" t="str">
        <f t="shared" si="11"/>
        <v>单套建筑面积</v>
      </c>
      <c r="R42" s="1575" t="s">
        <v>8</v>
      </c>
      <c r="S42" s="1576">
        <f t="shared" si="12"/>
        <v>100</v>
      </c>
      <c r="T42" s="1575" t="s">
        <v>8</v>
      </c>
      <c r="U42" s="1576">
        <f t="shared" si="13"/>
        <v>100</v>
      </c>
      <c r="V42" s="1575" t="s">
        <v>8</v>
      </c>
      <c r="W42" s="1576">
        <f t="shared" si="14"/>
        <v>100</v>
      </c>
      <c r="X42" s="1577"/>
      <c r="Y42" s="3376"/>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6"/>
      <c r="Q43" s="1570" t="str">
        <f t="shared" si="11"/>
        <v>内部装修</v>
      </c>
      <c r="R43" s="1571" t="s">
        <v>8</v>
      </c>
      <c r="S43" s="1572">
        <f t="shared" si="12"/>
        <v>100</v>
      </c>
      <c r="T43" s="1571" t="s">
        <v>8</v>
      </c>
      <c r="U43" s="1572">
        <f t="shared" si="13"/>
        <v>100</v>
      </c>
      <c r="V43" s="1571" t="s">
        <v>8</v>
      </c>
      <c r="W43" s="1572">
        <f t="shared" si="14"/>
        <v>100</v>
      </c>
      <c r="X43" s="1565"/>
      <c r="Y43" s="3376"/>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6"/>
      <c r="Q44" s="1570" t="str">
        <f t="shared" si="11"/>
        <v>内部装修维护情况</v>
      </c>
      <c r="R44" s="1571" t="s">
        <v>8</v>
      </c>
      <c r="S44" s="1572">
        <f t="shared" si="12"/>
        <v>100</v>
      </c>
      <c r="T44" s="1571" t="s">
        <v>8</v>
      </c>
      <c r="U44" s="1572">
        <f t="shared" si="13"/>
        <v>100</v>
      </c>
      <c r="V44" s="1571" t="s">
        <v>8</v>
      </c>
      <c r="W44" s="1572">
        <f t="shared" si="14"/>
        <v>100</v>
      </c>
      <c r="X44" s="1565"/>
      <c r="Y44" s="3376"/>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6"/>
      <c r="Q45" s="1149">
        <f t="shared" si="11"/>
        <v>111</v>
      </c>
      <c r="R45" s="1566" t="s">
        <v>8</v>
      </c>
      <c r="S45" s="1567">
        <f t="shared" si="12"/>
        <v>100</v>
      </c>
      <c r="T45" s="1566" t="s">
        <v>8</v>
      </c>
      <c r="U45" s="1567">
        <f t="shared" si="13"/>
        <v>100</v>
      </c>
      <c r="V45" s="1566" t="s">
        <v>8</v>
      </c>
      <c r="W45" s="1567">
        <f t="shared" si="14"/>
        <v>100</v>
      </c>
      <c r="X45" s="1568"/>
      <c r="Y45" s="3376"/>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6"/>
      <c r="Q46" s="1570">
        <f t="shared" si="11"/>
        <v>111</v>
      </c>
      <c r="R46" s="1571" t="s">
        <v>8</v>
      </c>
      <c r="S46" s="1572">
        <f t="shared" si="12"/>
        <v>100</v>
      </c>
      <c r="T46" s="1571" t="s">
        <v>8</v>
      </c>
      <c r="U46" s="1572">
        <f t="shared" si="13"/>
        <v>100</v>
      </c>
      <c r="V46" s="1571" t="s">
        <v>8</v>
      </c>
      <c r="W46" s="1572">
        <f t="shared" si="14"/>
        <v>100</v>
      </c>
      <c r="X46" s="1565"/>
      <c r="Y46" s="3376"/>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6"/>
      <c r="Q47" s="1570">
        <f t="shared" si="11"/>
        <v>111</v>
      </c>
      <c r="R47" s="1571" t="s">
        <v>8</v>
      </c>
      <c r="S47" s="1572">
        <f t="shared" si="12"/>
        <v>100</v>
      </c>
      <c r="T47" s="1571" t="s">
        <v>8</v>
      </c>
      <c r="U47" s="1572">
        <f t="shared" si="13"/>
        <v>100</v>
      </c>
      <c r="V47" s="1571" t="s">
        <v>8</v>
      </c>
      <c r="W47" s="1572">
        <f t="shared" si="14"/>
        <v>100</v>
      </c>
      <c r="X47" s="1565"/>
      <c r="Y47" s="3476"/>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94" t="str">
        <f>A48</f>
        <v>成交单价（元/平方米）</v>
      </c>
      <c r="Q48" s="3371"/>
      <c r="R48" s="3475">
        <f>E48</f>
        <v>0</v>
      </c>
      <c r="S48" s="3475"/>
      <c r="T48" s="3475">
        <f>G48</f>
        <v>0</v>
      </c>
      <c r="U48" s="3475"/>
      <c r="V48" s="3475">
        <f>I48</f>
        <v>0</v>
      </c>
      <c r="W48" s="3475"/>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4"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80" t="str">
        <f>A50</f>
        <v>估价对象XX用房的比较价格（楼面单价，元/平方米）</v>
      </c>
      <c r="Q50" s="3394"/>
      <c r="R50" s="3474" t="e">
        <f>IF(F1="售价",ROUND(AVERAGE(R49:V49),0),ROUND(AVERAGE(R49:V49),1))</f>
        <v>#DIV/0!</v>
      </c>
      <c r="S50" s="3474"/>
      <c r="T50" s="3474"/>
      <c r="U50" s="3474"/>
      <c r="V50" s="3474"/>
      <c r="W50" s="347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77" t="s">
        <v>487</v>
      </c>
      <c r="D4" s="3378"/>
      <c r="E4" s="3402" t="s">
        <v>488</v>
      </c>
      <c r="F4" s="3403"/>
      <c r="G4" s="3377" t="s">
        <v>489</v>
      </c>
      <c r="H4" s="3378"/>
      <c r="I4" s="3377" t="s">
        <v>490</v>
      </c>
      <c r="J4" s="3378"/>
      <c r="K4" s="513" t="s">
        <v>491</v>
      </c>
      <c r="L4" s="2132"/>
      <c r="M4" s="2133"/>
      <c r="N4" s="2133"/>
      <c r="O4" s="2133"/>
      <c r="P4" s="3379" t="s">
        <v>492</v>
      </c>
      <c r="Q4" s="3380"/>
      <c r="R4" s="3365" t="s">
        <v>488</v>
      </c>
      <c r="S4" s="3366"/>
      <c r="T4" s="3365" t="s">
        <v>489</v>
      </c>
      <c r="U4" s="3366"/>
      <c r="V4" s="3385" t="s">
        <v>490</v>
      </c>
      <c r="W4" s="3385"/>
      <c r="X4" s="1565"/>
      <c r="Y4" s="3365" t="s">
        <v>492</v>
      </c>
      <c r="Z4" s="3366"/>
      <c r="AA4" s="3360" t="s">
        <v>488</v>
      </c>
      <c r="AB4" s="3361" t="s">
        <v>489</v>
      </c>
      <c r="AC4" s="3360" t="s">
        <v>490</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3" t="s">
        <v>495</v>
      </c>
      <c r="Q7" s="3372"/>
      <c r="R7" s="1566" t="s">
        <v>8</v>
      </c>
      <c r="S7" s="1567">
        <f t="shared" ref="S7:S15" si="0">F7</f>
        <v>0</v>
      </c>
      <c r="T7" s="1566" t="s">
        <v>8</v>
      </c>
      <c r="U7" s="1567">
        <f t="shared" ref="U7:U15" si="1">H7</f>
        <v>0</v>
      </c>
      <c r="V7" s="1566" t="s">
        <v>8</v>
      </c>
      <c r="W7" s="1567">
        <f t="shared" ref="W7:W15"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1" t="s">
        <v>500</v>
      </c>
      <c r="Q9" s="1149" t="str">
        <f t="shared" ref="Q9:Q15" si="6">B9</f>
        <v>用途</v>
      </c>
      <c r="R9" s="1566" t="s">
        <v>8</v>
      </c>
      <c r="S9" s="1567">
        <f t="shared" si="0"/>
        <v>100</v>
      </c>
      <c r="T9" s="1566" t="s">
        <v>8</v>
      </c>
      <c r="U9" s="1567">
        <f t="shared" si="1"/>
        <v>100</v>
      </c>
      <c r="V9" s="1566" t="s">
        <v>8</v>
      </c>
      <c r="W9" s="1567">
        <f t="shared" si="2"/>
        <v>100</v>
      </c>
      <c r="X9" s="1568"/>
      <c r="Y9" s="332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1"/>
      <c r="Q11" s="1149" t="str">
        <f t="shared" si="6"/>
        <v>容积率</v>
      </c>
      <c r="R11" s="1566" t="s">
        <v>8</v>
      </c>
      <c r="S11" s="1567" t="e">
        <f t="shared" si="0"/>
        <v>#N/A</v>
      </c>
      <c r="T11" s="1566" t="s">
        <v>8</v>
      </c>
      <c r="U11" s="1567" t="e">
        <f t="shared" si="1"/>
        <v>#N/A</v>
      </c>
      <c r="V11" s="1566" t="s">
        <v>8</v>
      </c>
      <c r="W11" s="1567" t="e">
        <f t="shared" si="2"/>
        <v>#N/A</v>
      </c>
      <c r="X11" s="1568"/>
      <c r="Y11" s="332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1"/>
      <c r="Q14" s="1149">
        <f t="shared" si="6"/>
        <v>111</v>
      </c>
      <c r="R14" s="1566" t="s">
        <v>8</v>
      </c>
      <c r="S14" s="1567">
        <f t="shared" si="0"/>
        <v>100</v>
      </c>
      <c r="T14" s="1566" t="s">
        <v>8</v>
      </c>
      <c r="U14" s="1567">
        <f t="shared" si="1"/>
        <v>100</v>
      </c>
      <c r="V14" s="1566" t="s">
        <v>8</v>
      </c>
      <c r="W14" s="1567">
        <f t="shared" si="2"/>
        <v>100</v>
      </c>
      <c r="X14" s="1568"/>
      <c r="Y14" s="3328"/>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3" t="s">
        <v>505</v>
      </c>
      <c r="Q15" s="1570" t="str">
        <f t="shared" si="6"/>
        <v>产业集聚程度</v>
      </c>
      <c r="R15" s="1571" t="s">
        <v>8</v>
      </c>
      <c r="S15" s="1572">
        <f t="shared" si="0"/>
        <v>100</v>
      </c>
      <c r="T15" s="1571" t="s">
        <v>8</v>
      </c>
      <c r="U15" s="1572">
        <f t="shared" si="1"/>
        <v>100</v>
      </c>
      <c r="V15" s="1571" t="s">
        <v>8</v>
      </c>
      <c r="W15" s="1572">
        <f t="shared" si="2"/>
        <v>100</v>
      </c>
      <c r="X15" s="1565"/>
      <c r="Y15" s="3373"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4"/>
      <c r="Q16" s="1570"/>
      <c r="R16" s="1571"/>
      <c r="S16" s="1572"/>
      <c r="T16" s="1571"/>
      <c r="U16" s="1572"/>
      <c r="V16" s="1571"/>
      <c r="W16" s="1572"/>
      <c r="X16" s="1565"/>
      <c r="Y16" s="3374"/>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4"/>
      <c r="Q17" s="1570" t="str">
        <f>B17</f>
        <v>交通便捷度</v>
      </c>
      <c r="R17" s="1571" t="s">
        <v>8</v>
      </c>
      <c r="S17" s="1572">
        <f>F17</f>
        <v>100</v>
      </c>
      <c r="T17" s="1571" t="s">
        <v>8</v>
      </c>
      <c r="U17" s="1572">
        <f>H17</f>
        <v>100</v>
      </c>
      <c r="V17" s="1571" t="s">
        <v>8</v>
      </c>
      <c r="W17" s="1572">
        <f>J17</f>
        <v>100</v>
      </c>
      <c r="X17" s="1565"/>
      <c r="Y17" s="3374"/>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4"/>
      <c r="Q18" s="1570"/>
      <c r="R18" s="1571"/>
      <c r="S18" s="1572"/>
      <c r="T18" s="1571"/>
      <c r="U18" s="1572"/>
      <c r="V18" s="1571"/>
      <c r="W18" s="1572"/>
      <c r="X18" s="1565"/>
      <c r="Y18" s="3374"/>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4"/>
      <c r="Q19" s="1570" t="str">
        <f>B19</f>
        <v>公共配套设施</v>
      </c>
      <c r="R19" s="1571" t="s">
        <v>8</v>
      </c>
      <c r="S19" s="1572">
        <f>F19</f>
        <v>100</v>
      </c>
      <c r="T19" s="1571" t="s">
        <v>8</v>
      </c>
      <c r="U19" s="1572">
        <f>H19</f>
        <v>100</v>
      </c>
      <c r="V19" s="1571" t="s">
        <v>8</v>
      </c>
      <c r="W19" s="1572">
        <f>J19</f>
        <v>100</v>
      </c>
      <c r="X19" s="1565"/>
      <c r="Y19" s="3374"/>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4"/>
      <c r="Q20" s="1570"/>
      <c r="R20" s="1571"/>
      <c r="S20" s="1572"/>
      <c r="T20" s="1571"/>
      <c r="U20" s="1572"/>
      <c r="V20" s="1571"/>
      <c r="W20" s="1572"/>
      <c r="X20" s="1565"/>
      <c r="Y20" s="3374"/>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4"/>
      <c r="Q21" s="2578" t="str">
        <f>B21</f>
        <v>基础设施水平</v>
      </c>
      <c r="R21" s="1571" t="s">
        <v>8</v>
      </c>
      <c r="S21" s="1572">
        <f>F21</f>
        <v>100</v>
      </c>
      <c r="T21" s="1571" t="s">
        <v>8</v>
      </c>
      <c r="U21" s="1572">
        <f>H21</f>
        <v>100</v>
      </c>
      <c r="V21" s="1571" t="s">
        <v>8</v>
      </c>
      <c r="W21" s="1572">
        <f>J21</f>
        <v>100</v>
      </c>
      <c r="X21" s="2580"/>
      <c r="Y21" s="3374"/>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4"/>
      <c r="Q22" s="2578"/>
      <c r="R22" s="1571"/>
      <c r="S22" s="1572"/>
      <c r="T22" s="1571"/>
      <c r="U22" s="1572"/>
      <c r="V22" s="1571"/>
      <c r="W22" s="1572"/>
      <c r="X22" s="2580"/>
      <c r="Y22" s="3374"/>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4"/>
      <c r="Q23" s="1570" t="str">
        <f>B23</f>
        <v>环境质量</v>
      </c>
      <c r="R23" s="1571" t="s">
        <v>8</v>
      </c>
      <c r="S23" s="1572">
        <f>F23</f>
        <v>100</v>
      </c>
      <c r="T23" s="1571" t="s">
        <v>8</v>
      </c>
      <c r="U23" s="1572">
        <f>H23</f>
        <v>100</v>
      </c>
      <c r="V23" s="1571" t="s">
        <v>8</v>
      </c>
      <c r="W23" s="1572">
        <f>J23</f>
        <v>100</v>
      </c>
      <c r="X23" s="1565"/>
      <c r="Y23" s="3374"/>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4"/>
      <c r="Q24" s="1570"/>
      <c r="R24" s="1571"/>
      <c r="S24" s="1572"/>
      <c r="T24" s="1571"/>
      <c r="U24" s="1572"/>
      <c r="V24" s="1571"/>
      <c r="W24" s="1572"/>
      <c r="X24" s="1565"/>
      <c r="Y24" s="3374"/>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4"/>
      <c r="Q25" s="1570">
        <f>B25</f>
        <v>111</v>
      </c>
      <c r="R25" s="1571" t="s">
        <v>8</v>
      </c>
      <c r="S25" s="1572">
        <f>F25</f>
        <v>100</v>
      </c>
      <c r="T25" s="1571" t="s">
        <v>8</v>
      </c>
      <c r="U25" s="1572">
        <f>H25</f>
        <v>100</v>
      </c>
      <c r="V25" s="1571" t="s">
        <v>8</v>
      </c>
      <c r="W25" s="1572">
        <f>J25</f>
        <v>100</v>
      </c>
      <c r="X25" s="1565"/>
      <c r="Y25" s="3374"/>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4"/>
      <c r="Q26" s="1570">
        <f t="shared" ref="Q26:Q40" si="11">B26</f>
        <v>111</v>
      </c>
      <c r="R26" s="1571" t="s">
        <v>8</v>
      </c>
      <c r="S26" s="1572">
        <f>F26</f>
        <v>100</v>
      </c>
      <c r="T26" s="1571" t="s">
        <v>8</v>
      </c>
      <c r="U26" s="1572">
        <f>H26</f>
        <v>100</v>
      </c>
      <c r="V26" s="1571" t="s">
        <v>8</v>
      </c>
      <c r="W26" s="1572">
        <f>J26</f>
        <v>100</v>
      </c>
      <c r="X26" s="1565"/>
      <c r="Y26" s="3374"/>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4"/>
      <c r="Q27" s="1149">
        <f t="shared" si="11"/>
        <v>111</v>
      </c>
      <c r="R27" s="1566" t="s">
        <v>8</v>
      </c>
      <c r="S27" s="1567">
        <f>F27</f>
        <v>100</v>
      </c>
      <c r="T27" s="1566" t="s">
        <v>8</v>
      </c>
      <c r="U27" s="1567">
        <f>H27</f>
        <v>100</v>
      </c>
      <c r="V27" s="1566" t="s">
        <v>8</v>
      </c>
      <c r="W27" s="1567">
        <f>J27</f>
        <v>100</v>
      </c>
      <c r="X27" s="1568"/>
      <c r="Y27" s="3374"/>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4"/>
      <c r="Q28" s="1570">
        <f t="shared" si="11"/>
        <v>111</v>
      </c>
      <c r="R28" s="1571" t="s">
        <v>8</v>
      </c>
      <c r="S28" s="1572">
        <f t="shared" ref="S28:S40" si="12">F28</f>
        <v>100</v>
      </c>
      <c r="T28" s="1571" t="s">
        <v>8</v>
      </c>
      <c r="U28" s="1572">
        <f t="shared" ref="U28:U40" si="13">H28</f>
        <v>100</v>
      </c>
      <c r="V28" s="1571" t="s">
        <v>8</v>
      </c>
      <c r="W28" s="1572">
        <f t="shared" ref="W28:W40" si="14">J28</f>
        <v>100</v>
      </c>
      <c r="X28" s="1565"/>
      <c r="Y28" s="3374"/>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5" t="s">
        <v>515</v>
      </c>
      <c r="Q29" s="1570" t="str">
        <f t="shared" si="11"/>
        <v>建筑类型</v>
      </c>
      <c r="R29" s="1571" t="s">
        <v>8</v>
      </c>
      <c r="S29" s="1572">
        <f t="shared" si="12"/>
        <v>100</v>
      </c>
      <c r="T29" s="1571" t="s">
        <v>8</v>
      </c>
      <c r="U29" s="1572">
        <f t="shared" si="13"/>
        <v>100</v>
      </c>
      <c r="V29" s="1571" t="s">
        <v>8</v>
      </c>
      <c r="W29" s="1572">
        <f t="shared" si="14"/>
        <v>100</v>
      </c>
      <c r="X29" s="1565"/>
      <c r="Y29" s="3376"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6"/>
      <c r="Q30" s="1603" t="str">
        <f t="shared" si="11"/>
        <v>项目建筑规模</v>
      </c>
      <c r="R30" s="1575" t="s">
        <v>8</v>
      </c>
      <c r="S30" s="1576" t="e">
        <f t="shared" si="12"/>
        <v>#N/A</v>
      </c>
      <c r="T30" s="1575" t="s">
        <v>8</v>
      </c>
      <c r="U30" s="1576" t="e">
        <f t="shared" si="13"/>
        <v>#N/A</v>
      </c>
      <c r="V30" s="1575" t="s">
        <v>8</v>
      </c>
      <c r="W30" s="1576" t="e">
        <f t="shared" si="14"/>
        <v>#N/A</v>
      </c>
      <c r="X30" s="1577"/>
      <c r="Y30" s="3376"/>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6"/>
      <c r="Q31" s="1570" t="str">
        <f t="shared" si="11"/>
        <v>建筑结构</v>
      </c>
      <c r="R31" s="1571" t="s">
        <v>8</v>
      </c>
      <c r="S31" s="1572">
        <f t="shared" si="12"/>
        <v>100</v>
      </c>
      <c r="T31" s="1571" t="s">
        <v>8</v>
      </c>
      <c r="U31" s="1572">
        <f t="shared" si="13"/>
        <v>100</v>
      </c>
      <c r="V31" s="1571" t="s">
        <v>8</v>
      </c>
      <c r="W31" s="1572">
        <f t="shared" si="14"/>
        <v>100</v>
      </c>
      <c r="X31" s="1565"/>
      <c r="Y31" s="3376"/>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6"/>
      <c r="Q32" s="1570" t="str">
        <f t="shared" si="11"/>
        <v>公共部分装修</v>
      </c>
      <c r="R32" s="1571" t="s">
        <v>8</v>
      </c>
      <c r="S32" s="1572">
        <f t="shared" si="12"/>
        <v>100</v>
      </c>
      <c r="T32" s="1571" t="s">
        <v>8</v>
      </c>
      <c r="U32" s="1572">
        <f t="shared" si="13"/>
        <v>100</v>
      </c>
      <c r="V32" s="1571" t="s">
        <v>8</v>
      </c>
      <c r="W32" s="1572">
        <f t="shared" si="14"/>
        <v>100</v>
      </c>
      <c r="X32" s="1565"/>
      <c r="Y32" s="3376"/>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6"/>
      <c r="Q33" s="1570" t="str">
        <f t="shared" si="11"/>
        <v>成新度</v>
      </c>
      <c r="R33" s="1571" t="s">
        <v>8</v>
      </c>
      <c r="S33" s="1572" t="e">
        <f t="shared" si="12"/>
        <v>#N/A</v>
      </c>
      <c r="T33" s="1571" t="s">
        <v>8</v>
      </c>
      <c r="U33" s="1572" t="e">
        <f t="shared" si="13"/>
        <v>#N/A</v>
      </c>
      <c r="V33" s="1571" t="s">
        <v>8</v>
      </c>
      <c r="W33" s="1572" t="e">
        <f t="shared" si="14"/>
        <v>#N/A</v>
      </c>
      <c r="X33" s="1565"/>
      <c r="Y33" s="3376"/>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6"/>
      <c r="Q34" s="1149" t="str">
        <f t="shared" si="11"/>
        <v>物业管理</v>
      </c>
      <c r="R34" s="1566" t="s">
        <v>8</v>
      </c>
      <c r="S34" s="1567">
        <f t="shared" si="12"/>
        <v>100</v>
      </c>
      <c r="T34" s="1566" t="s">
        <v>8</v>
      </c>
      <c r="U34" s="1567">
        <f t="shared" si="13"/>
        <v>100</v>
      </c>
      <c r="V34" s="1566" t="s">
        <v>8</v>
      </c>
      <c r="W34" s="1567">
        <f t="shared" si="14"/>
        <v>100</v>
      </c>
      <c r="X34" s="1568"/>
      <c r="Y34" s="3376"/>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6" t="s">
        <v>515</v>
      </c>
      <c r="Q35" s="1570" t="str">
        <f t="shared" si="11"/>
        <v>市政基础设施</v>
      </c>
      <c r="R35" s="1571" t="s">
        <v>8</v>
      </c>
      <c r="S35" s="1572">
        <f t="shared" si="12"/>
        <v>100</v>
      </c>
      <c r="T35" s="1571" t="s">
        <v>8</v>
      </c>
      <c r="U35" s="1572">
        <f t="shared" si="13"/>
        <v>100</v>
      </c>
      <c r="V35" s="1571" t="s">
        <v>8</v>
      </c>
      <c r="W35" s="1572">
        <f t="shared" si="14"/>
        <v>100</v>
      </c>
      <c r="X35" s="1565"/>
      <c r="Y35" s="3376"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6"/>
      <c r="Q36" s="1570" t="str">
        <f t="shared" si="11"/>
        <v>内部装修</v>
      </c>
      <c r="R36" s="1571" t="s">
        <v>8</v>
      </c>
      <c r="S36" s="1572">
        <f t="shared" si="12"/>
        <v>100</v>
      </c>
      <c r="T36" s="1571" t="s">
        <v>8</v>
      </c>
      <c r="U36" s="1572">
        <f t="shared" si="13"/>
        <v>100</v>
      </c>
      <c r="V36" s="1571" t="s">
        <v>8</v>
      </c>
      <c r="W36" s="1572">
        <f t="shared" si="14"/>
        <v>100</v>
      </c>
      <c r="X36" s="1565"/>
      <c r="Y36" s="3376"/>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6"/>
      <c r="Q37" s="1570" t="str">
        <f t="shared" si="11"/>
        <v>内部装修状况</v>
      </c>
      <c r="R37" s="1571" t="s">
        <v>8</v>
      </c>
      <c r="S37" s="1572">
        <f t="shared" si="12"/>
        <v>100</v>
      </c>
      <c r="T37" s="1571" t="s">
        <v>8</v>
      </c>
      <c r="U37" s="1572">
        <f t="shared" si="13"/>
        <v>100</v>
      </c>
      <c r="V37" s="1571" t="s">
        <v>8</v>
      </c>
      <c r="W37" s="1572">
        <f t="shared" si="14"/>
        <v>100</v>
      </c>
      <c r="X37" s="1565"/>
      <c r="Y37" s="3376"/>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6"/>
      <c r="Q38" s="1603">
        <f t="shared" si="11"/>
        <v>111</v>
      </c>
      <c r="R38" s="1575" t="s">
        <v>8</v>
      </c>
      <c r="S38" s="1576">
        <f t="shared" si="12"/>
        <v>100</v>
      </c>
      <c r="T38" s="1575" t="s">
        <v>8</v>
      </c>
      <c r="U38" s="1576">
        <f t="shared" si="13"/>
        <v>100</v>
      </c>
      <c r="V38" s="1575" t="s">
        <v>8</v>
      </c>
      <c r="W38" s="1576">
        <f t="shared" si="14"/>
        <v>100</v>
      </c>
      <c r="X38" s="1577"/>
      <c r="Y38" s="3376"/>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6"/>
      <c r="Q39" s="1570">
        <f t="shared" si="11"/>
        <v>111</v>
      </c>
      <c r="R39" s="1571" t="s">
        <v>8</v>
      </c>
      <c r="S39" s="1572">
        <f t="shared" si="12"/>
        <v>100</v>
      </c>
      <c r="T39" s="1571" t="s">
        <v>8</v>
      </c>
      <c r="U39" s="1572">
        <f t="shared" si="13"/>
        <v>100</v>
      </c>
      <c r="V39" s="1571" t="s">
        <v>8</v>
      </c>
      <c r="W39" s="1572">
        <f t="shared" si="14"/>
        <v>100</v>
      </c>
      <c r="X39" s="1565"/>
      <c r="Y39" s="3376"/>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6"/>
      <c r="Q40" s="1570">
        <f t="shared" si="11"/>
        <v>111</v>
      </c>
      <c r="R40" s="1571" t="s">
        <v>8</v>
      </c>
      <c r="S40" s="1572">
        <f t="shared" si="12"/>
        <v>100</v>
      </c>
      <c r="T40" s="1571" t="s">
        <v>8</v>
      </c>
      <c r="U40" s="1572">
        <f t="shared" si="13"/>
        <v>100</v>
      </c>
      <c r="V40" s="1571" t="s">
        <v>8</v>
      </c>
      <c r="W40" s="1572">
        <f t="shared" si="14"/>
        <v>100</v>
      </c>
      <c r="X40" s="1565"/>
      <c r="Y40" s="3476"/>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71" t="str">
        <f>A41</f>
        <v>成交单价（元/平方米）</v>
      </c>
      <c r="Q41" s="3371"/>
      <c r="R41" s="3475">
        <f>E41</f>
        <v>0</v>
      </c>
      <c r="S41" s="3475"/>
      <c r="T41" s="3475">
        <f>G41</f>
        <v>0</v>
      </c>
      <c r="U41" s="3475"/>
      <c r="V41" s="3475">
        <f>I41</f>
        <v>0</v>
      </c>
      <c r="W41" s="3475"/>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93" t="str">
        <f>A43</f>
        <v>估价对象XX用房的比较价格（楼面单价，元/平方米）</v>
      </c>
      <c r="Q43" s="3394"/>
      <c r="R43" s="3474" t="e">
        <f>IF(F1="售价",ROUND(AVERAGE(R42:V42),0),ROUND(AVERAGE(R42:V42),1))</f>
        <v>#DIV/0!</v>
      </c>
      <c r="S43" s="3474"/>
      <c r="T43" s="3474"/>
      <c r="U43" s="3474"/>
      <c r="V43" s="3474"/>
      <c r="W43" s="347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7" t="s">
        <v>763</v>
      </c>
      <c r="D4" s="3378"/>
      <c r="E4" s="3377" t="s">
        <v>764</v>
      </c>
      <c r="F4" s="3378"/>
      <c r="G4" s="3377" t="s">
        <v>765</v>
      </c>
      <c r="H4" s="3378"/>
      <c r="I4" s="3377" t="s">
        <v>766</v>
      </c>
      <c r="J4" s="3378"/>
      <c r="K4" s="513" t="s">
        <v>767</v>
      </c>
      <c r="L4" s="2132"/>
      <c r="M4" s="2133"/>
      <c r="N4" s="2133"/>
      <c r="O4" s="2133"/>
      <c r="P4" s="3379" t="s">
        <v>768</v>
      </c>
      <c r="Q4" s="3380"/>
      <c r="R4" s="3365" t="s">
        <v>764</v>
      </c>
      <c r="S4" s="3366"/>
      <c r="T4" s="3365" t="s">
        <v>765</v>
      </c>
      <c r="U4" s="3366"/>
      <c r="V4" s="3385" t="s">
        <v>766</v>
      </c>
      <c r="W4" s="3385"/>
      <c r="X4" s="1565"/>
      <c r="Y4" s="3365" t="s">
        <v>768</v>
      </c>
      <c r="Z4" s="3366"/>
      <c r="AA4" s="3360" t="s">
        <v>764</v>
      </c>
      <c r="AB4" s="3361" t="s">
        <v>765</v>
      </c>
      <c r="AC4" s="3360" t="s">
        <v>766</v>
      </c>
    </row>
    <row r="5" spans="1:29">
      <c r="A5" s="514"/>
      <c r="B5" s="515"/>
      <c r="C5" s="3390" t="s">
        <v>2889</v>
      </c>
      <c r="D5" s="3389"/>
      <c r="E5" s="3390" t="s">
        <v>2890</v>
      </c>
      <c r="F5" s="3389"/>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391" t="s">
        <v>2893</v>
      </c>
      <c r="F6" s="3392"/>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3" t="s">
        <v>495</v>
      </c>
      <c r="Q7" s="3372"/>
      <c r="R7" s="1566" t="s">
        <v>8</v>
      </c>
      <c r="S7" s="1567">
        <f t="shared" ref="S7:S14" si="0">F7</f>
        <v>0</v>
      </c>
      <c r="T7" s="1566" t="s">
        <v>8</v>
      </c>
      <c r="U7" s="1567">
        <f t="shared" ref="U7:U14" si="1">H7</f>
        <v>0</v>
      </c>
      <c r="V7" s="1566" t="s">
        <v>8</v>
      </c>
      <c r="W7" s="1567">
        <f t="shared" ref="W7:W14"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1" t="s">
        <v>500</v>
      </c>
      <c r="Q9" s="1149" t="str">
        <f t="shared" ref="Q9:Q14" si="6">B9</f>
        <v>用途</v>
      </c>
      <c r="R9" s="1566" t="s">
        <v>8</v>
      </c>
      <c r="S9" s="1567">
        <f t="shared" si="0"/>
        <v>100</v>
      </c>
      <c r="T9" s="1566" t="s">
        <v>8</v>
      </c>
      <c r="U9" s="1567">
        <f t="shared" si="1"/>
        <v>100</v>
      </c>
      <c r="V9" s="1566" t="s">
        <v>8</v>
      </c>
      <c r="W9" s="1567">
        <f t="shared" si="2"/>
        <v>100</v>
      </c>
      <c r="X9" s="1568"/>
      <c r="Y9" s="332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1"/>
      <c r="Q11" s="1149">
        <f t="shared" si="6"/>
        <v>111</v>
      </c>
      <c r="R11" s="1566" t="s">
        <v>8</v>
      </c>
      <c r="S11" s="1567">
        <f t="shared" si="0"/>
        <v>100</v>
      </c>
      <c r="T11" s="1566" t="s">
        <v>8</v>
      </c>
      <c r="U11" s="1567">
        <f t="shared" si="1"/>
        <v>100</v>
      </c>
      <c r="V11" s="1566" t="s">
        <v>8</v>
      </c>
      <c r="W11" s="1567">
        <f t="shared" si="2"/>
        <v>100</v>
      </c>
      <c r="X11" s="1568"/>
      <c r="Y11" s="3328"/>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3" t="s">
        <v>505</v>
      </c>
      <c r="Q14" s="1570" t="str">
        <f t="shared" si="6"/>
        <v>交通便捷度</v>
      </c>
      <c r="R14" s="1571" t="s">
        <v>8</v>
      </c>
      <c r="S14" s="1572">
        <f t="shared" si="0"/>
        <v>100</v>
      </c>
      <c r="T14" s="1571" t="s">
        <v>8</v>
      </c>
      <c r="U14" s="1572">
        <f t="shared" si="1"/>
        <v>100</v>
      </c>
      <c r="V14" s="1571" t="s">
        <v>8</v>
      </c>
      <c r="W14" s="1572">
        <f t="shared" si="2"/>
        <v>100</v>
      </c>
      <c r="X14" s="1565"/>
      <c r="Y14" s="3373"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4"/>
      <c r="Q15" s="1570"/>
      <c r="R15" s="1571"/>
      <c r="S15" s="1572"/>
      <c r="T15" s="1571"/>
      <c r="U15" s="1572"/>
      <c r="V15" s="1571"/>
      <c r="W15" s="1572"/>
      <c r="X15" s="1565"/>
      <c r="Y15" s="3374"/>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4"/>
      <c r="Q16" s="1570" t="str">
        <f>B16</f>
        <v>公共配套设施</v>
      </c>
      <c r="R16" s="1571" t="s">
        <v>8</v>
      </c>
      <c r="S16" s="1572">
        <f>F16</f>
        <v>100</v>
      </c>
      <c r="T16" s="1571" t="s">
        <v>8</v>
      </c>
      <c r="U16" s="1572">
        <f>H16</f>
        <v>100</v>
      </c>
      <c r="V16" s="1571" t="s">
        <v>8</v>
      </c>
      <c r="W16" s="1572">
        <f>J16</f>
        <v>100</v>
      </c>
      <c r="X16" s="1565"/>
      <c r="Y16" s="3374"/>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4"/>
      <c r="Q17" s="1570"/>
      <c r="R17" s="1571"/>
      <c r="S17" s="1572"/>
      <c r="T17" s="1571"/>
      <c r="U17" s="1572"/>
      <c r="V17" s="1571"/>
      <c r="W17" s="1572"/>
      <c r="X17" s="1565"/>
      <c r="Y17" s="3374"/>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4"/>
      <c r="Q18" s="2578" t="str">
        <f>B18</f>
        <v>基础设施水平</v>
      </c>
      <c r="R18" s="1571" t="s">
        <v>8</v>
      </c>
      <c r="S18" s="1572">
        <f>F18</f>
        <v>100</v>
      </c>
      <c r="T18" s="1571" t="s">
        <v>8</v>
      </c>
      <c r="U18" s="1572">
        <f>H18</f>
        <v>100</v>
      </c>
      <c r="V18" s="1571" t="s">
        <v>8</v>
      </c>
      <c r="W18" s="1572">
        <f>J18</f>
        <v>100</v>
      </c>
      <c r="X18" s="2580"/>
      <c r="Y18" s="3374"/>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4"/>
      <c r="Q19" s="2578"/>
      <c r="R19" s="1571"/>
      <c r="S19" s="1572"/>
      <c r="T19" s="1571"/>
      <c r="U19" s="1572"/>
      <c r="V19" s="1571"/>
      <c r="W19" s="1572"/>
      <c r="X19" s="2580"/>
      <c r="Y19" s="3374"/>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4"/>
      <c r="Q20" s="1570" t="str">
        <f>B20</f>
        <v>自然及人文环境</v>
      </c>
      <c r="R20" s="1571" t="s">
        <v>8</v>
      </c>
      <c r="S20" s="1572">
        <f>F20</f>
        <v>100</v>
      </c>
      <c r="T20" s="1571" t="s">
        <v>8</v>
      </c>
      <c r="U20" s="1572">
        <f>H20</f>
        <v>100</v>
      </c>
      <c r="V20" s="1571" t="s">
        <v>8</v>
      </c>
      <c r="W20" s="1572">
        <f>J20</f>
        <v>100</v>
      </c>
      <c r="X20" s="1565"/>
      <c r="Y20" s="3374"/>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4"/>
      <c r="Q21" s="1570"/>
      <c r="R21" s="1571"/>
      <c r="S21" s="1572"/>
      <c r="T21" s="1571"/>
      <c r="U21" s="1572"/>
      <c r="V21" s="1571"/>
      <c r="W21" s="1572"/>
      <c r="X21" s="1565"/>
      <c r="Y21" s="3374"/>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4"/>
      <c r="Q22" s="1570" t="str">
        <f>B22</f>
        <v>楼层</v>
      </c>
      <c r="R22" s="1571" t="s">
        <v>8</v>
      </c>
      <c r="S22" s="1572">
        <f>F22</f>
        <v>100</v>
      </c>
      <c r="T22" s="1571" t="s">
        <v>8</v>
      </c>
      <c r="U22" s="1572">
        <f>H22</f>
        <v>100</v>
      </c>
      <c r="V22" s="1571" t="s">
        <v>8</v>
      </c>
      <c r="W22" s="1572">
        <f>J22</f>
        <v>100</v>
      </c>
      <c r="X22" s="1565"/>
      <c r="Y22" s="3374"/>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4"/>
      <c r="Q23" s="1570">
        <f>B23</f>
        <v>111</v>
      </c>
      <c r="R23" s="1571" t="s">
        <v>8</v>
      </c>
      <c r="S23" s="1572">
        <f>F23</f>
        <v>100</v>
      </c>
      <c r="T23" s="1571" t="s">
        <v>8</v>
      </c>
      <c r="U23" s="1572">
        <f>H23</f>
        <v>100</v>
      </c>
      <c r="V23" s="1571" t="s">
        <v>8</v>
      </c>
      <c r="W23" s="1572">
        <f>J23</f>
        <v>100</v>
      </c>
      <c r="X23" s="1565"/>
      <c r="Y23" s="3374"/>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4"/>
      <c r="Q24" s="1570">
        <f t="shared" ref="Q24:Q36" si="11">B24</f>
        <v>111</v>
      </c>
      <c r="R24" s="1571" t="s">
        <v>8</v>
      </c>
      <c r="S24" s="1572">
        <f>F24</f>
        <v>100</v>
      </c>
      <c r="T24" s="1571" t="s">
        <v>8</v>
      </c>
      <c r="U24" s="1572">
        <f>H24</f>
        <v>100</v>
      </c>
      <c r="V24" s="1571" t="s">
        <v>8</v>
      </c>
      <c r="W24" s="1572">
        <f>J24</f>
        <v>100</v>
      </c>
      <c r="X24" s="1565"/>
      <c r="Y24" s="3374"/>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4"/>
      <c r="Q25" s="1149">
        <f t="shared" si="11"/>
        <v>111</v>
      </c>
      <c r="R25" s="1566" t="s">
        <v>8</v>
      </c>
      <c r="S25" s="1567">
        <f>F25</f>
        <v>100</v>
      </c>
      <c r="T25" s="1566" t="s">
        <v>8</v>
      </c>
      <c r="U25" s="1567">
        <f>H25</f>
        <v>100</v>
      </c>
      <c r="V25" s="1566" t="s">
        <v>8</v>
      </c>
      <c r="W25" s="1567">
        <f>J25</f>
        <v>100</v>
      </c>
      <c r="X25" s="1568"/>
      <c r="Y25" s="3374"/>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5"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6"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6"/>
      <c r="Q27" s="1603" t="str">
        <f t="shared" si="11"/>
        <v>项目停车位配比</v>
      </c>
      <c r="R27" s="1575" t="s">
        <v>8</v>
      </c>
      <c r="S27" s="1576">
        <f t="shared" si="12"/>
        <v>100</v>
      </c>
      <c r="T27" s="1575" t="s">
        <v>8</v>
      </c>
      <c r="U27" s="1576">
        <f t="shared" si="13"/>
        <v>100</v>
      </c>
      <c r="V27" s="1575" t="s">
        <v>8</v>
      </c>
      <c r="W27" s="1576">
        <f t="shared" si="14"/>
        <v>100</v>
      </c>
      <c r="X27" s="1577"/>
      <c r="Y27" s="3376"/>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6"/>
      <c r="Q28" s="1570" t="str">
        <f t="shared" si="11"/>
        <v>公共部分装修</v>
      </c>
      <c r="R28" s="1571" t="s">
        <v>8</v>
      </c>
      <c r="S28" s="1572">
        <f t="shared" si="12"/>
        <v>100</v>
      </c>
      <c r="T28" s="1571" t="s">
        <v>8</v>
      </c>
      <c r="U28" s="1572">
        <f t="shared" si="13"/>
        <v>100</v>
      </c>
      <c r="V28" s="1571" t="s">
        <v>8</v>
      </c>
      <c r="W28" s="1572">
        <f t="shared" si="14"/>
        <v>100</v>
      </c>
      <c r="X28" s="1565"/>
      <c r="Y28" s="3376"/>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6"/>
      <c r="Q29" s="1570" t="str">
        <f t="shared" si="11"/>
        <v>成新率</v>
      </c>
      <c r="R29" s="1571" t="s">
        <v>8</v>
      </c>
      <c r="S29" s="1572" t="e">
        <f t="shared" si="12"/>
        <v>#N/A</v>
      </c>
      <c r="T29" s="1571" t="s">
        <v>8</v>
      </c>
      <c r="U29" s="1572" t="e">
        <f t="shared" si="13"/>
        <v>#N/A</v>
      </c>
      <c r="V29" s="1571" t="s">
        <v>8</v>
      </c>
      <c r="W29" s="1572" t="e">
        <f t="shared" si="14"/>
        <v>#N/A</v>
      </c>
      <c r="X29" s="1565"/>
      <c r="Y29" s="3376"/>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6"/>
      <c r="Q30" s="1570" t="str">
        <f t="shared" si="11"/>
        <v>物业等级</v>
      </c>
      <c r="R30" s="1571" t="s">
        <v>8</v>
      </c>
      <c r="S30" s="1572">
        <f t="shared" si="12"/>
        <v>100</v>
      </c>
      <c r="T30" s="1571" t="s">
        <v>8</v>
      </c>
      <c r="U30" s="1572">
        <f t="shared" si="13"/>
        <v>100</v>
      </c>
      <c r="V30" s="1571" t="s">
        <v>8</v>
      </c>
      <c r="W30" s="1572">
        <f t="shared" si="14"/>
        <v>100</v>
      </c>
      <c r="X30" s="1565"/>
      <c r="Y30" s="3376"/>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6"/>
      <c r="Q31" s="1149" t="str">
        <f t="shared" si="11"/>
        <v>停车位面积</v>
      </c>
      <c r="R31" s="1566" t="s">
        <v>8</v>
      </c>
      <c r="S31" s="1567" t="e">
        <f t="shared" si="12"/>
        <v>#N/A</v>
      </c>
      <c r="T31" s="1566" t="s">
        <v>8</v>
      </c>
      <c r="U31" s="1567" t="e">
        <f t="shared" si="13"/>
        <v>#N/A</v>
      </c>
      <c r="V31" s="1566" t="s">
        <v>8</v>
      </c>
      <c r="W31" s="1567" t="e">
        <f t="shared" si="14"/>
        <v>#N/A</v>
      </c>
      <c r="X31" s="1568"/>
      <c r="Y31" s="3376"/>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6" t="s">
        <v>515</v>
      </c>
      <c r="Q32" s="1570" t="str">
        <f t="shared" si="11"/>
        <v>车位类型</v>
      </c>
      <c r="R32" s="1571" t="s">
        <v>8</v>
      </c>
      <c r="S32" s="1572">
        <f t="shared" si="12"/>
        <v>100</v>
      </c>
      <c r="T32" s="1571" t="s">
        <v>8</v>
      </c>
      <c r="U32" s="1572">
        <f t="shared" si="13"/>
        <v>100</v>
      </c>
      <c r="V32" s="1571" t="s">
        <v>8</v>
      </c>
      <c r="W32" s="1572">
        <f t="shared" si="14"/>
        <v>100</v>
      </c>
      <c r="X32" s="1565"/>
      <c r="Y32" s="3376"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6"/>
      <c r="Q33" s="1570" t="str">
        <f t="shared" si="11"/>
        <v>是否直接入户</v>
      </c>
      <c r="R33" s="1571" t="s">
        <v>8</v>
      </c>
      <c r="S33" s="1572">
        <f t="shared" si="12"/>
        <v>100</v>
      </c>
      <c r="T33" s="1571" t="s">
        <v>8</v>
      </c>
      <c r="U33" s="1572">
        <f t="shared" si="13"/>
        <v>100</v>
      </c>
      <c r="V33" s="1571" t="s">
        <v>8</v>
      </c>
      <c r="W33" s="1572">
        <f t="shared" si="14"/>
        <v>100</v>
      </c>
      <c r="X33" s="1565"/>
      <c r="Y33" s="3376"/>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6"/>
      <c r="Q34" s="1570">
        <f t="shared" si="11"/>
        <v>111</v>
      </c>
      <c r="R34" s="1571" t="s">
        <v>8</v>
      </c>
      <c r="S34" s="1572">
        <f t="shared" si="12"/>
        <v>100</v>
      </c>
      <c r="T34" s="1571" t="s">
        <v>8</v>
      </c>
      <c r="U34" s="1572">
        <f t="shared" si="13"/>
        <v>100</v>
      </c>
      <c r="V34" s="1571" t="s">
        <v>8</v>
      </c>
      <c r="W34" s="1572">
        <f t="shared" si="14"/>
        <v>100</v>
      </c>
      <c r="X34" s="1565"/>
      <c r="Y34" s="3376"/>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6"/>
      <c r="Q35" s="1603">
        <f t="shared" si="11"/>
        <v>111</v>
      </c>
      <c r="R35" s="1575" t="s">
        <v>8</v>
      </c>
      <c r="S35" s="1576">
        <f t="shared" si="12"/>
        <v>100</v>
      </c>
      <c r="T35" s="1575" t="s">
        <v>8</v>
      </c>
      <c r="U35" s="1576">
        <f t="shared" si="13"/>
        <v>100</v>
      </c>
      <c r="V35" s="1575" t="s">
        <v>8</v>
      </c>
      <c r="W35" s="1576">
        <f t="shared" si="14"/>
        <v>100</v>
      </c>
      <c r="X35" s="1577"/>
      <c r="Y35" s="3376"/>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6"/>
      <c r="Q36" s="1570">
        <f t="shared" si="11"/>
        <v>111</v>
      </c>
      <c r="R36" s="1571" t="s">
        <v>8</v>
      </c>
      <c r="S36" s="1572">
        <f t="shared" si="12"/>
        <v>100</v>
      </c>
      <c r="T36" s="1571" t="s">
        <v>8</v>
      </c>
      <c r="U36" s="1572">
        <f t="shared" si="13"/>
        <v>100</v>
      </c>
      <c r="V36" s="1571" t="s">
        <v>8</v>
      </c>
      <c r="W36" s="1572">
        <f t="shared" si="14"/>
        <v>100</v>
      </c>
      <c r="X36" s="1565"/>
      <c r="Y36" s="3376"/>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71" t="str">
        <f>A37</f>
        <v>成交单价</v>
      </c>
      <c r="Q37" s="3371"/>
      <c r="R37" s="3475">
        <f>E37</f>
        <v>0</v>
      </c>
      <c r="S37" s="3475"/>
      <c r="T37" s="3475">
        <f>G37</f>
        <v>0</v>
      </c>
      <c r="U37" s="3475"/>
      <c r="V37" s="3475">
        <f>I37</f>
        <v>0</v>
      </c>
      <c r="W37" s="3475"/>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93" t="str">
        <f>A39</f>
        <v>估价对象XX用房的比较价格（楼面单价，元/平方米）</v>
      </c>
      <c r="Q39" s="3394"/>
      <c r="R39" s="3474" t="e">
        <f>IF(F1="售价",ROUND(AVERAGE(R38:V38),0),ROUND(AVERAGE(R38:V38),1))</f>
        <v>#DIV/0!</v>
      </c>
      <c r="S39" s="3474"/>
      <c r="T39" s="3474"/>
      <c r="U39" s="3474"/>
      <c r="V39" s="3474"/>
      <c r="W39" s="347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7" t="s">
        <v>763</v>
      </c>
      <c r="D4" s="3378"/>
      <c r="E4" s="3402" t="s">
        <v>764</v>
      </c>
      <c r="F4" s="3403"/>
      <c r="G4" s="3377" t="s">
        <v>765</v>
      </c>
      <c r="H4" s="3378"/>
      <c r="I4" s="3377" t="s">
        <v>766</v>
      </c>
      <c r="J4" s="3378"/>
      <c r="K4" s="513" t="s">
        <v>767</v>
      </c>
      <c r="L4" s="2132"/>
      <c r="M4" s="2133"/>
      <c r="N4" s="2133"/>
      <c r="O4" s="2133"/>
      <c r="P4" s="3379" t="s">
        <v>768</v>
      </c>
      <c r="Q4" s="3380"/>
      <c r="R4" s="3365" t="s">
        <v>764</v>
      </c>
      <c r="S4" s="3366"/>
      <c r="T4" s="3365" t="s">
        <v>765</v>
      </c>
      <c r="U4" s="3366"/>
      <c r="V4" s="3385" t="s">
        <v>766</v>
      </c>
      <c r="W4" s="3385"/>
      <c r="X4" s="1565"/>
      <c r="Y4" s="3365" t="s">
        <v>768</v>
      </c>
      <c r="Z4" s="3366"/>
      <c r="AA4" s="3360" t="s">
        <v>764</v>
      </c>
      <c r="AB4" s="3361" t="s">
        <v>765</v>
      </c>
      <c r="AC4" s="3360" t="s">
        <v>766</v>
      </c>
    </row>
    <row r="5" spans="1:29">
      <c r="A5" s="514"/>
      <c r="B5" s="515"/>
      <c r="C5" s="3390" t="s">
        <v>2889</v>
      </c>
      <c r="D5" s="3389"/>
      <c r="E5" s="3404" t="s">
        <v>2890</v>
      </c>
      <c r="F5" s="3405"/>
      <c r="G5" s="3390" t="s">
        <v>2891</v>
      </c>
      <c r="H5" s="3389"/>
      <c r="I5" s="3390" t="s">
        <v>2892</v>
      </c>
      <c r="J5" s="3389"/>
      <c r="K5" s="513"/>
      <c r="L5" s="2132"/>
      <c r="M5" s="2133"/>
      <c r="N5" s="2133"/>
      <c r="O5" s="2133"/>
      <c r="P5" s="3381"/>
      <c r="Q5" s="3382"/>
      <c r="R5" s="3367"/>
      <c r="S5" s="3368"/>
      <c r="T5" s="3367"/>
      <c r="U5" s="3368"/>
      <c r="V5" s="3385"/>
      <c r="W5" s="3385"/>
      <c r="X5" s="1565"/>
      <c r="Y5" s="3367"/>
      <c r="Z5" s="3368"/>
      <c r="AA5" s="3361"/>
      <c r="AB5" s="3361"/>
      <c r="AC5" s="3361"/>
    </row>
    <row r="6" spans="1:29" ht="15" thickBot="1">
      <c r="A6" s="516"/>
      <c r="B6" s="517"/>
      <c r="C6" s="3386" t="s">
        <v>2893</v>
      </c>
      <c r="D6" s="3387"/>
      <c r="E6" s="3406" t="s">
        <v>2893</v>
      </c>
      <c r="F6" s="3407"/>
      <c r="G6" s="3386" t="s">
        <v>2893</v>
      </c>
      <c r="H6" s="3387"/>
      <c r="I6" s="3386" t="s">
        <v>2893</v>
      </c>
      <c r="J6" s="3387"/>
      <c r="K6" s="513" t="s">
        <v>493</v>
      </c>
      <c r="L6" s="2132"/>
      <c r="M6" s="2133"/>
      <c r="N6" s="2133"/>
      <c r="O6" s="2133"/>
      <c r="P6" s="3383"/>
      <c r="Q6" s="3384"/>
      <c r="R6" s="3367"/>
      <c r="S6" s="3368"/>
      <c r="T6" s="3369"/>
      <c r="U6" s="3370"/>
      <c r="V6" s="3385"/>
      <c r="W6" s="3385"/>
      <c r="X6" s="1565"/>
      <c r="Y6" s="3369"/>
      <c r="Z6" s="3370"/>
      <c r="AA6" s="3362"/>
      <c r="AB6" s="3362"/>
      <c r="AC6" s="3362"/>
    </row>
    <row r="7" spans="1:29" s="1218" customFormat="1" ht="15" thickBot="1">
      <c r="A7" s="2911"/>
      <c r="B7" s="2918" t="s">
        <v>494</v>
      </c>
      <c r="C7" s="518">
        <f>'数据-取费表'!B2</f>
        <v>43416</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3" t="s">
        <v>495</v>
      </c>
      <c r="Q7" s="3372"/>
      <c r="R7" s="1566" t="s">
        <v>8</v>
      </c>
      <c r="S7" s="1567">
        <f t="shared" ref="S7:S14" si="0">F7</f>
        <v>0</v>
      </c>
      <c r="T7" s="1566" t="s">
        <v>8</v>
      </c>
      <c r="U7" s="1567">
        <f t="shared" ref="U7:U14" si="1">H7</f>
        <v>0</v>
      </c>
      <c r="V7" s="1566" t="s">
        <v>8</v>
      </c>
      <c r="W7" s="1567">
        <f t="shared" ref="W7:W14" si="2">J7</f>
        <v>0</v>
      </c>
      <c r="X7" s="1568"/>
      <c r="Y7" s="3363" t="s">
        <v>495</v>
      </c>
      <c r="Z7" s="3364"/>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3" t="s">
        <v>498</v>
      </c>
      <c r="Q8" s="3364"/>
      <c r="R8" s="1566" t="s">
        <v>8</v>
      </c>
      <c r="S8" s="1567">
        <f t="shared" si="0"/>
        <v>0</v>
      </c>
      <c r="T8" s="1566" t="s">
        <v>8</v>
      </c>
      <c r="U8" s="1567">
        <f t="shared" si="1"/>
        <v>0</v>
      </c>
      <c r="V8" s="1566" t="s">
        <v>8</v>
      </c>
      <c r="W8" s="1567">
        <f t="shared" si="2"/>
        <v>0</v>
      </c>
      <c r="X8" s="1568"/>
      <c r="Y8" s="3363" t="s">
        <v>498</v>
      </c>
      <c r="Z8" s="3364"/>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1" t="s">
        <v>500</v>
      </c>
      <c r="Q9" s="1149" t="str">
        <f t="shared" ref="Q9:Q14" si="6">B9</f>
        <v>用途</v>
      </c>
      <c r="R9" s="1566" t="s">
        <v>8</v>
      </c>
      <c r="S9" s="1567">
        <f t="shared" si="0"/>
        <v>100</v>
      </c>
      <c r="T9" s="1566" t="s">
        <v>8</v>
      </c>
      <c r="U9" s="1567">
        <f t="shared" si="1"/>
        <v>100</v>
      </c>
      <c r="V9" s="1566" t="s">
        <v>8</v>
      </c>
      <c r="W9" s="1567">
        <f t="shared" si="2"/>
        <v>100</v>
      </c>
      <c r="X9" s="1568"/>
      <c r="Y9" s="332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1"/>
      <c r="Q10" s="1149" t="str">
        <f t="shared" si="6"/>
        <v>土地使用年限（年）</v>
      </c>
      <c r="R10" s="1566" t="s">
        <v>8</v>
      </c>
      <c r="S10" s="1567">
        <f t="shared" si="0"/>
        <v>100</v>
      </c>
      <c r="T10" s="1566" t="s">
        <v>8</v>
      </c>
      <c r="U10" s="1567">
        <f t="shared" si="1"/>
        <v>100</v>
      </c>
      <c r="V10" s="1566" t="s">
        <v>8</v>
      </c>
      <c r="W10" s="1567">
        <f t="shared" si="2"/>
        <v>100</v>
      </c>
      <c r="X10" s="1568"/>
      <c r="Y10" s="3328"/>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1"/>
      <c r="Q11" s="1149">
        <f t="shared" si="6"/>
        <v>111</v>
      </c>
      <c r="R11" s="1566" t="s">
        <v>8</v>
      </c>
      <c r="S11" s="1567">
        <f t="shared" si="0"/>
        <v>100</v>
      </c>
      <c r="T11" s="1566" t="s">
        <v>8</v>
      </c>
      <c r="U11" s="1567">
        <f t="shared" si="1"/>
        <v>100</v>
      </c>
      <c r="V11" s="1566" t="s">
        <v>8</v>
      </c>
      <c r="W11" s="1567">
        <f t="shared" si="2"/>
        <v>100</v>
      </c>
      <c r="X11" s="1568"/>
      <c r="Y11" s="3328"/>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1"/>
      <c r="Q12" s="1149">
        <f t="shared" si="6"/>
        <v>111</v>
      </c>
      <c r="R12" s="1566" t="s">
        <v>8</v>
      </c>
      <c r="S12" s="1567">
        <f t="shared" si="0"/>
        <v>100</v>
      </c>
      <c r="T12" s="1566" t="s">
        <v>8</v>
      </c>
      <c r="U12" s="1567">
        <f t="shared" si="1"/>
        <v>100</v>
      </c>
      <c r="V12" s="1566" t="s">
        <v>8</v>
      </c>
      <c r="W12" s="1567">
        <f t="shared" si="2"/>
        <v>100</v>
      </c>
      <c r="X12" s="1568"/>
      <c r="Y12" s="3328"/>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1"/>
      <c r="Q13" s="1149">
        <f t="shared" si="6"/>
        <v>111</v>
      </c>
      <c r="R13" s="1566" t="s">
        <v>8</v>
      </c>
      <c r="S13" s="1567">
        <f t="shared" si="0"/>
        <v>100</v>
      </c>
      <c r="T13" s="1566" t="s">
        <v>8</v>
      </c>
      <c r="U13" s="1567">
        <f t="shared" si="1"/>
        <v>100</v>
      </c>
      <c r="V13" s="1566" t="s">
        <v>8</v>
      </c>
      <c r="W13" s="1567">
        <f t="shared" si="2"/>
        <v>100</v>
      </c>
      <c r="X13" s="1568"/>
      <c r="Y13" s="3328"/>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3" t="s">
        <v>505</v>
      </c>
      <c r="Q14" s="1570" t="str">
        <f t="shared" si="6"/>
        <v>交通便捷度</v>
      </c>
      <c r="R14" s="1571" t="s">
        <v>8</v>
      </c>
      <c r="S14" s="1572">
        <f t="shared" si="0"/>
        <v>100</v>
      </c>
      <c r="T14" s="1571" t="s">
        <v>8</v>
      </c>
      <c r="U14" s="1572">
        <f t="shared" si="1"/>
        <v>100</v>
      </c>
      <c r="V14" s="1571" t="s">
        <v>8</v>
      </c>
      <c r="W14" s="1572">
        <f t="shared" si="2"/>
        <v>100</v>
      </c>
      <c r="X14" s="1565"/>
      <c r="Y14" s="3373"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4"/>
      <c r="Q15" s="1570"/>
      <c r="R15" s="1571"/>
      <c r="S15" s="1572"/>
      <c r="T15" s="1571"/>
      <c r="U15" s="1572"/>
      <c r="V15" s="1571"/>
      <c r="W15" s="1572"/>
      <c r="X15" s="1565"/>
      <c r="Y15" s="3374"/>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4"/>
      <c r="Q16" s="1570" t="str">
        <f>B16</f>
        <v>公共配套设施</v>
      </c>
      <c r="R16" s="1571" t="s">
        <v>8</v>
      </c>
      <c r="S16" s="1572">
        <f>F16</f>
        <v>100</v>
      </c>
      <c r="T16" s="1571" t="s">
        <v>8</v>
      </c>
      <c r="U16" s="1572">
        <f>H16</f>
        <v>100</v>
      </c>
      <c r="V16" s="1571" t="s">
        <v>8</v>
      </c>
      <c r="W16" s="1572">
        <f>J16</f>
        <v>100</v>
      </c>
      <c r="X16" s="1565"/>
      <c r="Y16" s="3374"/>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4"/>
      <c r="Q17" s="1570"/>
      <c r="R17" s="1571"/>
      <c r="S17" s="1572"/>
      <c r="T17" s="1571"/>
      <c r="U17" s="1572"/>
      <c r="V17" s="1571"/>
      <c r="W17" s="1572"/>
      <c r="X17" s="1565"/>
      <c r="Y17" s="3374"/>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4"/>
      <c r="Q18" s="2578" t="str">
        <f>B18</f>
        <v>基础设施水平</v>
      </c>
      <c r="R18" s="1571" t="s">
        <v>8</v>
      </c>
      <c r="S18" s="1572">
        <f>F18</f>
        <v>100</v>
      </c>
      <c r="T18" s="1571" t="s">
        <v>8</v>
      </c>
      <c r="U18" s="1572">
        <f>H18</f>
        <v>100</v>
      </c>
      <c r="V18" s="1571" t="s">
        <v>8</v>
      </c>
      <c r="W18" s="1572">
        <f>J18</f>
        <v>100</v>
      </c>
      <c r="X18" s="2580"/>
      <c r="Y18" s="3374"/>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4"/>
      <c r="Q19" s="2578"/>
      <c r="R19" s="1571"/>
      <c r="S19" s="1572"/>
      <c r="T19" s="1571"/>
      <c r="U19" s="1572"/>
      <c r="V19" s="1571"/>
      <c r="W19" s="1572"/>
      <c r="X19" s="2580"/>
      <c r="Y19" s="3374"/>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4"/>
      <c r="Q20" s="1570" t="str">
        <f>B20</f>
        <v>自然及人文环境</v>
      </c>
      <c r="R20" s="1571" t="s">
        <v>8</v>
      </c>
      <c r="S20" s="1572">
        <f>F20</f>
        <v>100</v>
      </c>
      <c r="T20" s="1571" t="s">
        <v>8</v>
      </c>
      <c r="U20" s="1572">
        <f>H20</f>
        <v>100</v>
      </c>
      <c r="V20" s="1571" t="s">
        <v>8</v>
      </c>
      <c r="W20" s="1572">
        <f>J20</f>
        <v>100</v>
      </c>
      <c r="X20" s="1565"/>
      <c r="Y20" s="3374"/>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4"/>
      <c r="Q21" s="1570"/>
      <c r="R21" s="1571"/>
      <c r="S21" s="1572"/>
      <c r="T21" s="1571"/>
      <c r="U21" s="1572"/>
      <c r="V21" s="1571"/>
      <c r="W21" s="1572"/>
      <c r="X21" s="1565"/>
      <c r="Y21" s="3374"/>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4"/>
      <c r="Q22" s="1570" t="str">
        <f>B22</f>
        <v>楼层</v>
      </c>
      <c r="R22" s="1571" t="s">
        <v>8</v>
      </c>
      <c r="S22" s="1572">
        <f>F22</f>
        <v>100</v>
      </c>
      <c r="T22" s="1571" t="s">
        <v>8</v>
      </c>
      <c r="U22" s="1572">
        <f>H22</f>
        <v>100</v>
      </c>
      <c r="V22" s="1571" t="s">
        <v>8</v>
      </c>
      <c r="W22" s="1572">
        <f>J22</f>
        <v>100</v>
      </c>
      <c r="X22" s="1565"/>
      <c r="Y22" s="3374"/>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4"/>
      <c r="Q23" s="1570">
        <f>B23</f>
        <v>111</v>
      </c>
      <c r="R23" s="1571" t="s">
        <v>8</v>
      </c>
      <c r="S23" s="1572">
        <f>F23</f>
        <v>100</v>
      </c>
      <c r="T23" s="1571" t="s">
        <v>8</v>
      </c>
      <c r="U23" s="1572">
        <f>H23</f>
        <v>100</v>
      </c>
      <c r="V23" s="1571" t="s">
        <v>8</v>
      </c>
      <c r="W23" s="1572">
        <f>J23</f>
        <v>100</v>
      </c>
      <c r="X23" s="1565"/>
      <c r="Y23" s="3374"/>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4"/>
      <c r="Q24" s="1570">
        <f t="shared" ref="Q24:Q34" si="11">B24</f>
        <v>111</v>
      </c>
      <c r="R24" s="1571" t="s">
        <v>8</v>
      </c>
      <c r="S24" s="1572">
        <f>F24</f>
        <v>100</v>
      </c>
      <c r="T24" s="1571" t="s">
        <v>8</v>
      </c>
      <c r="U24" s="1572">
        <f>H24</f>
        <v>100</v>
      </c>
      <c r="V24" s="1571" t="s">
        <v>8</v>
      </c>
      <c r="W24" s="1572">
        <f>J24</f>
        <v>100</v>
      </c>
      <c r="X24" s="1565"/>
      <c r="Y24" s="3374"/>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4"/>
      <c r="Q25" s="1149">
        <f t="shared" si="11"/>
        <v>111</v>
      </c>
      <c r="R25" s="1566" t="s">
        <v>8</v>
      </c>
      <c r="S25" s="1567">
        <f>F25</f>
        <v>100</v>
      </c>
      <c r="T25" s="1566" t="s">
        <v>8</v>
      </c>
      <c r="U25" s="1567">
        <f>H25</f>
        <v>100</v>
      </c>
      <c r="V25" s="1566" t="s">
        <v>8</v>
      </c>
      <c r="W25" s="1567">
        <f>J25</f>
        <v>100</v>
      </c>
      <c r="X25" s="1568"/>
      <c r="Y25" s="3374"/>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5"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6"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6"/>
      <c r="Q27" s="1603" t="str">
        <f t="shared" si="11"/>
        <v>成新率</v>
      </c>
      <c r="R27" s="1575" t="s">
        <v>8</v>
      </c>
      <c r="S27" s="1576" t="e">
        <f t="shared" si="12"/>
        <v>#N/A</v>
      </c>
      <c r="T27" s="1575" t="s">
        <v>8</v>
      </c>
      <c r="U27" s="1576" t="e">
        <f t="shared" si="13"/>
        <v>#N/A</v>
      </c>
      <c r="V27" s="1575" t="s">
        <v>8</v>
      </c>
      <c r="W27" s="1576" t="e">
        <f t="shared" si="14"/>
        <v>#N/A</v>
      </c>
      <c r="X27" s="1577"/>
      <c r="Y27" s="3376"/>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6"/>
      <c r="Q28" s="1570" t="str">
        <f t="shared" si="11"/>
        <v>物业等级</v>
      </c>
      <c r="R28" s="1571" t="s">
        <v>8</v>
      </c>
      <c r="S28" s="1572">
        <f t="shared" si="12"/>
        <v>100</v>
      </c>
      <c r="T28" s="1571" t="s">
        <v>8</v>
      </c>
      <c r="U28" s="1572">
        <f t="shared" si="13"/>
        <v>100</v>
      </c>
      <c r="V28" s="1571" t="s">
        <v>8</v>
      </c>
      <c r="W28" s="1572">
        <f t="shared" si="14"/>
        <v>100</v>
      </c>
      <c r="X28" s="1565"/>
      <c r="Y28" s="3376"/>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6"/>
      <c r="Q29" s="1570" t="str">
        <f t="shared" si="11"/>
        <v>有无电梯</v>
      </c>
      <c r="R29" s="1571" t="s">
        <v>8</v>
      </c>
      <c r="S29" s="1572">
        <f t="shared" si="12"/>
        <v>100</v>
      </c>
      <c r="T29" s="1571" t="s">
        <v>8</v>
      </c>
      <c r="U29" s="1572">
        <f t="shared" si="13"/>
        <v>100</v>
      </c>
      <c r="V29" s="1571" t="s">
        <v>8</v>
      </c>
      <c r="W29" s="1572">
        <f t="shared" si="14"/>
        <v>100</v>
      </c>
      <c r="X29" s="1565"/>
      <c r="Y29" s="3376"/>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6"/>
      <c r="Q30" s="1570" t="str">
        <f t="shared" si="11"/>
        <v>建筑面积</v>
      </c>
      <c r="R30" s="1571" t="s">
        <v>8</v>
      </c>
      <c r="S30" s="1572" t="e">
        <f t="shared" si="12"/>
        <v>#N/A</v>
      </c>
      <c r="T30" s="1571" t="s">
        <v>8</v>
      </c>
      <c r="U30" s="1572" t="e">
        <f t="shared" si="13"/>
        <v>#N/A</v>
      </c>
      <c r="V30" s="1571" t="s">
        <v>8</v>
      </c>
      <c r="W30" s="1572" t="e">
        <f t="shared" si="14"/>
        <v>#N/A</v>
      </c>
      <c r="X30" s="1565"/>
      <c r="Y30" s="3376"/>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6"/>
      <c r="Q31" s="1149" t="str">
        <f t="shared" si="11"/>
        <v>是否封闭</v>
      </c>
      <c r="R31" s="1566" t="s">
        <v>8</v>
      </c>
      <c r="S31" s="1567">
        <f t="shared" si="12"/>
        <v>100</v>
      </c>
      <c r="T31" s="1566" t="s">
        <v>8</v>
      </c>
      <c r="U31" s="1567">
        <f t="shared" si="13"/>
        <v>100</v>
      </c>
      <c r="V31" s="1566" t="s">
        <v>8</v>
      </c>
      <c r="W31" s="1567">
        <f t="shared" si="14"/>
        <v>100</v>
      </c>
      <c r="X31" s="1568"/>
      <c r="Y31" s="3376"/>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6" t="s">
        <v>515</v>
      </c>
      <c r="Q32" s="1570">
        <f t="shared" si="11"/>
        <v>111</v>
      </c>
      <c r="R32" s="1571" t="s">
        <v>8</v>
      </c>
      <c r="S32" s="1572">
        <f t="shared" si="12"/>
        <v>100</v>
      </c>
      <c r="T32" s="1571" t="s">
        <v>8</v>
      </c>
      <c r="U32" s="1572">
        <f t="shared" si="13"/>
        <v>100</v>
      </c>
      <c r="V32" s="1571" t="s">
        <v>8</v>
      </c>
      <c r="W32" s="1572">
        <f t="shared" si="14"/>
        <v>100</v>
      </c>
      <c r="X32" s="1565"/>
      <c r="Y32" s="3376"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6"/>
      <c r="Q33" s="1570">
        <f t="shared" si="11"/>
        <v>111</v>
      </c>
      <c r="R33" s="1571" t="s">
        <v>8</v>
      </c>
      <c r="S33" s="1572">
        <f t="shared" si="12"/>
        <v>100</v>
      </c>
      <c r="T33" s="1571" t="s">
        <v>8</v>
      </c>
      <c r="U33" s="1572">
        <f t="shared" si="13"/>
        <v>100</v>
      </c>
      <c r="V33" s="1571" t="s">
        <v>8</v>
      </c>
      <c r="W33" s="1572">
        <f t="shared" si="14"/>
        <v>100</v>
      </c>
      <c r="X33" s="1565"/>
      <c r="Y33" s="3376"/>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6"/>
      <c r="Q34" s="1570">
        <f t="shared" si="11"/>
        <v>111</v>
      </c>
      <c r="R34" s="1571" t="s">
        <v>8</v>
      </c>
      <c r="S34" s="1572">
        <f t="shared" si="12"/>
        <v>100</v>
      </c>
      <c r="T34" s="1571" t="s">
        <v>8</v>
      </c>
      <c r="U34" s="1572">
        <f t="shared" si="13"/>
        <v>100</v>
      </c>
      <c r="V34" s="1571" t="s">
        <v>8</v>
      </c>
      <c r="W34" s="1572">
        <f t="shared" si="14"/>
        <v>100</v>
      </c>
      <c r="X34" s="1565"/>
      <c r="Y34" s="3376"/>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71" t="str">
        <f>A35</f>
        <v>成交单价（元/平方米）</v>
      </c>
      <c r="Q35" s="3371"/>
      <c r="R35" s="3475">
        <f>E35</f>
        <v>0</v>
      </c>
      <c r="S35" s="3475"/>
      <c r="T35" s="3475">
        <f>G35</f>
        <v>0</v>
      </c>
      <c r="U35" s="3475"/>
      <c r="V35" s="3475">
        <f>I35</f>
        <v>0</v>
      </c>
      <c r="W35" s="3475"/>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93" t="str">
        <f>A37</f>
        <v>估价对象XX用房的比较价格（楼面单价，元/平方米）</v>
      </c>
      <c r="Q37" s="3394"/>
      <c r="R37" s="3474" t="e">
        <f>IF(F1="售价",ROUND(AVERAGE(R36:V36),0),ROUND(AVERAGE(R36:V36),1))</f>
        <v>#DIV/0!</v>
      </c>
      <c r="S37" s="3474"/>
      <c r="T37" s="3474"/>
      <c r="U37" s="3474"/>
      <c r="V37" s="3474"/>
      <c r="W37" s="347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受贵公司委托，我公司对丹阳出让国有建设用地使用权抵押价格进行了预评估。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估价对象为使用的、位于丹阳出让国有建设用地使用权。根据《国有土地使用证》，估价对象（分摊）出让国有建设用地使用权面积为76276.6平方米。根据《出让合同》，估价对象规划建筑面积为266968.1平方米。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2018年11月12日（评估专业人员勘察现场之日）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根据《国有土地使用证》，估价对象（分摊）出让国有建设用地使用权面积为76276.6平方米。根据《出让合同》，估价对象规划建筑面积为266968.1平方米。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4" t="s">
        <v>2266</v>
      </c>
      <c r="D1" s="3485"/>
      <c r="E1" s="3485"/>
      <c r="F1" s="3485"/>
      <c r="G1" s="3485"/>
      <c r="H1" s="3485"/>
      <c r="I1" s="3485"/>
      <c r="J1" s="3485"/>
      <c r="K1" s="3485"/>
      <c r="L1" s="3485"/>
      <c r="M1" s="3485"/>
      <c r="N1" s="3485"/>
      <c r="O1" s="3485"/>
      <c r="P1" s="3485"/>
      <c r="Q1" s="3485"/>
      <c r="R1" s="3485"/>
      <c r="S1" s="3486"/>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81" t="s">
        <v>19</v>
      </c>
      <c r="D22" s="3482"/>
      <c r="E22" s="3482"/>
      <c r="F22" s="3482"/>
      <c r="G22" s="3482"/>
      <c r="H22" s="3482"/>
      <c r="I22" s="3482"/>
      <c r="J22" s="3482"/>
      <c r="K22" s="3482"/>
      <c r="L22" s="3482"/>
      <c r="M22" s="3482"/>
      <c r="N22" s="3482"/>
      <c r="O22" s="3482"/>
      <c r="P22" s="3482"/>
      <c r="Q22" s="3483"/>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43416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2</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1" t="s">
        <v>2000</v>
      </c>
      <c r="B1" s="3191"/>
      <c r="C1" s="3191"/>
      <c r="D1" s="3191"/>
      <c r="E1" s="3191"/>
      <c r="F1" s="3191"/>
      <c r="G1" s="3191"/>
      <c r="H1" s="3191"/>
      <c r="I1" s="3191"/>
      <c r="J1" s="3191"/>
      <c r="K1" s="3191"/>
      <c r="L1" s="3191"/>
      <c r="M1" s="3191"/>
      <c r="N1" s="3191"/>
      <c r="O1" s="3191"/>
      <c r="P1" s="3191"/>
      <c r="Q1" s="3191"/>
      <c r="R1" s="3191"/>
    </row>
    <row r="2" spans="1:18">
      <c r="A2" s="1806" t="s">
        <v>2002</v>
      </c>
      <c r="B2" s="1806"/>
      <c r="C2" s="1806"/>
      <c r="D2" s="1806"/>
      <c r="E2" s="1806"/>
      <c r="F2" s="1806"/>
      <c r="G2" s="1806"/>
      <c r="H2" s="1806"/>
      <c r="I2" s="1807"/>
      <c r="J2" s="1807"/>
      <c r="K2" s="1808" t="str">
        <f>"估价期日："&amp;TEXT(项目基本情况!D3,"yyyy年m月d日;;")</f>
        <v>估价期日：2018年11月12日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2" t="s">
        <v>1991</v>
      </c>
      <c r="B3" s="3192" t="s">
        <v>2693</v>
      </c>
      <c r="C3" s="3193" t="s">
        <v>1992</v>
      </c>
      <c r="D3" s="3192" t="s">
        <v>2697</v>
      </c>
      <c r="E3" s="3195" t="s">
        <v>1993</v>
      </c>
      <c r="F3" s="3195"/>
      <c r="G3" s="3195"/>
      <c r="H3" s="3195" t="s">
        <v>1994</v>
      </c>
      <c r="I3" s="3195"/>
      <c r="J3" s="3195"/>
      <c r="K3" s="3193" t="s">
        <v>1995</v>
      </c>
      <c r="L3" s="3193" t="s">
        <v>1996</v>
      </c>
      <c r="M3" s="3192" t="s">
        <v>2694</v>
      </c>
      <c r="N3" s="3194" t="str">
        <f>"（分摊）"&amp;项目基本情况!B16&amp;"国有建设用地使用权面积/㎡"</f>
        <v>（分摊）出让国有建设用地使用权面积/㎡</v>
      </c>
      <c r="O3" s="3192" t="s">
        <v>2025</v>
      </c>
      <c r="P3" s="3193" t="s">
        <v>2005</v>
      </c>
      <c r="Q3" s="3193" t="s">
        <v>2026</v>
      </c>
      <c r="R3" s="3193" t="s">
        <v>1997</v>
      </c>
    </row>
    <row r="4" spans="1:18" ht="36.75" customHeight="1">
      <c r="A4" s="3192"/>
      <c r="B4" s="3192"/>
      <c r="C4" s="3193"/>
      <c r="D4" s="3192"/>
      <c r="E4" s="2648" t="s">
        <v>2004</v>
      </c>
      <c r="F4" s="2648" t="s">
        <v>2706</v>
      </c>
      <c r="G4" s="2648" t="s">
        <v>1998</v>
      </c>
      <c r="H4" s="2648" t="s">
        <v>1999</v>
      </c>
      <c r="I4" s="2648" t="s">
        <v>2707</v>
      </c>
      <c r="J4" s="2648" t="s">
        <v>1998</v>
      </c>
      <c r="K4" s="3193"/>
      <c r="L4" s="3193"/>
      <c r="M4" s="3192"/>
      <c r="N4" s="3194"/>
      <c r="O4" s="3192"/>
      <c r="P4" s="3193"/>
      <c r="Q4" s="3193"/>
      <c r="R4" s="3193"/>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76276.600000000006</v>
      </c>
      <c r="O5" s="1809">
        <f>项目基本情况!C21</f>
        <v>266968.10000000003</v>
      </c>
      <c r="P5" s="1809">
        <f ca="1">结果表!E42</f>
        <v>10254</v>
      </c>
      <c r="Q5" s="1809">
        <f ca="1">结果表!D42</f>
        <v>2930</v>
      </c>
      <c r="R5" s="1810">
        <f ca="1">结果表!C42</f>
        <v>78213</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1">
        <f ca="1">结果表!O39</f>
        <v>78213</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1"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199" t="s">
        <v>2027</v>
      </c>
      <c r="B1" s="3199"/>
      <c r="C1" s="3199"/>
      <c r="D1" s="3199"/>
    </row>
    <row r="2" spans="1:4" ht="47.25" customHeight="1">
      <c r="A2" s="3203" t="str">
        <f>"1.权利限制："&amp;项目基本情况!L24&amp;"未设定租赁等其他他项权利。"</f>
        <v>1.权利限制：根据估价对象《不动产权证书》复印件、《国有土地使用权》复印件，截至估价期日，估价对象抵押权未见登记。未设定租赁等其他他项权利。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3.估价规划限制条件：详见《出让合同》。</v>
      </c>
      <c r="B4" s="3199"/>
      <c r="C4" s="3199"/>
      <c r="D4" s="3199"/>
    </row>
    <row r="5" spans="1:4">
      <c r="A5" s="3202" t="s">
        <v>2028</v>
      </c>
      <c r="B5" s="3202"/>
      <c r="C5" s="3202"/>
      <c r="D5" s="3202"/>
    </row>
    <row r="6" spans="1:4">
      <c r="A6" s="3199" t="s">
        <v>2006</v>
      </c>
      <c r="B6" s="3199"/>
      <c r="C6" s="3199"/>
      <c r="D6" s="3199"/>
    </row>
    <row r="7" spans="1:4" ht="33" customHeight="1">
      <c r="A7" s="3199" t="s">
        <v>2537</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（1）根据估价对象《不动产权证书》复印件、《国有土地使用权》复印件，截至估价期日，估价对象抵押权未见登记。</v>
      </c>
      <c r="B11" s="3201"/>
      <c r="C11" s="3201"/>
      <c r="D11" s="3201"/>
    </row>
    <row r="12" spans="1:4" ht="168" customHeight="1">
      <c r="A12" s="3202" t="s">
        <v>2030</v>
      </c>
      <c r="B12" s="3202"/>
      <c r="C12" s="3202"/>
      <c r="D12" s="3202"/>
    </row>
    <row r="13" spans="1:4">
      <c r="A13" s="3200" t="s">
        <v>2708</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2664</v>
      </c>
      <c r="B17" s="3199"/>
      <c r="C17" s="3199"/>
      <c r="D17" s="3199"/>
    </row>
    <row r="18" spans="1:4">
      <c r="A18" s="3199" t="s">
        <v>2656</v>
      </c>
      <c r="B18" s="3199"/>
      <c r="C18" s="3199"/>
      <c r="D18" s="3199"/>
    </row>
    <row r="19" spans="1:4">
      <c r="A19" s="2867" t="s">
        <v>2657</v>
      </c>
      <c r="B19" s="2867" t="s">
        <v>2658</v>
      </c>
      <c r="C19" s="2867" t="s">
        <v>2659</v>
      </c>
      <c r="D19" s="2867" t="s">
        <v>2660</v>
      </c>
    </row>
    <row r="20" spans="1:4">
      <c r="A20" s="2867" t="str">
        <f>项目基本情况!B4</f>
        <v>吴薇</v>
      </c>
      <c r="B20" s="2867">
        <f ca="1">项目基本情况!C4</f>
        <v>2002110125</v>
      </c>
      <c r="C20" s="2869"/>
      <c r="D20" s="1799" t="s">
        <v>2665</v>
      </c>
    </row>
    <row r="21" spans="1:4">
      <c r="A21" s="2867" t="str">
        <f>项目基本情况!D4</f>
        <v>崔锴</v>
      </c>
      <c r="B21" s="2867">
        <f ca="1">项目基本情况!E4</f>
        <v>2010110070</v>
      </c>
      <c r="C21" s="2869"/>
      <c r="D21" s="1799" t="s">
        <v>2666</v>
      </c>
    </row>
    <row r="23" spans="1:4">
      <c r="A23" s="3199" t="s">
        <v>2661</v>
      </c>
      <c r="B23" s="3199"/>
      <c r="C23" s="3199"/>
      <c r="D23" s="3199"/>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11" t="s">
        <v>52</v>
      </c>
      <c r="B15" s="3212" t="s">
        <v>811</v>
      </c>
      <c r="C15" s="3208"/>
    </row>
    <row r="16" spans="1:7" ht="14.4">
      <c r="A16" s="3211"/>
      <c r="B16" s="3209" t="s">
        <v>53</v>
      </c>
      <c r="C16" s="1170" t="s">
        <v>52</v>
      </c>
    </row>
    <row r="17" spans="1:3" ht="14.4">
      <c r="A17" s="3211"/>
      <c r="B17" s="3209"/>
      <c r="C17" s="1170" t="s">
        <v>54</v>
      </c>
    </row>
    <row r="18" spans="1:3" ht="14.4">
      <c r="A18" s="3211"/>
      <c r="B18" s="3209"/>
      <c r="C18" s="1170" t="s">
        <v>55</v>
      </c>
    </row>
    <row r="19" spans="1:3" ht="14.4">
      <c r="A19" s="3211"/>
      <c r="B19" s="3207" t="s">
        <v>56</v>
      </c>
      <c r="C19" s="3208"/>
    </row>
    <row r="20" spans="1:3" ht="14.4">
      <c r="A20" s="1171" t="s">
        <v>57</v>
      </c>
      <c r="B20" s="1172"/>
      <c r="C20" s="1173"/>
    </row>
    <row r="21" spans="1:3" ht="14.4">
      <c r="A21" s="3210" t="s">
        <v>58</v>
      </c>
      <c r="B21" s="3207" t="s">
        <v>59</v>
      </c>
      <c r="C21" s="3208"/>
    </row>
    <row r="22" spans="1:3" ht="14.4">
      <c r="A22" s="3210"/>
      <c r="B22" s="3207" t="s">
        <v>60</v>
      </c>
      <c r="C22" s="3208"/>
    </row>
    <row r="23" spans="1:3" ht="14.4">
      <c r="A23" s="3210"/>
      <c r="B23" s="3207" t="s">
        <v>61</v>
      </c>
      <c r="C23" s="3208"/>
    </row>
    <row r="24" spans="1:3" ht="14.4">
      <c r="A24" s="3210"/>
      <c r="B24" s="3213" t="s">
        <v>62</v>
      </c>
      <c r="C24" s="1174" t="s">
        <v>802</v>
      </c>
    </row>
    <row r="25" spans="1:3" ht="14.4">
      <c r="A25" s="3210"/>
      <c r="B25" s="3214"/>
      <c r="C25" s="1174" t="s">
        <v>803</v>
      </c>
    </row>
    <row r="26" spans="1:3" ht="14.4">
      <c r="A26" s="3210"/>
      <c r="B26" s="3214"/>
      <c r="C26" s="1174" t="s">
        <v>804</v>
      </c>
    </row>
    <row r="27" spans="1:3" ht="14.4">
      <c r="A27" s="3210"/>
      <c r="B27" s="3214"/>
      <c r="C27" s="1174" t="s">
        <v>805</v>
      </c>
    </row>
    <row r="28" spans="1:3" ht="14.4">
      <c r="A28" s="3210"/>
      <c r="B28" s="3214"/>
      <c r="C28" s="1174" t="s">
        <v>806</v>
      </c>
    </row>
    <row r="29" spans="1:3" ht="14.4">
      <c r="A29" s="3210"/>
      <c r="B29" s="3214"/>
      <c r="C29" s="1174" t="s">
        <v>807</v>
      </c>
    </row>
    <row r="30" spans="1:3" ht="14.4">
      <c r="A30" s="3210"/>
      <c r="B30" s="3214"/>
      <c r="C30" s="1174" t="s">
        <v>808</v>
      </c>
    </row>
    <row r="31" spans="1:3" ht="14.4">
      <c r="A31" s="3210"/>
      <c r="B31" s="3214"/>
      <c r="C31" s="1174" t="s">
        <v>809</v>
      </c>
    </row>
    <row r="32" spans="1:3" ht="14.4">
      <c r="A32" s="3210"/>
      <c r="B32" s="3214"/>
      <c r="C32" s="1174" t="s">
        <v>1611</v>
      </c>
    </row>
    <row r="33" spans="1:3" ht="14.4">
      <c r="A33" s="3210"/>
      <c r="B33" s="3204" t="s">
        <v>1617</v>
      </c>
      <c r="C33" s="1174" t="s">
        <v>1612</v>
      </c>
    </row>
    <row r="34" spans="1:3" ht="14.4">
      <c r="A34" s="3210"/>
      <c r="B34" s="3205"/>
      <c r="C34" s="1179" t="s">
        <v>1613</v>
      </c>
    </row>
    <row r="35" spans="1:3" ht="14.4">
      <c r="A35" s="3210"/>
      <c r="B35" s="3205"/>
      <c r="C35" s="1180" t="s">
        <v>1614</v>
      </c>
    </row>
    <row r="36" spans="1:3" ht="14.4">
      <c r="A36" s="3210"/>
      <c r="B36" s="3205"/>
      <c r="C36" s="1180" t="s">
        <v>1615</v>
      </c>
    </row>
    <row r="37" spans="1:3" ht="14.4">
      <c r="A37" s="3210"/>
      <c r="B37" s="3206"/>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43419</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5" t="s">
        <v>1890</v>
      </c>
      <c r="B25" s="3215"/>
      <c r="C25" s="3215"/>
      <c r="D25" s="3215"/>
      <c r="E25" s="3215"/>
      <c r="F25" s="3215"/>
      <c r="G25" s="3215"/>
    </row>
    <row r="26" spans="1:7" ht="20.25" customHeight="1">
      <c r="A26" s="3216" t="s">
        <v>1891</v>
      </c>
      <c r="B26" s="3216"/>
      <c r="C26" s="3216"/>
      <c r="D26" s="3216" t="s">
        <v>1892</v>
      </c>
      <c r="E26" s="3216"/>
      <c r="F26" s="3216"/>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丹阳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7"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12日，在规划利用条件下、设定土地开发程度为红线外“七通”、宗地内场地平整，设定用途为，剩余土地使用年限为的出让国有建设用地使用权价格。</v>
      </c>
      <c r="D53" s="1766"/>
      <c r="E53" s="1766"/>
    </row>
    <row r="54" spans="1:5">
      <c r="A54" s="3217"/>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7"/>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7"/>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7"/>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2018-11-15T05:53:48Z</dcterms:modified>
</cp:coreProperties>
</file>