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商业" sheetId="33" state="hidden" r:id="rId23"/>
    <sheet name="Sheet1" sheetId="80" state="hidden" r:id="rId24"/>
    <sheet name="比较法-办公" sheetId="34" r:id="rId25"/>
    <sheet name="收益法" sheetId="15" r:id="rId26"/>
    <sheet name="收益法 (元)" sheetId="67" state="hidden" r:id="rId27"/>
    <sheet name="案例" sheetId="81"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E105" i="34" l="1"/>
  <c r="F105" i="34"/>
  <c r="G105" i="34" s="1"/>
  <c r="D105" i="34"/>
  <c r="C66" i="9"/>
  <c r="N6" i="1"/>
  <c r="E10" i="34" l="1"/>
  <c r="C75" i="9"/>
  <c r="Y6" i="1"/>
  <c r="I5" i="80"/>
  <c r="I6" i="80" s="1"/>
  <c r="F19" i="6"/>
  <c r="C34" i="34" s="1"/>
  <c r="C19" i="6"/>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R18" i="79"/>
  <c r="AR19" i="79" s="1"/>
  <c r="AD38" i="79"/>
  <c r="AD36" i="79"/>
  <c r="AD37" i="79"/>
  <c r="AR40" i="79"/>
  <c r="AR41" i="79" s="1"/>
  <c r="AR42" i="79" s="1"/>
  <c r="AR43" i="79" s="1"/>
  <c r="AR44" i="79" s="1"/>
  <c r="AR45" i="79" s="1"/>
  <c r="AR46" i="79" s="1"/>
  <c r="AR47" i="79" s="1"/>
  <c r="AR48" i="79" s="1"/>
  <c r="AR49" i="79" s="1"/>
  <c r="AR50" i="79" s="1"/>
  <c r="AR51" i="79" s="1"/>
  <c r="AR52" i="79" s="1"/>
  <c r="U35" i="79"/>
  <c r="AI35" i="79" s="1"/>
  <c r="U34" i="79"/>
  <c r="AI34" i="79" s="1"/>
  <c r="U33" i="79"/>
  <c r="AI33" i="79" s="1"/>
  <c r="S20" i="79"/>
  <c r="AG20" i="79" s="1"/>
  <c r="T22" i="79"/>
  <c r="Z3" i="79"/>
  <c r="S34" i="79"/>
  <c r="AG34" i="79" s="1"/>
  <c r="S33" i="79"/>
  <c r="AG33" i="79" s="1"/>
  <c r="S35" i="79"/>
  <c r="AG35" i="79" s="1"/>
  <c r="AA31" i="79"/>
  <c r="AD31" i="79" s="1"/>
  <c r="T40" i="79"/>
  <c r="U46" i="79"/>
  <c r="AI46" i="79" s="1"/>
  <c r="AD47" i="79"/>
  <c r="S48" i="79"/>
  <c r="AG48" i="79" s="1"/>
  <c r="AR20" i="79"/>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3" i="79"/>
  <c r="AK33" i="79" s="1"/>
  <c r="AH33" i="79"/>
  <c r="W11" i="79"/>
  <c r="AK11" i="79" s="1"/>
  <c r="AH11" i="79"/>
  <c r="W10" i="79"/>
  <c r="AK10" i="79" s="1"/>
  <c r="AH10"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X19" i="71" s="1"/>
  <c r="AH18" i="71"/>
  <c r="AG18" i="71"/>
  <c r="AE18" i="71"/>
  <c r="AF18" i="71" s="1"/>
  <c r="AD18" i="71"/>
  <c r="F24" i="12"/>
  <c r="F7" i="69"/>
  <c r="C7" i="69" s="1"/>
  <c r="F7" i="68"/>
  <c r="C7" i="68" s="1"/>
  <c r="AH19" i="71"/>
  <c r="AG19" i="71"/>
  <c r="AE19" i="71"/>
  <c r="AF19" i="71" s="1"/>
  <c r="AD19" i="71"/>
  <c r="AD20" i="71"/>
  <c r="AH20" i="71"/>
  <c r="AG20" i="71"/>
  <c r="AE20" i="71"/>
  <c r="AF20" i="71" s="1"/>
  <c r="Q20" i="71"/>
  <c r="P20" i="71"/>
  <c r="AA19" i="71" s="1"/>
  <c r="O20" i="71"/>
  <c r="Y20" i="71" s="1"/>
  <c r="Z20" i="71" s="1"/>
  <c r="N20" i="71"/>
  <c r="X20" i="71" s="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F23" i="71" s="1"/>
  <c r="F22" i="71" s="1"/>
  <c r="F21" i="71" s="1"/>
  <c r="F20" i="71" s="1"/>
  <c r="F19" i="71" s="1"/>
  <c r="F18" i="71" s="1"/>
  <c r="F17"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E72" i="71"/>
  <c r="E71" i="71" s="1"/>
  <c r="E70" i="71" s="1"/>
  <c r="U72" i="71"/>
  <c r="C72" i="71"/>
  <c r="B72" i="71"/>
  <c r="Q71" i="71"/>
  <c r="P71" i="71"/>
  <c r="O71" i="71"/>
  <c r="N71" i="71"/>
  <c r="Q70" i="71"/>
  <c r="P70" i="71"/>
  <c r="O70" i="71"/>
  <c r="N70" i="71"/>
  <c r="Q69" i="71"/>
  <c r="P69" i="71"/>
  <c r="O69" i="71"/>
  <c r="N69" i="71"/>
  <c r="D69" i="71"/>
  <c r="F68" i="71"/>
  <c r="F67" i="71" s="1"/>
  <c r="V68" i="71"/>
  <c r="E68" i="71"/>
  <c r="C68" i="71"/>
  <c r="B68" i="71"/>
  <c r="D65" i="71"/>
  <c r="Q64" i="71"/>
  <c r="P64" i="71"/>
  <c r="O64" i="71"/>
  <c r="N64" i="71"/>
  <c r="Q63" i="71"/>
  <c r="P63" i="71"/>
  <c r="O63" i="71"/>
  <c r="N63" i="71"/>
  <c r="Q62" i="71"/>
  <c r="P62" i="71"/>
  <c r="O62" i="71"/>
  <c r="C63" i="71" s="1"/>
  <c r="C64" i="71" s="1"/>
  <c r="N62" i="71"/>
  <c r="Q61" i="71"/>
  <c r="F62" i="71" s="1"/>
  <c r="F63"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E48" i="71" s="1"/>
  <c r="U48" i="71" s="1"/>
  <c r="O47" i="71"/>
  <c r="N47" i="71"/>
  <c r="Q46" i="71"/>
  <c r="P46" i="71"/>
  <c r="O46" i="71"/>
  <c r="N46" i="71"/>
  <c r="Q45" i="71"/>
  <c r="F46" i="71" s="1"/>
  <c r="F47" i="71" s="1"/>
  <c r="P45" i="71"/>
  <c r="E46" i="71" s="1"/>
  <c r="E47" i="71" s="1"/>
  <c r="O45" i="71"/>
  <c r="C46" i="71" s="1"/>
  <c r="N45" i="71"/>
  <c r="B46" i="71" s="1"/>
  <c r="D45" i="71"/>
  <c r="Q44" i="71"/>
  <c r="P44" i="71"/>
  <c r="O44" i="71"/>
  <c r="N44" i="71"/>
  <c r="Q43" i="71"/>
  <c r="P43" i="71"/>
  <c r="O43" i="71"/>
  <c r="N43" i="71"/>
  <c r="Q42" i="71"/>
  <c r="P42" i="71"/>
  <c r="O42" i="71"/>
  <c r="N42" i="71"/>
  <c r="Q41" i="71"/>
  <c r="F42" i="71" s="1"/>
  <c r="F43" i="71" s="1"/>
  <c r="P41" i="71"/>
  <c r="E42" i="71"/>
  <c r="O41" i="71"/>
  <c r="C42" i="71" s="1"/>
  <c r="D42" i="71" s="1"/>
  <c r="N41" i="71"/>
  <c r="B42" i="71"/>
  <c r="B43" i="71"/>
  <c r="B44" i="71" s="1"/>
  <c r="S44" i="71" s="1"/>
  <c r="D41" i="71"/>
  <c r="Q40" i="71"/>
  <c r="P40" i="71"/>
  <c r="O40" i="71"/>
  <c r="N40" i="71"/>
  <c r="Q39" i="71"/>
  <c r="AB39" i="71" s="1"/>
  <c r="P39" i="71"/>
  <c r="O39" i="71"/>
  <c r="N39" i="71"/>
  <c r="X39" i="71"/>
  <c r="Q38" i="71"/>
  <c r="P38" i="71"/>
  <c r="O38" i="71"/>
  <c r="N38" i="71"/>
  <c r="B39" i="71" s="1"/>
  <c r="B40" i="71" s="1"/>
  <c r="S40" i="71" s="1"/>
  <c r="Q37" i="71"/>
  <c r="P37" i="71"/>
  <c r="AA37" i="71" s="1"/>
  <c r="O37" i="71"/>
  <c r="C38" i="71" s="1"/>
  <c r="N37" i="71"/>
  <c r="B38" i="71" s="1"/>
  <c r="D37" i="71"/>
  <c r="Q36" i="71"/>
  <c r="P36" i="71"/>
  <c r="O36" i="71"/>
  <c r="N36" i="71"/>
  <c r="Q35" i="71"/>
  <c r="P35" i="71"/>
  <c r="O35" i="71"/>
  <c r="N35" i="71"/>
  <c r="Q34" i="71"/>
  <c r="P34" i="71"/>
  <c r="O34" i="71"/>
  <c r="N34" i="71"/>
  <c r="X34" i="71" s="1"/>
  <c r="Q33" i="71"/>
  <c r="P33" i="71"/>
  <c r="O33" i="71"/>
  <c r="N33" i="71"/>
  <c r="D33" i="71"/>
  <c r="Q32" i="71"/>
  <c r="P32" i="71"/>
  <c r="O32" i="71"/>
  <c r="N32" i="71"/>
  <c r="Q31" i="71"/>
  <c r="P31" i="71"/>
  <c r="O31" i="71"/>
  <c r="N31" i="71"/>
  <c r="Q30" i="71"/>
  <c r="P30" i="71"/>
  <c r="O30" i="71"/>
  <c r="N30" i="71"/>
  <c r="Q29" i="71"/>
  <c r="F30" i="71" s="1"/>
  <c r="P29" i="71"/>
  <c r="E30" i="71" s="1"/>
  <c r="O29" i="71"/>
  <c r="N29" i="71"/>
  <c r="B30" i="71" s="1"/>
  <c r="B31" i="71" s="1"/>
  <c r="D29" i="71"/>
  <c r="O28" i="71"/>
  <c r="N28" i="71"/>
  <c r="E34" i="71"/>
  <c r="C30" i="71"/>
  <c r="D30" i="71" s="1"/>
  <c r="C34" i="71"/>
  <c r="D34" i="71" s="1"/>
  <c r="D50" i="71"/>
  <c r="P28" i="71"/>
  <c r="E67" i="71"/>
  <c r="Q28" i="71"/>
  <c r="F28" i="71" s="1"/>
  <c r="D62" i="71"/>
  <c r="Q68"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C29" i="39"/>
  <c r="H25" i="40"/>
  <c r="AB25" i="40" s="1"/>
  <c r="J25" i="40"/>
  <c r="H29" i="39"/>
  <c r="AB29" i="39" s="1"/>
  <c r="J29" i="39"/>
  <c r="J18" i="36"/>
  <c r="AC18" i="36" s="1"/>
  <c r="H18" i="35"/>
  <c r="AB18" i="35" s="1"/>
  <c r="J18" i="35"/>
  <c r="H21" i="37"/>
  <c r="F21" i="37"/>
  <c r="H21" i="34"/>
  <c r="H21" i="33"/>
  <c r="F21" i="33"/>
  <c r="H1" i="69"/>
  <c r="U25" i="40"/>
  <c r="U29" i="39"/>
  <c r="J21" i="37"/>
  <c r="J21" i="34"/>
  <c r="W21" i="34" s="1"/>
  <c r="J21" i="33"/>
  <c r="H21" i="21"/>
  <c r="U21" i="21" s="1"/>
  <c r="F38" i="69"/>
  <c r="E37" i="69"/>
  <c r="F36" i="69"/>
  <c r="F35" i="69"/>
  <c r="F21" i="69"/>
  <c r="F20" i="69"/>
  <c r="F39" i="69" s="1"/>
  <c r="E10" i="69"/>
  <c r="E9" i="69"/>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7" i="33" s="1"/>
  <c r="G7" i="33" s="1"/>
  <c r="I7" i="33" s="1"/>
  <c r="E15" i="4"/>
  <c r="A7" i="1"/>
  <c r="B7" i="1" s="1"/>
  <c r="E7" i="1" s="1"/>
  <c r="A8" i="1"/>
  <c r="A9" i="1"/>
  <c r="A10" i="1"/>
  <c r="A11" i="1"/>
  <c r="B11" i="1" s="1"/>
  <c r="E11" i="1" s="1"/>
  <c r="A12" i="1"/>
  <c r="K12" i="1" s="1"/>
  <c r="M12" i="1" s="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K5" i="3" s="1"/>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A92" i="3" s="1"/>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J5" i="3" s="1"/>
  <c r="BI87" i="3"/>
  <c r="BH87" i="3"/>
  <c r="BG87" i="3"/>
  <c r="BF87" i="3"/>
  <c r="BE87" i="3"/>
  <c r="BD87" i="3"/>
  <c r="BC87" i="3"/>
  <c r="BB87" i="3"/>
  <c r="AX87" i="3"/>
  <c r="AW87" i="3"/>
  <c r="AV87" i="3"/>
  <c r="AC87" i="3"/>
  <c r="H87" i="3"/>
  <c r="G87" i="3" s="1"/>
  <c r="BT86" i="3"/>
  <c r="BS86" i="3"/>
  <c r="BR86" i="3"/>
  <c r="BL86" i="3" s="1"/>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L76" i="3" s="1"/>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L35" i="3" s="1"/>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A30" i="3" s="1"/>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L196" i="3" s="1"/>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A167" i="3" s="1"/>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L164" i="3" s="1"/>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A163" i="3" s="1"/>
  <c r="AZ163" i="3" s="1"/>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L160" i="3" s="1"/>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A159" i="3" s="1"/>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A143" i="3" s="1"/>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L140" i="3" s="1"/>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A139" i="3" s="1"/>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L124" i="3" s="1"/>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A123" i="3" s="1"/>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L267" i="3" s="1"/>
  <c r="BO267" i="3"/>
  <c r="BN267" i="3"/>
  <c r="BM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A220" i="3" s="1"/>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L391" i="3" s="1"/>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A390" i="3" s="1"/>
  <c r="BH390" i="3"/>
  <c r="BG390" i="3"/>
  <c r="BF390" i="3"/>
  <c r="BE390" i="3"/>
  <c r="BD390" i="3"/>
  <c r="BC390" i="3"/>
  <c r="BB390" i="3"/>
  <c r="AX390" i="3"/>
  <c r="AW390" i="3"/>
  <c r="AV390" i="3"/>
  <c r="AC390" i="3"/>
  <c r="H390" i="3"/>
  <c r="BT389" i="3"/>
  <c r="BS389" i="3"/>
  <c r="BR389" i="3"/>
  <c r="BQ389" i="3"/>
  <c r="BL389" i="3" s="1"/>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L384" i="3" s="1"/>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A383" i="3" s="1"/>
  <c r="AZ383" i="3" s="1"/>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A381" i="3" s="1"/>
  <c r="BF381" i="3"/>
  <c r="BE381" i="3"/>
  <c r="BD381" i="3"/>
  <c r="BC381" i="3"/>
  <c r="BB381" i="3"/>
  <c r="AX381" i="3"/>
  <c r="AW381" i="3"/>
  <c r="AV381" i="3"/>
  <c r="AC381" i="3"/>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s="1"/>
  <c r="BT379" i="3"/>
  <c r="BS379" i="3"/>
  <c r="BR379" i="3"/>
  <c r="BL379" i="3" s="1"/>
  <c r="BQ379" i="3"/>
  <c r="BP379" i="3"/>
  <c r="BO379" i="3"/>
  <c r="BN379" i="3"/>
  <c r="BM379" i="3"/>
  <c r="BK379" i="3"/>
  <c r="BJ379" i="3"/>
  <c r="BI379" i="3"/>
  <c r="BH379" i="3"/>
  <c r="BG379" i="3"/>
  <c r="BF379" i="3"/>
  <c r="BA379" i="3" s="1"/>
  <c r="AZ379" i="3" s="1"/>
  <c r="BE379" i="3"/>
  <c r="BD379" i="3"/>
  <c r="BC379" i="3"/>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A377" i="3" s="1"/>
  <c r="AZ377" i="3" s="1"/>
  <c r="BC377" i="3"/>
  <c r="BB377" i="3"/>
  <c r="AX377" i="3"/>
  <c r="AW377" i="3"/>
  <c r="AV377" i="3"/>
  <c r="AC377" i="3"/>
  <c r="H377" i="3"/>
  <c r="BT376" i="3"/>
  <c r="BS376" i="3"/>
  <c r="BR376" i="3"/>
  <c r="BQ376" i="3"/>
  <c r="BP376" i="3"/>
  <c r="BO376" i="3"/>
  <c r="BN376" i="3"/>
  <c r="BM376" i="3"/>
  <c r="BK376" i="3"/>
  <c r="BA376" i="3" s="1"/>
  <c r="AZ376" i="3" s="1"/>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L373" i="3" s="1"/>
  <c r="BP373" i="3"/>
  <c r="BO373" i="3"/>
  <c r="BN373" i="3"/>
  <c r="BM373" i="3"/>
  <c r="BK373" i="3"/>
  <c r="BJ373" i="3"/>
  <c r="BI373" i="3"/>
  <c r="BH373" i="3"/>
  <c r="BG373" i="3"/>
  <c r="BF373" i="3"/>
  <c r="BE373" i="3"/>
  <c r="BD373" i="3"/>
  <c r="BC373" i="3"/>
  <c r="BB373" i="3"/>
  <c r="AX373" i="3"/>
  <c r="AW373" i="3"/>
  <c r="AV373" i="3"/>
  <c r="AC373" i="3"/>
  <c r="H373" i="3"/>
  <c r="BT372" i="3"/>
  <c r="BS372" i="3"/>
  <c r="BL372" i="3" s="1"/>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L371" i="3" s="1"/>
  <c r="BN371" i="3"/>
  <c r="BM371" i="3"/>
  <c r="BK371" i="3"/>
  <c r="BJ371" i="3"/>
  <c r="BI371" i="3"/>
  <c r="BA371" i="3" s="1"/>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L366" i="3" s="1"/>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A363" i="3" s="1"/>
  <c r="BE363" i="3"/>
  <c r="BD363" i="3"/>
  <c r="BC363" i="3"/>
  <c r="BB363" i="3"/>
  <c r="AX363" i="3"/>
  <c r="AW363" i="3"/>
  <c r="AV363" i="3"/>
  <c r="AC363" i="3"/>
  <c r="G363" i="3" s="1"/>
  <c r="H363" i="3"/>
  <c r="BT362" i="3"/>
  <c r="BS362" i="3"/>
  <c r="BR362" i="3"/>
  <c r="BQ362" i="3"/>
  <c r="BP362" i="3"/>
  <c r="BO362" i="3"/>
  <c r="BN362" i="3"/>
  <c r="BL362" i="3" s="1"/>
  <c r="AZ362" i="3" s="1"/>
  <c r="BM362" i="3"/>
  <c r="BK362" i="3"/>
  <c r="BJ362" i="3"/>
  <c r="BI362" i="3"/>
  <c r="BH362" i="3"/>
  <c r="BG362" i="3"/>
  <c r="BF362" i="3"/>
  <c r="BE362" i="3"/>
  <c r="BA362" i="3" s="1"/>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A361" i="3" s="1"/>
  <c r="AZ361" i="3" s="1"/>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L356" i="3" s="1"/>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A355" i="3" s="1"/>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L347" i="3" s="1"/>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L345" i="3" s="1"/>
  <c r="BP345" i="3"/>
  <c r="BO345" i="3"/>
  <c r="BN345" i="3"/>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BT342" i="3"/>
  <c r="BS342" i="3"/>
  <c r="BR342" i="3"/>
  <c r="BQ342" i="3"/>
  <c r="BP342" i="3"/>
  <c r="BO342" i="3"/>
  <c r="BN342" i="3"/>
  <c r="BM342" i="3"/>
  <c r="BK342" i="3"/>
  <c r="BJ342" i="3"/>
  <c r="BA342" i="3" s="1"/>
  <c r="AZ342" i="3" s="1"/>
  <c r="BI342" i="3"/>
  <c r="BH342" i="3"/>
  <c r="BG342" i="3"/>
  <c r="BF342" i="3"/>
  <c r="BE342" i="3"/>
  <c r="BD342" i="3"/>
  <c r="BC342" i="3"/>
  <c r="BB342" i="3"/>
  <c r="AX342" i="3"/>
  <c r="AW342" i="3"/>
  <c r="AV342" i="3"/>
  <c r="AC342" i="3"/>
  <c r="H342" i="3"/>
  <c r="BT341" i="3"/>
  <c r="BS341" i="3"/>
  <c r="BR341" i="3"/>
  <c r="BL341" i="3" s="1"/>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A340" i="3" s="1"/>
  <c r="BG340" i="3"/>
  <c r="BF340" i="3"/>
  <c r="BE340" i="3"/>
  <c r="BD340" i="3"/>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A338" i="3" s="1"/>
  <c r="AZ338" i="3" s="1"/>
  <c r="BE338" i="3"/>
  <c r="BD338" i="3"/>
  <c r="BC338" i="3"/>
  <c r="BB338" i="3"/>
  <c r="AX338" i="3"/>
  <c r="AW338" i="3"/>
  <c r="AV338" i="3"/>
  <c r="AC338" i="3"/>
  <c r="G338" i="3" s="1"/>
  <c r="H338" i="3"/>
  <c r="BT337" i="3"/>
  <c r="BS337" i="3"/>
  <c r="BR337" i="3"/>
  <c r="BQ337" i="3"/>
  <c r="BP337" i="3"/>
  <c r="BO337" i="3"/>
  <c r="BN337" i="3"/>
  <c r="BL337" i="3" s="1"/>
  <c r="BM337" i="3"/>
  <c r="BK337" i="3"/>
  <c r="BJ337" i="3"/>
  <c r="BI337" i="3"/>
  <c r="BH337" i="3"/>
  <c r="BG337" i="3"/>
  <c r="BF337" i="3"/>
  <c r="BE337" i="3"/>
  <c r="BA337" i="3" s="1"/>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A336" i="3" s="1"/>
  <c r="AZ336" i="3" s="1"/>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L334" i="3" s="1"/>
  <c r="BR334" i="3"/>
  <c r="BQ334" i="3"/>
  <c r="BP334" i="3"/>
  <c r="BO334" i="3"/>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A330" i="3" s="1"/>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A329" i="3" s="1"/>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A328" i="3" s="1"/>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L323" i="3" s="1"/>
  <c r="BO323" i="3"/>
  <c r="BN323" i="3"/>
  <c r="BM323" i="3"/>
  <c r="BK323" i="3"/>
  <c r="BJ323" i="3"/>
  <c r="BI323" i="3"/>
  <c r="BH323" i="3"/>
  <c r="BG323" i="3"/>
  <c r="BF323" i="3"/>
  <c r="BE323" i="3"/>
  <c r="BD323" i="3"/>
  <c r="BC323" i="3"/>
  <c r="BB323" i="3"/>
  <c r="AX323" i="3"/>
  <c r="AW323" i="3"/>
  <c r="AV323" i="3"/>
  <c r="AC323" i="3"/>
  <c r="H323" i="3"/>
  <c r="G323" i="3"/>
  <c r="BT322" i="3"/>
  <c r="BS322" i="3"/>
  <c r="BL322" i="3" s="1"/>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A320" i="3" s="1"/>
  <c r="AZ320" i="3" s="1"/>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s="1"/>
  <c r="AZ313" i="3" s="1"/>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A310" i="3" s="1"/>
  <c r="AZ310" i="3" s="1"/>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A308" i="3" s="1"/>
  <c r="BH308" i="3"/>
  <c r="BG308" i="3"/>
  <c r="BF308" i="3"/>
  <c r="BE308" i="3"/>
  <c r="BD308" i="3"/>
  <c r="BC308" i="3"/>
  <c r="BB308" i="3"/>
  <c r="AX308" i="3"/>
  <c r="AW308" i="3"/>
  <c r="AV308" i="3"/>
  <c r="AC308" i="3"/>
  <c r="H308" i="3"/>
  <c r="BT307" i="3"/>
  <c r="BS307" i="3"/>
  <c r="BR307" i="3"/>
  <c r="BQ307" i="3"/>
  <c r="BL307" i="3" s="1"/>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L305" i="3" s="1"/>
  <c r="BN305" i="3"/>
  <c r="BM305" i="3"/>
  <c r="BK305" i="3"/>
  <c r="BJ305" i="3"/>
  <c r="BI305" i="3"/>
  <c r="BA305" i="3" s="1"/>
  <c r="BH305" i="3"/>
  <c r="BG305" i="3"/>
  <c r="BF305" i="3"/>
  <c r="BE305" i="3"/>
  <c r="BD305" i="3"/>
  <c r="BC305" i="3"/>
  <c r="BB305" i="3"/>
  <c r="AX305" i="3"/>
  <c r="AW305" i="3"/>
  <c r="AV305" i="3"/>
  <c r="AC305" i="3"/>
  <c r="G305" i="3" s="1"/>
  <c r="H305" i="3"/>
  <c r="BT304" i="3"/>
  <c r="BS304" i="3"/>
  <c r="BR304" i="3"/>
  <c r="BQ304" i="3"/>
  <c r="BP304" i="3"/>
  <c r="BO304" i="3"/>
  <c r="BN304" i="3"/>
  <c r="BL304" i="3" s="1"/>
  <c r="BM304" i="3"/>
  <c r="BK304" i="3"/>
  <c r="BJ304" i="3"/>
  <c r="BI304" i="3"/>
  <c r="BH304" i="3"/>
  <c r="BG304" i="3"/>
  <c r="BF304" i="3"/>
  <c r="BE304" i="3"/>
  <c r="BA304" i="3" s="1"/>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R29" i="31"/>
  <c r="R30" i="31"/>
  <c r="R31" i="31"/>
  <c r="R32" i="31"/>
  <c r="R33" i="31"/>
  <c r="S33" i="31" s="1"/>
  <c r="R34" i="31"/>
  <c r="R35" i="31"/>
  <c r="R36" i="31"/>
  <c r="R37" i="31"/>
  <c r="R38" i="31"/>
  <c r="R39" i="31"/>
  <c r="R40" i="31"/>
  <c r="R41" i="31"/>
  <c r="S41" i="31" s="1"/>
  <c r="R42" i="31"/>
  <c r="S42" i="31" s="1"/>
  <c r="R43" i="31"/>
  <c r="S43" i="31" s="1"/>
  <c r="R44" i="31"/>
  <c r="R45" i="31"/>
  <c r="R46" i="31"/>
  <c r="R47" i="31"/>
  <c r="R48" i="31"/>
  <c r="S48" i="31" s="1"/>
  <c r="R49" i="31"/>
  <c r="S49" i="31" s="1"/>
  <c r="R50" i="31"/>
  <c r="R51" i="31"/>
  <c r="R52" i="31"/>
  <c r="R53" i="31"/>
  <c r="R54" i="31"/>
  <c r="R55" i="31"/>
  <c r="R56" i="31"/>
  <c r="R57" i="31"/>
  <c r="S57" i="31" s="1"/>
  <c r="R58" i="31"/>
  <c r="R59" i="31"/>
  <c r="S59" i="31" s="1"/>
  <c r="R60" i="31"/>
  <c r="S60" i="31" s="1"/>
  <c r="R61" i="31"/>
  <c r="S61" i="31" s="1"/>
  <c r="R62" i="31"/>
  <c r="R63" i="31"/>
  <c r="S63" i="31" s="1"/>
  <c r="R64" i="31"/>
  <c r="S64" i="31" s="1"/>
  <c r="R65" i="31"/>
  <c r="R66" i="31"/>
  <c r="R67" i="31"/>
  <c r="R68" i="31"/>
  <c r="R69" i="31"/>
  <c r="R70" i="31"/>
  <c r="R71" i="31"/>
  <c r="R72" i="31"/>
  <c r="R73" i="31"/>
  <c r="S73" i="31" s="1"/>
  <c r="R74" i="31"/>
  <c r="S74" i="31" s="1"/>
  <c r="R75" i="31"/>
  <c r="S75" i="31" s="1"/>
  <c r="R76" i="31"/>
  <c r="S76" i="31" s="1"/>
  <c r="R77" i="31"/>
  <c r="S77" i="31" s="1"/>
  <c r="R78" i="31"/>
  <c r="R79" i="31"/>
  <c r="R80" i="31"/>
  <c r="R81" i="31"/>
  <c r="R82" i="31"/>
  <c r="S82" i="31" s="1"/>
  <c r="R83" i="31"/>
  <c r="S83" i="31" s="1"/>
  <c r="R84" i="31"/>
  <c r="S84" i="31" s="1"/>
  <c r="R85" i="31"/>
  <c r="R86" i="31"/>
  <c r="R87" i="31"/>
  <c r="R88" i="31"/>
  <c r="R89" i="31"/>
  <c r="S89" i="31" s="1"/>
  <c r="R90" i="31"/>
  <c r="S90" i="31" s="1"/>
  <c r="R91" i="31"/>
  <c r="S91" i="31" s="1"/>
  <c r="R92" i="31"/>
  <c r="R93" i="31"/>
  <c r="R94" i="31"/>
  <c r="R95" i="31"/>
  <c r="R96" i="31"/>
  <c r="R97" i="31"/>
  <c r="S97" i="31" s="1"/>
  <c r="R98" i="31"/>
  <c r="R99" i="31"/>
  <c r="R100" i="31"/>
  <c r="R101" i="31"/>
  <c r="R102" i="31"/>
  <c r="R103" i="31"/>
  <c r="R104" i="31"/>
  <c r="R105" i="31"/>
  <c r="S105" i="31" s="1"/>
  <c r="R106" i="31"/>
  <c r="S106" i="31" s="1"/>
  <c r="R107" i="31"/>
  <c r="S107" i="31" s="1"/>
  <c r="R108" i="31"/>
  <c r="R109" i="31"/>
  <c r="R110" i="31"/>
  <c r="R111" i="31"/>
  <c r="R112" i="31"/>
  <c r="R113" i="31"/>
  <c r="S113" i="31" s="1"/>
  <c r="R114" i="31"/>
  <c r="R115" i="31"/>
  <c r="R116" i="31"/>
  <c r="R117" i="31"/>
  <c r="R118" i="31"/>
  <c r="R119" i="31"/>
  <c r="R120" i="31"/>
  <c r="R121" i="31"/>
  <c r="S121" i="31" s="1"/>
  <c r="R122" i="31"/>
  <c r="S122" i="31" s="1"/>
  <c r="R123" i="31"/>
  <c r="S123" i="31" s="1"/>
  <c r="R124" i="31"/>
  <c r="S124" i="31" s="1"/>
  <c r="R125" i="31"/>
  <c r="S125" i="31" s="1"/>
  <c r="R126" i="31"/>
  <c r="S126" i="31" s="1"/>
  <c r="R127" i="31"/>
  <c r="S127" i="31" s="1"/>
  <c r="R128" i="31"/>
  <c r="R129" i="31"/>
  <c r="S129" i="31" s="1"/>
  <c r="R130" i="31"/>
  <c r="R131" i="31"/>
  <c r="R132" i="31"/>
  <c r="R133" i="31"/>
  <c r="R134" i="31"/>
  <c r="R135" i="31"/>
  <c r="R136" i="31"/>
  <c r="R137" i="31"/>
  <c r="S137" i="31" s="1"/>
  <c r="R138" i="31"/>
  <c r="S138" i="31" s="1"/>
  <c r="R139" i="31"/>
  <c r="S139" i="31" s="1"/>
  <c r="R140" i="31"/>
  <c r="R141" i="31"/>
  <c r="S141" i="31" s="1"/>
  <c r="R142" i="31"/>
  <c r="S142" i="31" s="1"/>
  <c r="R143" i="31"/>
  <c r="S143" i="31" s="1"/>
  <c r="R144" i="31"/>
  <c r="R145" i="31"/>
  <c r="S145" i="31" s="1"/>
  <c r="R146" i="31"/>
  <c r="R147" i="31"/>
  <c r="R148" i="31"/>
  <c r="R149" i="31"/>
  <c r="R150" i="31"/>
  <c r="R151" i="31"/>
  <c r="R152" i="31"/>
  <c r="R153" i="31"/>
  <c r="R154" i="31"/>
  <c r="S154" i="31" s="1"/>
  <c r="R155" i="31"/>
  <c r="S155" i="31" s="1"/>
  <c r="R156" i="31"/>
  <c r="R157" i="31"/>
  <c r="S157" i="31" s="1"/>
  <c r="R158" i="31"/>
  <c r="S158" i="31" s="1"/>
  <c r="R159" i="31"/>
  <c r="S159" i="31" s="1"/>
  <c r="R160" i="31"/>
  <c r="R161" i="31"/>
  <c r="S161" i="31" s="1"/>
  <c r="R162" i="31"/>
  <c r="R163" i="31"/>
  <c r="R164" i="31"/>
  <c r="R165" i="31"/>
  <c r="R166" i="31"/>
  <c r="R167" i="31"/>
  <c r="R168" i="31"/>
  <c r="R169" i="31"/>
  <c r="R170" i="31"/>
  <c r="S170" i="31" s="1"/>
  <c r="R171" i="31"/>
  <c r="S171" i="31" s="1"/>
  <c r="R172" i="31"/>
  <c r="R173" i="31"/>
  <c r="S173" i="31" s="1"/>
  <c r="R174" i="31"/>
  <c r="S174" i="31" s="1"/>
  <c r="R175" i="31"/>
  <c r="S175" i="31" s="1"/>
  <c r="R176" i="31"/>
  <c r="R177" i="31"/>
  <c r="R178" i="31"/>
  <c r="R179" i="31"/>
  <c r="R180" i="31"/>
  <c r="R181" i="31"/>
  <c r="R182" i="31"/>
  <c r="R183" i="31"/>
  <c r="R184" i="31"/>
  <c r="R185" i="31"/>
  <c r="S185" i="31" s="1"/>
  <c r="R186" i="31"/>
  <c r="S186" i="31" s="1"/>
  <c r="R187" i="31"/>
  <c r="R188" i="31"/>
  <c r="R189" i="31"/>
  <c r="S189" i="31" s="1"/>
  <c r="R190" i="31"/>
  <c r="S190" i="31" s="1"/>
  <c r="R191" i="31"/>
  <c r="S191" i="31" s="1"/>
  <c r="R192" i="31"/>
  <c r="R193" i="31"/>
  <c r="R194" i="31"/>
  <c r="R195" i="31"/>
  <c r="R196" i="31"/>
  <c r="R197" i="31"/>
  <c r="R198" i="31"/>
  <c r="R199" i="31"/>
  <c r="R200" i="31"/>
  <c r="R201" i="31"/>
  <c r="S201" i="31" s="1"/>
  <c r="R202" i="31"/>
  <c r="S202" i="31" s="1"/>
  <c r="R203" i="31"/>
  <c r="S203" i="31" s="1"/>
  <c r="R204" i="31"/>
  <c r="R205" i="31"/>
  <c r="S205" i="31" s="1"/>
  <c r="R206" i="31"/>
  <c r="S206" i="31" s="1"/>
  <c r="R207" i="31"/>
  <c r="S207" i="31" s="1"/>
  <c r="R208" i="31"/>
  <c r="S208" i="31" s="1"/>
  <c r="R209" i="31"/>
  <c r="S209" i="31" s="1"/>
  <c r="R210" i="31"/>
  <c r="R211" i="31"/>
  <c r="R212" i="31"/>
  <c r="R213" i="31"/>
  <c r="R214" i="31"/>
  <c r="R215" i="31"/>
  <c r="R216" i="31"/>
  <c r="R217" i="31"/>
  <c r="R218" i="31"/>
  <c r="S218" i="31" s="1"/>
  <c r="R219" i="31"/>
  <c r="S219" i="31" s="1"/>
  <c r="R220" i="31"/>
  <c r="R221" i="31"/>
  <c r="S221" i="31" s="1"/>
  <c r="R222" i="31"/>
  <c r="S222" i="31" s="1"/>
  <c r="R223" i="31"/>
  <c r="R224" i="31"/>
  <c r="R225" i="31"/>
  <c r="S225" i="31" s="1"/>
  <c r="R226" i="31"/>
  <c r="R227" i="31"/>
  <c r="R228" i="31"/>
  <c r="R229" i="31"/>
  <c r="R230" i="31"/>
  <c r="R231" i="31"/>
  <c r="R232" i="31"/>
  <c r="R233" i="31"/>
  <c r="S233" i="31" s="1"/>
  <c r="R234" i="31"/>
  <c r="S234" i="31" s="1"/>
  <c r="R235" i="31"/>
  <c r="R236" i="31"/>
  <c r="R237" i="31"/>
  <c r="S237" i="31" s="1"/>
  <c r="R238" i="31"/>
  <c r="S238" i="31" s="1"/>
  <c r="R239" i="31"/>
  <c r="R240" i="31"/>
  <c r="S240" i="31" s="1"/>
  <c r="R241" i="31"/>
  <c r="R242" i="31"/>
  <c r="R243" i="31"/>
  <c r="R244" i="31"/>
  <c r="R245" i="31"/>
  <c r="R246" i="31"/>
  <c r="R247" i="31"/>
  <c r="R248" i="31"/>
  <c r="R249" i="31"/>
  <c r="S249" i="31" s="1"/>
  <c r="R250" i="31"/>
  <c r="S250" i="31" s="1"/>
  <c r="R251" i="31"/>
  <c r="S251" i="31" s="1"/>
  <c r="R252" i="31"/>
  <c r="R253" i="31"/>
  <c r="R254" i="31"/>
  <c r="R255" i="31"/>
  <c r="S255" i="31" s="1"/>
  <c r="R256" i="31"/>
  <c r="S256" i="31" s="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R433" i="31"/>
  <c r="R434" i="31"/>
  <c r="R435" i="31"/>
  <c r="R436" i="31"/>
  <c r="R437" i="31"/>
  <c r="R438" i="31"/>
  <c r="R439" i="31"/>
  <c r="S439" i="31" s="1"/>
  <c r="R440" i="31"/>
  <c r="S440" i="31" s="1"/>
  <c r="R441" i="31"/>
  <c r="S441" i="31" s="1"/>
  <c r="R442" i="31"/>
  <c r="S442" i="31" s="1"/>
  <c r="R443" i="31"/>
  <c r="S443" i="31" s="1"/>
  <c r="R444" i="31"/>
  <c r="S444" i="31" s="1"/>
  <c r="R445" i="31"/>
  <c r="R446" i="31"/>
  <c r="R447" i="31"/>
  <c r="S447" i="31" s="1"/>
  <c r="R448" i="31"/>
  <c r="R449" i="31"/>
  <c r="R450" i="31"/>
  <c r="R451" i="31"/>
  <c r="S451" i="31" s="1"/>
  <c r="R452" i="31"/>
  <c r="R453" i="31"/>
  <c r="R454" i="31"/>
  <c r="R455" i="31"/>
  <c r="R456" i="31"/>
  <c r="R457" i="31"/>
  <c r="R458" i="31"/>
  <c r="S458" i="31" s="1"/>
  <c r="R459" i="31"/>
  <c r="R460" i="31"/>
  <c r="S460" i="31" s="1"/>
  <c r="R461" i="31"/>
  <c r="S461" i="31" s="1"/>
  <c r="R462" i="31"/>
  <c r="R463" i="31"/>
  <c r="S463" i="31" s="1"/>
  <c r="R464" i="31"/>
  <c r="R465" i="31"/>
  <c r="R466" i="31"/>
  <c r="R467" i="31"/>
  <c r="S467" i="31" s="1"/>
  <c r="R468" i="31"/>
  <c r="R469" i="31"/>
  <c r="R470" i="31"/>
  <c r="R471" i="31"/>
  <c r="R472" i="31"/>
  <c r="R473" i="31"/>
  <c r="S473" i="31" s="1"/>
  <c r="R474" i="31"/>
  <c r="S474" i="31" s="1"/>
  <c r="R475" i="31"/>
  <c r="R476" i="31"/>
  <c r="R477" i="31"/>
  <c r="R478" i="31"/>
  <c r="R479" i="31"/>
  <c r="R480" i="31"/>
  <c r="R481" i="31"/>
  <c r="R482" i="31"/>
  <c r="R483" i="31"/>
  <c r="R484" i="31"/>
  <c r="R485" i="31"/>
  <c r="R486" i="31"/>
  <c r="R487" i="31"/>
  <c r="R488" i="31"/>
  <c r="R489" i="31"/>
  <c r="S489" i="31" s="1"/>
  <c r="R490" i="31"/>
  <c r="S490" i="31" s="1"/>
  <c r="R491" i="31"/>
  <c r="R492" i="31"/>
  <c r="R493" i="31"/>
  <c r="R494" i="31"/>
  <c r="R495" i="31"/>
  <c r="R496" i="31"/>
  <c r="R497" i="31"/>
  <c r="R498" i="31"/>
  <c r="S498" i="31" s="1"/>
  <c r="R499" i="31"/>
  <c r="R500" i="31"/>
  <c r="R501" i="31"/>
  <c r="R502" i="31"/>
  <c r="R503" i="31"/>
  <c r="R504" i="31"/>
  <c r="R505" i="31"/>
  <c r="R506" i="31"/>
  <c r="S506" i="31" s="1"/>
  <c r="R507" i="31"/>
  <c r="R508" i="31"/>
  <c r="S508" i="31" s="1"/>
  <c r="R509" i="31"/>
  <c r="R510" i="31"/>
  <c r="S510" i="31" s="1"/>
  <c r="R511" i="31"/>
  <c r="S511" i="31" s="1"/>
  <c r="R512" i="31"/>
  <c r="S512" i="31" s="1"/>
  <c r="R513" i="31"/>
  <c r="R514" i="31"/>
  <c r="R515" i="31"/>
  <c r="R516" i="31"/>
  <c r="R517" i="31"/>
  <c r="R518" i="31"/>
  <c r="R519" i="31"/>
  <c r="S519" i="31" s="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A3" i="51"/>
  <c r="C8" i="11"/>
  <c r="B40" i="48"/>
  <c r="B3" i="72" s="1"/>
  <c r="F35" i="4"/>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A17" i="3" s="1"/>
  <c r="BH17" i="3"/>
  <c r="BI17" i="3"/>
  <c r="BJ17" i="3"/>
  <c r="BK17" i="3"/>
  <c r="BC10" i="3"/>
  <c r="BD10" i="3"/>
  <c r="BB10" i="3"/>
  <c r="H13" i="3"/>
  <c r="AC13" i="3"/>
  <c r="H14" i="3"/>
  <c r="G14" i="3" s="1"/>
  <c r="AC14" i="3"/>
  <c r="H15" i="3"/>
  <c r="AC15" i="3"/>
  <c r="H16" i="3"/>
  <c r="AC16" i="3"/>
  <c r="G16" i="3" s="1"/>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6" i="31"/>
  <c r="S404" i="31"/>
  <c r="S398" i="31"/>
  <c r="S396" i="31"/>
  <c r="S392" i="31"/>
  <c r="S390" i="31"/>
  <c r="S388" i="31"/>
  <c r="S386" i="31"/>
  <c r="S384" i="31"/>
  <c r="S382" i="31"/>
  <c r="S380" i="31"/>
  <c r="S376" i="31"/>
  <c r="S374" i="31"/>
  <c r="S372" i="31"/>
  <c r="S358" i="31"/>
  <c r="S356" i="31"/>
  <c r="S354" i="31"/>
  <c r="S352" i="31"/>
  <c r="S350" i="31"/>
  <c r="S348" i="31"/>
  <c r="S346" i="31"/>
  <c r="S344" i="31"/>
  <c r="S342" i="31"/>
  <c r="S334" i="31"/>
  <c r="S326" i="31"/>
  <c r="S324" i="31"/>
  <c r="S322" i="31"/>
  <c r="S320" i="31"/>
  <c r="S318" i="31"/>
  <c r="S316" i="31"/>
  <c r="S312" i="31"/>
  <c r="S310" i="31"/>
  <c r="S304" i="31"/>
  <c r="S302" i="31"/>
  <c r="S300" i="31"/>
  <c r="S296" i="31"/>
  <c r="S294" i="31"/>
  <c r="S292" i="31"/>
  <c r="S290" i="31"/>
  <c r="S288" i="31"/>
  <c r="S286" i="31"/>
  <c r="S284" i="31"/>
  <c r="S280" i="31"/>
  <c r="S278" i="31"/>
  <c r="S272" i="31"/>
  <c r="S270" i="31"/>
  <c r="S268" i="31"/>
  <c r="S266" i="31"/>
  <c r="S264" i="31"/>
  <c r="S262" i="31"/>
  <c r="S260" i="31"/>
  <c r="S258" i="31"/>
  <c r="S254" i="31"/>
  <c r="S253" i="31"/>
  <c r="S252" i="31"/>
  <c r="S248" i="31"/>
  <c r="S247" i="31"/>
  <c r="S246" i="31"/>
  <c r="S245" i="31"/>
  <c r="S244" i="31"/>
  <c r="S243" i="31"/>
  <c r="S242" i="31"/>
  <c r="S241" i="31"/>
  <c r="S239" i="31"/>
  <c r="S236" i="31"/>
  <c r="S235" i="31"/>
  <c r="S232" i="31"/>
  <c r="S231" i="31"/>
  <c r="S230" i="31"/>
  <c r="S229" i="31"/>
  <c r="S228" i="31"/>
  <c r="S227" i="31"/>
  <c r="S226" i="31"/>
  <c r="S224" i="31"/>
  <c r="S223" i="31"/>
  <c r="S428" i="31"/>
  <c r="S220" i="31"/>
  <c r="S217" i="31"/>
  <c r="S216" i="31"/>
  <c r="S215" i="31"/>
  <c r="S214" i="31"/>
  <c r="S213" i="31"/>
  <c r="S212" i="31"/>
  <c r="S211" i="31"/>
  <c r="S210" i="31"/>
  <c r="S204" i="31"/>
  <c r="S200" i="31"/>
  <c r="S199" i="31"/>
  <c r="S198" i="31"/>
  <c r="S197" i="31"/>
  <c r="S196" i="31"/>
  <c r="S195" i="31"/>
  <c r="S194" i="31"/>
  <c r="S193" i="31"/>
  <c r="S192" i="31"/>
  <c r="S188" i="31"/>
  <c r="S187" i="31"/>
  <c r="S184" i="31"/>
  <c r="S183" i="31"/>
  <c r="S182" i="31"/>
  <c r="S181" i="31"/>
  <c r="S180" i="31"/>
  <c r="S179" i="31"/>
  <c r="S178" i="31"/>
  <c r="S177" i="31"/>
  <c r="S176" i="31"/>
  <c r="S172" i="31"/>
  <c r="S169" i="31"/>
  <c r="S168" i="31"/>
  <c r="S167" i="31"/>
  <c r="S166" i="31"/>
  <c r="S165" i="31"/>
  <c r="S164" i="31"/>
  <c r="S163" i="31"/>
  <c r="S162" i="31"/>
  <c r="S160" i="31"/>
  <c r="S156" i="31"/>
  <c r="S153" i="31"/>
  <c r="S152" i="31"/>
  <c r="S151" i="31"/>
  <c r="S150" i="31"/>
  <c r="S149" i="31"/>
  <c r="S148" i="31"/>
  <c r="S147" i="31"/>
  <c r="S146" i="31"/>
  <c r="S144" i="31"/>
  <c r="S140" i="31"/>
  <c r="S136" i="31"/>
  <c r="S135" i="31"/>
  <c r="S134" i="31"/>
  <c r="S133" i="31"/>
  <c r="S132" i="31"/>
  <c r="S131" i="31"/>
  <c r="S130" i="31"/>
  <c r="S128" i="31"/>
  <c r="S497" i="31"/>
  <c r="S496" i="31"/>
  <c r="S495" i="31"/>
  <c r="S494" i="31"/>
  <c r="S493" i="31"/>
  <c r="S492" i="31"/>
  <c r="S491" i="31"/>
  <c r="S488" i="31"/>
  <c r="S487" i="31"/>
  <c r="S486" i="31"/>
  <c r="S485" i="31"/>
  <c r="S484" i="31"/>
  <c r="S483" i="31"/>
  <c r="S482" i="31"/>
  <c r="S481" i="31"/>
  <c r="S480" i="31"/>
  <c r="S479" i="31"/>
  <c r="S478" i="31"/>
  <c r="S477" i="31"/>
  <c r="S476" i="31"/>
  <c r="S475" i="31"/>
  <c r="S472" i="31"/>
  <c r="S471" i="31"/>
  <c r="S470" i="31"/>
  <c r="S469" i="31"/>
  <c r="S468" i="31"/>
  <c r="S438" i="31"/>
  <c r="S437" i="31"/>
  <c r="S436" i="31"/>
  <c r="S435" i="31"/>
  <c r="S434" i="31"/>
  <c r="S433" i="31"/>
  <c r="S432" i="31"/>
  <c r="S120" i="31"/>
  <c r="S119" i="31"/>
  <c r="S118" i="31"/>
  <c r="S117" i="31"/>
  <c r="S116" i="31"/>
  <c r="S115" i="31"/>
  <c r="S114" i="31"/>
  <c r="S112" i="31"/>
  <c r="S504" i="31"/>
  <c r="S502" i="31"/>
  <c r="S500" i="31"/>
  <c r="S466" i="31"/>
  <c r="S465" i="31"/>
  <c r="S464" i="31"/>
  <c r="S462" i="31"/>
  <c r="S459" i="31"/>
  <c r="S457" i="31"/>
  <c r="S456" i="31"/>
  <c r="S455" i="31"/>
  <c r="S454" i="31"/>
  <c r="S453" i="31"/>
  <c r="S452" i="31"/>
  <c r="S450" i="31"/>
  <c r="S54" i="31"/>
  <c r="S53" i="31"/>
  <c r="S52" i="31"/>
  <c r="S51" i="31"/>
  <c r="S50" i="31"/>
  <c r="S47" i="31"/>
  <c r="S46" i="31"/>
  <c r="S45" i="31"/>
  <c r="S44" i="31"/>
  <c r="S40" i="31"/>
  <c r="S39" i="31"/>
  <c r="S38" i="31"/>
  <c r="S37" i="31"/>
  <c r="S36" i="31"/>
  <c r="S35" i="31"/>
  <c r="S34" i="31"/>
  <c r="S32" i="31"/>
  <c r="S72" i="31"/>
  <c r="S71" i="31"/>
  <c r="S70" i="31"/>
  <c r="S69" i="31"/>
  <c r="S68" i="31"/>
  <c r="S67" i="31"/>
  <c r="S66" i="31"/>
  <c r="S65" i="31"/>
  <c r="S62" i="31"/>
  <c r="S58" i="31"/>
  <c r="S56" i="31"/>
  <c r="S55" i="31"/>
  <c r="S24" i="31"/>
  <c r="S96" i="31"/>
  <c r="S95" i="31"/>
  <c r="S94" i="31"/>
  <c r="S93" i="31"/>
  <c r="S92" i="31"/>
  <c r="S88" i="31"/>
  <c r="S87" i="31"/>
  <c r="S86" i="31"/>
  <c r="S85" i="31"/>
  <c r="S81" i="31"/>
  <c r="S80" i="31"/>
  <c r="S79" i="31"/>
  <c r="S78" i="31"/>
  <c r="S31" i="31"/>
  <c r="S30" i="31"/>
  <c r="S29" i="31"/>
  <c r="S98" i="31"/>
  <c r="S99" i="31"/>
  <c r="S100" i="31"/>
  <c r="S101" i="31"/>
  <c r="S102" i="31"/>
  <c r="S103" i="31"/>
  <c r="S104" i="31"/>
  <c r="S108" i="31"/>
  <c r="S109" i="31"/>
  <c r="S110" i="31"/>
  <c r="S111" i="31"/>
  <c r="S445" i="31"/>
  <c r="S446" i="31"/>
  <c r="S448" i="31"/>
  <c r="S449" i="31"/>
  <c r="S507" i="31"/>
  <c r="S509"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L520" i="3" s="1"/>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A560" i="3" s="1"/>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A568" i="3" s="1"/>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A572" i="3" s="1"/>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L580" i="3" s="1"/>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S515" i="31"/>
  <c r="S516" i="31"/>
  <c r="S517" i="31"/>
  <c r="S518" i="31"/>
  <c r="S523" i="31"/>
  <c r="F41" i="21"/>
  <c r="J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W34" i="40" s="1"/>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F9" i="40"/>
  <c r="S9" i="40" s="1"/>
  <c r="J8" i="40"/>
  <c r="AC8" i="40" s="1"/>
  <c r="H8" i="40"/>
  <c r="AB8" i="40"/>
  <c r="F8" i="40"/>
  <c r="AA8" i="40" s="1"/>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G94" i="39" s="1"/>
  <c r="D92" i="39"/>
  <c r="E92" i="39" s="1"/>
  <c r="F92" i="39" s="1"/>
  <c r="G92" i="39" s="1"/>
  <c r="D90" i="39"/>
  <c r="E90" i="39"/>
  <c r="F90" i="39" s="1"/>
  <c r="G90" i="39" s="1"/>
  <c r="D88" i="39"/>
  <c r="E88" i="39" s="1"/>
  <c r="F88" i="39" s="1"/>
  <c r="G88" i="39" s="1"/>
  <c r="B85" i="39"/>
  <c r="J14" i="39" s="1"/>
  <c r="AC14" i="39" s="1"/>
  <c r="B83" i="39"/>
  <c r="J13" i="39" s="1"/>
  <c r="W13" i="39" s="1"/>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Q25" i="37"/>
  <c r="Z25" i="37" s="1"/>
  <c r="J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B73" i="36"/>
  <c r="J24" i="36" s="1"/>
  <c r="B71" i="36"/>
  <c r="D70" i="36"/>
  <c r="H22" i="36"/>
  <c r="AB22" i="36" s="1"/>
  <c r="D68" i="36"/>
  <c r="E68" i="36" s="1"/>
  <c r="F68" i="36" s="1"/>
  <c r="G68" i="36" s="1"/>
  <c r="D64" i="36"/>
  <c r="E64" i="36" s="1"/>
  <c r="F64" i="36" s="1"/>
  <c r="G64" i="36" s="1"/>
  <c r="J16" i="36"/>
  <c r="W16" i="36" s="1"/>
  <c r="D62" i="36"/>
  <c r="E62" i="36"/>
  <c r="F62" i="36" s="1"/>
  <c r="G62" i="36" s="1"/>
  <c r="B59" i="36"/>
  <c r="H13" i="36" s="1"/>
  <c r="B57" i="36"/>
  <c r="J12"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s="1"/>
  <c r="J22" i="36"/>
  <c r="AC22" i="36"/>
  <c r="Q20" i="36"/>
  <c r="Z20" i="36" s="1"/>
  <c r="Q16" i="36"/>
  <c r="Z16" i="36"/>
  <c r="Q14" i="36"/>
  <c r="Z14" i="36"/>
  <c r="Q13" i="36"/>
  <c r="Z13" i="36"/>
  <c r="Q12" i="36"/>
  <c r="Z12" i="36"/>
  <c r="H12" i="36"/>
  <c r="U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W27" i="35"/>
  <c r="H27" i="35"/>
  <c r="F27" i="35"/>
  <c r="J22" i="35"/>
  <c r="AC22" i="35" s="1"/>
  <c r="B101" i="35"/>
  <c r="F36" i="35" s="1"/>
  <c r="S36" i="35" s="1"/>
  <c r="B99" i="35"/>
  <c r="F35" i="35" s="1"/>
  <c r="B97" i="35"/>
  <c r="H34" i="35" s="1"/>
  <c r="AB34" i="35" s="1"/>
  <c r="B77" i="35"/>
  <c r="J25" i="35" s="1"/>
  <c r="W25" i="35" s="1"/>
  <c r="B75" i="35"/>
  <c r="J24" i="35" s="1"/>
  <c r="AC24" i="35" s="1"/>
  <c r="B73" i="35"/>
  <c r="B57" i="35"/>
  <c r="B61" i="35"/>
  <c r="B59" i="35"/>
  <c r="F12" i="35" s="1"/>
  <c r="B131" i="34"/>
  <c r="J47" i="34" s="1"/>
  <c r="B129" i="34"/>
  <c r="B127" i="34"/>
  <c r="B99" i="34"/>
  <c r="B97" i="34"/>
  <c r="B95" i="34"/>
  <c r="J30" i="34" s="1"/>
  <c r="B93" i="34"/>
  <c r="B75" i="34"/>
  <c r="J14" i="34" s="1"/>
  <c r="W14" i="34" s="1"/>
  <c r="B73" i="34"/>
  <c r="F13" i="34" s="1"/>
  <c r="AA13" i="34" s="1"/>
  <c r="B71" i="34"/>
  <c r="B130" i="33"/>
  <c r="B128" i="33"/>
  <c r="J45" i="33" s="1"/>
  <c r="W45" i="33" s="1"/>
  <c r="B126" i="33"/>
  <c r="F44" i="33" s="1"/>
  <c r="B98" i="33"/>
  <c r="B96" i="33"/>
  <c r="H30" i="33" s="1"/>
  <c r="AB30" i="33" s="1"/>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F12" i="34"/>
  <c r="S12" i="34" s="1"/>
  <c r="Q11" i="34"/>
  <c r="Z11" i="34" s="1"/>
  <c r="Q10" i="34"/>
  <c r="Z10" i="34" s="1"/>
  <c r="F10" i="34"/>
  <c r="AA10" i="34" s="1"/>
  <c r="Q9" i="34"/>
  <c r="Z9" i="34" s="1"/>
  <c r="J9" i="34"/>
  <c r="AC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Q38" i="33"/>
  <c r="Z38" i="33" s="1"/>
  <c r="J38" i="33"/>
  <c r="AC38" i="33" s="1"/>
  <c r="H38" i="33"/>
  <c r="AB38" i="33"/>
  <c r="F38" i="33"/>
  <c r="Q37" i="33"/>
  <c r="Z37" i="33"/>
  <c r="Q36" i="33"/>
  <c r="Z36" i="33" s="1"/>
  <c r="Q35" i="33"/>
  <c r="Z35" i="33"/>
  <c r="H35" i="33"/>
  <c r="Q34" i="33"/>
  <c r="Z34" i="33"/>
  <c r="Q33" i="33"/>
  <c r="Z33" i="33" s="1"/>
  <c r="J33" i="33"/>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C24" i="20"/>
  <c r="C21" i="20"/>
  <c r="B99" i="43" s="1"/>
  <c r="C20" i="20"/>
  <c r="B58" i="43" s="1"/>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J45" i="21"/>
  <c r="W45" i="21" s="1"/>
  <c r="B126" i="21"/>
  <c r="H44" i="21" s="1"/>
  <c r="B98" i="21"/>
  <c r="H31" i="21"/>
  <c r="B96" i="21"/>
  <c r="J30" i="21" s="1"/>
  <c r="AC30" i="21" s="1"/>
  <c r="B94" i="21"/>
  <c r="J29" i="21" s="1"/>
  <c r="AC29" i="21" s="1"/>
  <c r="B92" i="21"/>
  <c r="J28" i="21" s="1"/>
  <c r="W28" i="21" s="1"/>
  <c r="B90" i="21"/>
  <c r="J27" i="21" s="1"/>
  <c r="W27" i="21" s="1"/>
  <c r="B74" i="21"/>
  <c r="J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AC35" i="21" s="1"/>
  <c r="W35" i="2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W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J19" i="21"/>
  <c r="W19" i="21"/>
  <c r="J26" i="21"/>
  <c r="W26" i="21" s="1"/>
  <c r="F26" i="21"/>
  <c r="S26" i="21"/>
  <c r="AB41" i="21"/>
  <c r="S41" i="21"/>
  <c r="AA41" i="21"/>
  <c r="F45" i="39"/>
  <c r="S45" i="39" s="1"/>
  <c r="J35" i="39"/>
  <c r="AC35" i="39" s="1"/>
  <c r="F35" i="39"/>
  <c r="AA35" i="39" s="1"/>
  <c r="U30" i="37"/>
  <c r="W31" i="37"/>
  <c r="E103" i="37"/>
  <c r="F103" i="37" s="1"/>
  <c r="G103" i="37" s="1"/>
  <c r="H103" i="37" s="1"/>
  <c r="I103" i="37" s="1"/>
  <c r="J103" i="37" s="1"/>
  <c r="K103" i="37" s="1"/>
  <c r="L103" i="37" s="1"/>
  <c r="M103" i="37" s="1"/>
  <c r="F29" i="36"/>
  <c r="AA29" i="36" s="1"/>
  <c r="F16" i="36"/>
  <c r="AA16" i="36" s="1"/>
  <c r="W28" i="36"/>
  <c r="H22" i="35"/>
  <c r="AB22" i="35" s="1"/>
  <c r="W28" i="35"/>
  <c r="S31" i="35"/>
  <c r="U34" i="35"/>
  <c r="F36" i="34"/>
  <c r="J35" i="34"/>
  <c r="H39" i="33"/>
  <c r="AB39" i="33" s="1"/>
  <c r="S40" i="33"/>
  <c r="F11" i="40"/>
  <c r="AA11" i="40" s="1"/>
  <c r="H11" i="40"/>
  <c r="AB11" i="40" s="1"/>
  <c r="W8" i="40"/>
  <c r="AA9" i="40"/>
  <c r="S34"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F21" i="40"/>
  <c r="J21" i="40"/>
  <c r="W21" i="40"/>
  <c r="H42" i="39"/>
  <c r="J34" i="39"/>
  <c r="AC34" i="39" s="1"/>
  <c r="F100" i="39"/>
  <c r="G100" i="39" s="1"/>
  <c r="H27" i="39"/>
  <c r="U27" i="39" s="1"/>
  <c r="J19" i="39"/>
  <c r="AC19" i="39" s="1"/>
  <c r="J17" i="39"/>
  <c r="AC17" i="39" s="1"/>
  <c r="J27" i="39"/>
  <c r="AC27" i="39" s="1"/>
  <c r="F27" i="39"/>
  <c r="AA27" i="39" s="1"/>
  <c r="F11" i="21"/>
  <c r="S11" i="21" s="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S44" i="39"/>
  <c r="F37" i="39"/>
  <c r="J34" i="36"/>
  <c r="W34" i="36" s="1"/>
  <c r="U30" i="36"/>
  <c r="J30" i="35"/>
  <c r="W30" i="35" s="1"/>
  <c r="H30" i="35"/>
  <c r="AB30" i="35" s="1"/>
  <c r="F22" i="35"/>
  <c r="AA22" i="35" s="1"/>
  <c r="H10" i="35"/>
  <c r="U10" i="35" s="1"/>
  <c r="F33" i="36"/>
  <c r="AA33" i="36" s="1"/>
  <c r="H16" i="36"/>
  <c r="AB16" i="36" s="1"/>
  <c r="J85" i="36"/>
  <c r="K85" i="36" s="1"/>
  <c r="L85" i="36" s="1"/>
  <c r="M85" i="36" s="1"/>
  <c r="J29" i="36"/>
  <c r="AC29" i="36" s="1"/>
  <c r="F12" i="36"/>
  <c r="F24" i="36"/>
  <c r="AA24" i="36"/>
  <c r="F34" i="36"/>
  <c r="F14" i="35"/>
  <c r="AA14" i="35" s="1"/>
  <c r="F23" i="35"/>
  <c r="J32" i="35"/>
  <c r="AC32" i="35" s="1"/>
  <c r="J16" i="35"/>
  <c r="AC16" i="35" s="1"/>
  <c r="H16" i="35"/>
  <c r="U16" i="35" s="1"/>
  <c r="F16" i="35"/>
  <c r="S16" i="35" s="1"/>
  <c r="H14" i="35"/>
  <c r="U14" i="35" s="1"/>
  <c r="AB14" i="35"/>
  <c r="J29" i="35"/>
  <c r="H33" i="35"/>
  <c r="J20" i="35"/>
  <c r="W20" i="35" s="1"/>
  <c r="F35" i="37"/>
  <c r="S35" i="37" s="1"/>
  <c r="E101" i="37"/>
  <c r="F101" i="37"/>
  <c r="G101" i="37"/>
  <c r="H101" i="37" s="1"/>
  <c r="I101" i="37" s="1"/>
  <c r="J101" i="37" s="1"/>
  <c r="K101" i="37" s="1"/>
  <c r="L101" i="37" s="1"/>
  <c r="M101" i="37" s="1"/>
  <c r="J34" i="37"/>
  <c r="AC34" i="37" s="1"/>
  <c r="W34" i="37"/>
  <c r="J33" i="37"/>
  <c r="AC33" i="37" s="1"/>
  <c r="H40" i="34"/>
  <c r="U40" i="34" s="1"/>
  <c r="H36" i="34"/>
  <c r="U36" i="34" s="1"/>
  <c r="F37" i="34"/>
  <c r="AA37" i="34" s="1"/>
  <c r="F28" i="34"/>
  <c r="AA28" i="34" s="1"/>
  <c r="F25" i="34"/>
  <c r="S25" i="34" s="1"/>
  <c r="H17" i="34"/>
  <c r="U17" i="34" s="1"/>
  <c r="F15" i="34"/>
  <c r="AA15" i="34" s="1"/>
  <c r="J15" i="34"/>
  <c r="W15" i="34" s="1"/>
  <c r="H15" i="34"/>
  <c r="AB15" i="34" s="1"/>
  <c r="W8" i="34"/>
  <c r="J28" i="34"/>
  <c r="W28" i="34" s="1"/>
  <c r="F41" i="33"/>
  <c r="AA41" i="33" s="1"/>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H29" i="35"/>
  <c r="AB29" i="35" s="1"/>
  <c r="H33" i="37"/>
  <c r="F33" i="37"/>
  <c r="AA33" i="37" s="1"/>
  <c r="S34" i="37"/>
  <c r="J43" i="34"/>
  <c r="AB42" i="34"/>
  <c r="J40" i="34"/>
  <c r="AC40" i="34" s="1"/>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c r="AA42" i="34"/>
  <c r="S42" i="34"/>
  <c r="AA38" i="34"/>
  <c r="J11" i="33"/>
  <c r="W11" i="33" s="1"/>
  <c r="I123" i="21"/>
  <c r="J123" i="21" s="1"/>
  <c r="K123" i="21" s="1"/>
  <c r="L123" i="21" s="1"/>
  <c r="M123" i="21" s="1"/>
  <c r="J42" i="21"/>
  <c r="AC42" i="21" s="1"/>
  <c r="H42" i="21"/>
  <c r="AB42" i="21" s="1"/>
  <c r="U42" i="21"/>
  <c r="J10" i="35"/>
  <c r="AC10" i="35" s="1"/>
  <c r="W14" i="21"/>
  <c r="F14" i="21"/>
  <c r="S14" i="21" s="1"/>
  <c r="H14" i="21"/>
  <c r="U14" i="21" s="1"/>
  <c r="H28" i="21"/>
  <c r="F28" i="21"/>
  <c r="AA28" i="21" s="1"/>
  <c r="H30" i="21"/>
  <c r="AB30" i="21" s="1"/>
  <c r="U30" i="21"/>
  <c r="F30" i="21"/>
  <c r="S30" i="21" s="1"/>
  <c r="H46" i="21"/>
  <c r="U46" i="21" s="1"/>
  <c r="J46" i="21"/>
  <c r="F46" i="21"/>
  <c r="E119" i="21"/>
  <c r="F119" i="21" s="1"/>
  <c r="G119" i="21" s="1"/>
  <c r="H119" i="21" s="1"/>
  <c r="I119" i="21" s="1"/>
  <c r="J119" i="21" s="1"/>
  <c r="K119" i="21" s="1"/>
  <c r="L119" i="21" s="1"/>
  <c r="M119" i="21" s="1"/>
  <c r="H28" i="33"/>
  <c r="U28" i="33" s="1"/>
  <c r="F28" i="33"/>
  <c r="AA28" i="33" s="1"/>
  <c r="J28" i="33"/>
  <c r="W28" i="33" s="1"/>
  <c r="F33" i="35"/>
  <c r="AA33" i="35" s="1"/>
  <c r="S33" i="35"/>
  <c r="J33" i="35"/>
  <c r="AC33" i="35" s="1"/>
  <c r="F30" i="35"/>
  <c r="S30" i="35" s="1"/>
  <c r="H10" i="36"/>
  <c r="AB10" i="36" s="1"/>
  <c r="J14" i="36"/>
  <c r="AC14" i="36"/>
  <c r="H14" i="36"/>
  <c r="U14" i="36" s="1"/>
  <c r="F28" i="36"/>
  <c r="AA28" i="36" s="1"/>
  <c r="J13" i="21"/>
  <c r="H27" i="21"/>
  <c r="AB27" i="21" s="1"/>
  <c r="F27" i="21"/>
  <c r="AA27" i="21" s="1"/>
  <c r="J31" i="21"/>
  <c r="AC31" i="21" s="1"/>
  <c r="F31" i="21"/>
  <c r="AA31" i="21" s="1"/>
  <c r="S31" i="21"/>
  <c r="F27" i="33"/>
  <c r="AA27" i="33" s="1"/>
  <c r="J29" i="33"/>
  <c r="H29" i="33"/>
  <c r="U29" i="33"/>
  <c r="F29" i="33"/>
  <c r="S29" i="33" s="1"/>
  <c r="J31" i="33"/>
  <c r="H31" i="33"/>
  <c r="F31" i="33"/>
  <c r="H45" i="33"/>
  <c r="U45" i="33" s="1"/>
  <c r="F45" i="33"/>
  <c r="S45" i="33" s="1"/>
  <c r="AA45" i="33"/>
  <c r="H30" i="34"/>
  <c r="U30" i="34" s="1"/>
  <c r="F30" i="34"/>
  <c r="S30" i="34" s="1"/>
  <c r="H11" i="35"/>
  <c r="AB11" i="35" s="1"/>
  <c r="J11" i="35"/>
  <c r="W11" i="35" s="1"/>
  <c r="F11" i="35"/>
  <c r="S11" i="35" s="1"/>
  <c r="J26" i="36"/>
  <c r="W26" i="36" s="1"/>
  <c r="H28" i="36"/>
  <c r="U28" i="36" s="1"/>
  <c r="J11" i="36"/>
  <c r="AC11" i="36" s="1"/>
  <c r="H11" i="36"/>
  <c r="U11" i="36" s="1"/>
  <c r="F11" i="36"/>
  <c r="AA11" i="36" s="1"/>
  <c r="AB13" i="36"/>
  <c r="J13" i="36"/>
  <c r="F13" i="36"/>
  <c r="J29" i="37"/>
  <c r="W29" i="37" s="1"/>
  <c r="F29" i="37"/>
  <c r="S29" i="37"/>
  <c r="H36" i="37"/>
  <c r="AB36" i="37"/>
  <c r="F107" i="37"/>
  <c r="G107" i="37" s="1"/>
  <c r="H107" i="37" s="1"/>
  <c r="I107" i="37" s="1"/>
  <c r="J107" i="37" s="1"/>
  <c r="K107" i="37" s="1"/>
  <c r="L107" i="37" s="1"/>
  <c r="M107" i="37" s="1"/>
  <c r="J37" i="37"/>
  <c r="AC37" i="37" s="1"/>
  <c r="H37" i="37"/>
  <c r="AB37" i="37" s="1"/>
  <c r="U37" i="37"/>
  <c r="H40" i="37"/>
  <c r="U40" i="37" s="1"/>
  <c r="H14" i="33"/>
  <c r="F30" i="33"/>
  <c r="J30" i="33"/>
  <c r="AC30" i="33" s="1"/>
  <c r="H44" i="33"/>
  <c r="J44" i="33"/>
  <c r="W44" i="33" s="1"/>
  <c r="AC44" i="33"/>
  <c r="J46" i="33"/>
  <c r="AC46" i="33" s="1"/>
  <c r="F46" i="33"/>
  <c r="AA46" i="33" s="1"/>
  <c r="H46" i="33"/>
  <c r="AB46" i="33" s="1"/>
  <c r="H13" i="34"/>
  <c r="U13" i="34" s="1"/>
  <c r="J13" i="34"/>
  <c r="W13" i="34" s="1"/>
  <c r="J29" i="34"/>
  <c r="W29" i="34" s="1"/>
  <c r="F29" i="34"/>
  <c r="H29" i="34"/>
  <c r="AB29" i="34" s="1"/>
  <c r="F13" i="35"/>
  <c r="J13" i="35"/>
  <c r="H13" i="35"/>
  <c r="U13" i="35" s="1"/>
  <c r="F25" i="35"/>
  <c r="S25" i="35" s="1"/>
  <c r="J35" i="35"/>
  <c r="AC35" i="35" s="1"/>
  <c r="AA35" i="35"/>
  <c r="H35" i="35"/>
  <c r="J25" i="36"/>
  <c r="F25" i="36"/>
  <c r="S25" i="36" s="1"/>
  <c r="AB25" i="36"/>
  <c r="H13" i="37"/>
  <c r="AB13" i="37" s="1"/>
  <c r="F13" i="37"/>
  <c r="S13" i="37" s="1"/>
  <c r="J13" i="37"/>
  <c r="W13" i="37" s="1"/>
  <c r="F14" i="39"/>
  <c r="H14" i="39"/>
  <c r="AB14" i="39" s="1"/>
  <c r="H12" i="40"/>
  <c r="AB12" i="40" s="1"/>
  <c r="H30" i="40"/>
  <c r="U30" i="40" s="1"/>
  <c r="AB30" i="40"/>
  <c r="F33" i="40"/>
  <c r="AA33" i="40" s="1"/>
  <c r="H33" i="40"/>
  <c r="J35" i="40"/>
  <c r="AC35" i="40" s="1"/>
  <c r="J37" i="40"/>
  <c r="AC37" i="40" s="1"/>
  <c r="H13" i="40"/>
  <c r="U13" i="40" s="1"/>
  <c r="J13" i="40"/>
  <c r="F13" i="40"/>
  <c r="AA13" i="40" s="1"/>
  <c r="F14" i="37"/>
  <c r="AA14" i="37" s="1"/>
  <c r="S14" i="37"/>
  <c r="H14" i="40"/>
  <c r="AB14" i="40"/>
  <c r="J14" i="40"/>
  <c r="W14" i="40" s="1"/>
  <c r="F14" i="40"/>
  <c r="AA14" i="40" s="1"/>
  <c r="J14" i="37"/>
  <c r="J27" i="37"/>
  <c r="AC27" i="37" s="1"/>
  <c r="U46" i="33"/>
  <c r="J36" i="37"/>
  <c r="J10" i="36"/>
  <c r="AC10" i="36" s="1"/>
  <c r="F17" i="21"/>
  <c r="AA17" i="21" s="1"/>
  <c r="H17" i="21"/>
  <c r="AB17" i="21" s="1"/>
  <c r="F15" i="21"/>
  <c r="S15" i="21" s="1"/>
  <c r="J41" i="39"/>
  <c r="S35" i="39"/>
  <c r="G544" i="3"/>
  <c r="G536" i="3"/>
  <c r="G535" i="3"/>
  <c r="G528" i="3"/>
  <c r="G527" i="3"/>
  <c r="G514" i="3"/>
  <c r="G508" i="3"/>
  <c r="G500" i="3"/>
  <c r="G572" i="3"/>
  <c r="G568" i="3"/>
  <c r="G560" i="3"/>
  <c r="G554" i="3"/>
  <c r="G550" i="3"/>
  <c r="BL576" i="3"/>
  <c r="BL572" i="3"/>
  <c r="BL568" i="3"/>
  <c r="BL582" i="3"/>
  <c r="BL578" i="3"/>
  <c r="BL574" i="3"/>
  <c r="BA562" i="3"/>
  <c r="BA558" i="3"/>
  <c r="BA556" i="3"/>
  <c r="BA544" i="3"/>
  <c r="BA571" i="3"/>
  <c r="BA569" i="3"/>
  <c r="BA567" i="3"/>
  <c r="G583" i="3"/>
  <c r="G581" i="3"/>
  <c r="G577" i="3"/>
  <c r="G569" i="3"/>
  <c r="G567" i="3"/>
  <c r="G565" i="3"/>
  <c r="G563" i="3"/>
  <c r="AC557" i="3"/>
  <c r="BQ557" i="3"/>
  <c r="BL557" i="3" s="1"/>
  <c r="BQ583" i="3"/>
  <c r="BL583" i="3" s="1"/>
  <c r="BQ581" i="3"/>
  <c r="BL581" i="3" s="1"/>
  <c r="BQ579" i="3"/>
  <c r="BQ577" i="3"/>
  <c r="BQ575" i="3"/>
  <c r="BQ573" i="3"/>
  <c r="BL573" i="3" s="1"/>
  <c r="BQ571" i="3"/>
  <c r="BQ569" i="3"/>
  <c r="BQ567" i="3"/>
  <c r="BQ565" i="3"/>
  <c r="BQ563" i="3"/>
  <c r="BQ561" i="3"/>
  <c r="BQ559" i="3"/>
  <c r="G559" i="3"/>
  <c r="G555" i="3"/>
  <c r="G549" i="3"/>
  <c r="G545" i="3"/>
  <c r="G541" i="3"/>
  <c r="G537" i="3"/>
  <c r="BQ555" i="3"/>
  <c r="BQ553" i="3"/>
  <c r="BQ551" i="3"/>
  <c r="BQ549" i="3"/>
  <c r="BQ547" i="3"/>
  <c r="BQ545" i="3"/>
  <c r="BQ543" i="3"/>
  <c r="BQ541" i="3"/>
  <c r="BL541" i="3"/>
  <c r="BQ539" i="3"/>
  <c r="BQ537" i="3"/>
  <c r="BQ535" i="3"/>
  <c r="BQ533" i="3"/>
  <c r="BQ531" i="3"/>
  <c r="BQ529" i="3"/>
  <c r="BQ527" i="3"/>
  <c r="BQ525" i="3"/>
  <c r="BQ523" i="3"/>
  <c r="AC521" i="3"/>
  <c r="G521" i="3" s="1"/>
  <c r="BQ521" i="3"/>
  <c r="G515" i="3"/>
  <c r="G513" i="3"/>
  <c r="BQ519" i="3"/>
  <c r="BQ517" i="3"/>
  <c r="BL517" i="3"/>
  <c r="BQ515" i="3"/>
  <c r="BQ513" i="3"/>
  <c r="BQ511" i="3"/>
  <c r="AC509" i="3"/>
  <c r="G509" i="3" s="1"/>
  <c r="BQ509" i="3"/>
  <c r="BL509" i="3" s="1"/>
  <c r="G503"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AA24" i="35"/>
  <c r="H24" i="35"/>
  <c r="AB24" i="35" s="1"/>
  <c r="H23" i="37"/>
  <c r="AB23" i="37"/>
  <c r="J32" i="37"/>
  <c r="F36" i="37"/>
  <c r="AA36" i="37" s="1"/>
  <c r="F37" i="37"/>
  <c r="AA37" i="37" s="1"/>
  <c r="F31" i="40"/>
  <c r="AA31" i="40"/>
  <c r="H31" i="40"/>
  <c r="J36" i="40"/>
  <c r="AC36" i="40" s="1"/>
  <c r="W36" i="40"/>
  <c r="H19" i="37"/>
  <c r="AB19" i="37" s="1"/>
  <c r="H42" i="33"/>
  <c r="J43" i="33"/>
  <c r="AC43" i="33" s="1"/>
  <c r="S28" i="31"/>
  <c r="S26" i="31"/>
  <c r="U14" i="40"/>
  <c r="AC45" i="33"/>
  <c r="U11" i="33"/>
  <c r="F43" i="33"/>
  <c r="AA43" i="33"/>
  <c r="H37" i="21"/>
  <c r="U37" i="21" s="1"/>
  <c r="S42" i="21"/>
  <c r="J9" i="37"/>
  <c r="W9" i="37" s="1"/>
  <c r="H9" i="37"/>
  <c r="U9" i="37" s="1"/>
  <c r="F9" i="37"/>
  <c r="S9" i="37" s="1"/>
  <c r="H12" i="37"/>
  <c r="AB12" i="37" s="1"/>
  <c r="F12" i="37"/>
  <c r="S12" i="37" s="1"/>
  <c r="E71" i="37"/>
  <c r="F71" i="37" s="1"/>
  <c r="G71" i="37" s="1"/>
  <c r="F15" i="37"/>
  <c r="S15" i="37" s="1"/>
  <c r="F31" i="37"/>
  <c r="S31" i="37" s="1"/>
  <c r="F12" i="39"/>
  <c r="S12" i="39" s="1"/>
  <c r="J42" i="39"/>
  <c r="AC42" i="39" s="1"/>
  <c r="H21" i="40"/>
  <c r="AB21" i="40" s="1"/>
  <c r="AC12" i="37"/>
  <c r="H31" i="37"/>
  <c r="U31" i="37" s="1"/>
  <c r="J15" i="37"/>
  <c r="W15" i="37"/>
  <c r="AT6" i="3"/>
  <c r="H19" i="40"/>
  <c r="U19" i="40" s="1"/>
  <c r="F88" i="40"/>
  <c r="G88" i="40" s="1"/>
  <c r="F19" i="40"/>
  <c r="AB44" i="39"/>
  <c r="U44" i="39"/>
  <c r="H37" i="39"/>
  <c r="AB37" i="39" s="1"/>
  <c r="AC37" i="39"/>
  <c r="W37" i="39"/>
  <c r="H25" i="39"/>
  <c r="AB25" i="39" s="1"/>
  <c r="J25" i="39"/>
  <c r="F25" i="39"/>
  <c r="AA25" i="39" s="1"/>
  <c r="F15" i="39"/>
  <c r="AA15" i="39" s="1"/>
  <c r="H15" i="39"/>
  <c r="U15" i="39" s="1"/>
  <c r="J15" i="39"/>
  <c r="W15" i="39" s="1"/>
  <c r="H41" i="39"/>
  <c r="AB41" i="39" s="1"/>
  <c r="W27" i="39"/>
  <c r="AB34" i="39"/>
  <c r="U40" i="39"/>
  <c r="W8" i="39"/>
  <c r="J19" i="40"/>
  <c r="AC19" i="40" s="1"/>
  <c r="H103" i="9"/>
  <c r="D8" i="53" s="1"/>
  <c r="B16" i="53"/>
  <c r="B33" i="72" s="1"/>
  <c r="W35" i="40"/>
  <c r="J11" i="39"/>
  <c r="F11" i="39"/>
  <c r="S11" i="39" s="1"/>
  <c r="G4" i="4"/>
  <c r="I4" i="4"/>
  <c r="F61" i="43"/>
  <c r="H64" i="43" s="1"/>
  <c r="BL306" i="3"/>
  <c r="BL309" i="3"/>
  <c r="G310" i="3"/>
  <c r="BA311" i="3"/>
  <c r="G319" i="3"/>
  <c r="BL320" i="3"/>
  <c r="G326" i="3"/>
  <c r="G335" i="3"/>
  <c r="BL336" i="3"/>
  <c r="BL338" i="3"/>
  <c r="G356" i="3"/>
  <c r="BL357" i="3"/>
  <c r="G361" i="3"/>
  <c r="G370" i="3"/>
  <c r="G372" i="3"/>
  <c r="BL376" i="3"/>
  <c r="G377" i="3"/>
  <c r="BA378" i="3"/>
  <c r="G379" i="3"/>
  <c r="BA380" i="3"/>
  <c r="G388" i="3"/>
  <c r="G390" i="3"/>
  <c r="BA394" i="3"/>
  <c r="G117" i="3"/>
  <c r="BA119" i="3"/>
  <c r="G125" i="3"/>
  <c r="G133" i="3"/>
  <c r="BA135" i="3"/>
  <c r="BL136" i="3"/>
  <c r="G137" i="3"/>
  <c r="G141" i="3"/>
  <c r="BL144" i="3"/>
  <c r="G145" i="3"/>
  <c r="BL148" i="3"/>
  <c r="G149" i="3"/>
  <c r="G153" i="3"/>
  <c r="G157" i="3"/>
  <c r="G161" i="3"/>
  <c r="BL168" i="3"/>
  <c r="G169" i="3"/>
  <c r="BA171" i="3"/>
  <c r="G173" i="3"/>
  <c r="G177" i="3"/>
  <c r="BA179" i="3"/>
  <c r="BL180" i="3"/>
  <c r="G181" i="3"/>
  <c r="BA183" i="3"/>
  <c r="BL184" i="3"/>
  <c r="G185" i="3"/>
  <c r="BA187" i="3"/>
  <c r="G189" i="3"/>
  <c r="BA191" i="3"/>
  <c r="BL192" i="3"/>
  <c r="G193" i="3"/>
  <c r="G197" i="3"/>
  <c r="BA199" i="3"/>
  <c r="BL200" i="3"/>
  <c r="G201" i="3"/>
  <c r="BA203" i="3"/>
  <c r="BL204" i="3"/>
  <c r="G494" i="3"/>
  <c r="G15" i="3"/>
  <c r="G306" i="3"/>
  <c r="G309" i="3"/>
  <c r="BA312" i="3"/>
  <c r="BL313" i="3"/>
  <c r="G314" i="3"/>
  <c r="G317" i="3"/>
  <c r="BA321" i="3"/>
  <c r="BL321" i="3"/>
  <c r="G322" i="3"/>
  <c r="G325" i="3"/>
  <c r="BL326" i="3"/>
  <c r="BL329" i="3"/>
  <c r="G333" i="3"/>
  <c r="G341" i="3"/>
  <c r="BL342" i="3"/>
  <c r="BA344" i="3"/>
  <c r="BL344" i="3"/>
  <c r="BA346" i="3"/>
  <c r="BL351" i="3"/>
  <c r="G352" i="3"/>
  <c r="G354" i="3"/>
  <c r="G357" i="3"/>
  <c r="G360" i="3"/>
  <c r="BL361" i="3"/>
  <c r="BA364" i="3"/>
  <c r="G365" i="3"/>
  <c r="G368" i="3"/>
  <c r="G373" i="3"/>
  <c r="G376" i="3"/>
  <c r="BA382" i="3"/>
  <c r="BL382" i="3"/>
  <c r="G383" i="3"/>
  <c r="G386" i="3"/>
  <c r="BA389" i="3"/>
  <c r="BL390" i="3"/>
  <c r="G391" i="3"/>
  <c r="G304" i="3"/>
  <c r="G308" i="3"/>
  <c r="BL311" i="3"/>
  <c r="BA314" i="3"/>
  <c r="BL315" i="3"/>
  <c r="G316" i="3"/>
  <c r="BA318" i="3"/>
  <c r="G320" i="3"/>
  <c r="G324" i="3"/>
  <c r="G332" i="3"/>
  <c r="G336" i="3"/>
  <c r="G340" i="3"/>
  <c r="G348" i="3"/>
  <c r="G342" i="3"/>
  <c r="BL349" i="3"/>
  <c r="G353" i="3"/>
  <c r="BA357" i="3"/>
  <c r="BL358" i="3"/>
  <c r="G359" i="3"/>
  <c r="G367" i="3"/>
  <c r="BA369" i="3"/>
  <c r="BL370" i="3"/>
  <c r="BA373" i="3"/>
  <c r="BL374" i="3"/>
  <c r="G375" i="3"/>
  <c r="G381" i="3"/>
  <c r="BA387" i="3"/>
  <c r="BL388" i="3"/>
  <c r="G389" i="3"/>
  <c r="BL392" i="3"/>
  <c r="G393" i="3"/>
  <c r="F83" i="43"/>
  <c r="H85" i="43" s="1"/>
  <c r="F50" i="43"/>
  <c r="H54" i="43" s="1"/>
  <c r="F72" i="43"/>
  <c r="H75" i="43" s="1"/>
  <c r="U17" i="39"/>
  <c r="S14" i="35"/>
  <c r="U43" i="21"/>
  <c r="U35" i="21"/>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F20" i="35"/>
  <c r="AA20" i="35"/>
  <c r="AB29" i="36"/>
  <c r="U29" i="36"/>
  <c r="H32" i="37"/>
  <c r="AB32" i="37" s="1"/>
  <c r="F96" i="37"/>
  <c r="F27" i="40"/>
  <c r="S27" i="40" s="1"/>
  <c r="J30" i="40"/>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J39" i="39"/>
  <c r="AC39" i="39" s="1"/>
  <c r="E96" i="39"/>
  <c r="F96" i="39" s="1"/>
  <c r="G96" i="39" s="1"/>
  <c r="C40" i="11"/>
  <c r="F23" i="39"/>
  <c r="S23" i="39" s="1"/>
  <c r="H27" i="36"/>
  <c r="U27" i="36" s="1"/>
  <c r="F27" i="36"/>
  <c r="AA27" i="36" s="1"/>
  <c r="H33" i="34"/>
  <c r="U33" i="34" s="1"/>
  <c r="F32" i="37"/>
  <c r="AA32" i="37" s="1"/>
  <c r="G96" i="37"/>
  <c r="H96" i="37"/>
  <c r="I96" i="37" s="1"/>
  <c r="J96" i="37" s="1"/>
  <c r="K96" i="37" s="1"/>
  <c r="L96" i="37" s="1"/>
  <c r="M96" i="37" s="1"/>
  <c r="F20" i="36"/>
  <c r="J33" i="34"/>
  <c r="AC33" i="34" s="1"/>
  <c r="H23" i="39"/>
  <c r="U23" i="39" s="1"/>
  <c r="K9" i="1"/>
  <c r="M9" i="1" s="1"/>
  <c r="AB34" i="36"/>
  <c r="U34" i="36"/>
  <c r="AB33" i="36"/>
  <c r="U33" i="36"/>
  <c r="U30" i="33"/>
  <c r="S19" i="39"/>
  <c r="F12" i="33"/>
  <c r="H12" i="39"/>
  <c r="AB12" i="39" s="1"/>
  <c r="F39" i="40"/>
  <c r="AA39" i="40" s="1"/>
  <c r="BA14" i="3"/>
  <c r="B12" i="1"/>
  <c r="E12" i="1" s="1"/>
  <c r="B10" i="1"/>
  <c r="E10" i="1" s="1"/>
  <c r="AA34" i="33"/>
  <c r="S35" i="40"/>
  <c r="S17" i="40"/>
  <c r="S23" i="40"/>
  <c r="AC17" i="40"/>
  <c r="AC15" i="40"/>
  <c r="S28" i="40"/>
  <c r="AB19" i="40"/>
  <c r="U37" i="39"/>
  <c r="U35" i="39"/>
  <c r="F32" i="39"/>
  <c r="F106" i="39"/>
  <c r="G106" i="39" s="1"/>
  <c r="H106" i="39" s="1"/>
  <c r="I106" i="39" s="1"/>
  <c r="J106" i="39" s="1"/>
  <c r="K106" i="39" s="1"/>
  <c r="L106" i="39" s="1"/>
  <c r="M106" i="39" s="1"/>
  <c r="U25" i="39"/>
  <c r="AB27" i="39"/>
  <c r="J21" i="39"/>
  <c r="W21" i="39" s="1"/>
  <c r="F21" i="39"/>
  <c r="H21" i="39"/>
  <c r="AB21" i="39" s="1"/>
  <c r="W19" i="39"/>
  <c r="U19" i="39"/>
  <c r="S17" i="39"/>
  <c r="S15" i="39"/>
  <c r="U14" i="39"/>
  <c r="AC13" i="39"/>
  <c r="U12" i="39"/>
  <c r="U13" i="36"/>
  <c r="U26" i="36"/>
  <c r="S33" i="36"/>
  <c r="AC26" i="36"/>
  <c r="W14" i="36"/>
  <c r="AB14" i="36"/>
  <c r="S16" i="36"/>
  <c r="S24" i="36"/>
  <c r="U24" i="36"/>
  <c r="S14" i="36"/>
  <c r="AA25" i="35"/>
  <c r="W24" i="35"/>
  <c r="AB13" i="35"/>
  <c r="U29" i="35"/>
  <c r="U28" i="35"/>
  <c r="U32" i="35"/>
  <c r="AC30" i="35"/>
  <c r="S32" i="35"/>
  <c r="S28" i="35"/>
  <c r="S20" i="35"/>
  <c r="AC20" i="35"/>
  <c r="S22" i="35"/>
  <c r="AA11" i="35"/>
  <c r="AC29" i="37"/>
  <c r="U29" i="37"/>
  <c r="S32" i="37"/>
  <c r="W30" i="37"/>
  <c r="AC35"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C42" i="34"/>
  <c r="U39" i="34"/>
  <c r="S13" i="34"/>
  <c r="H10" i="34"/>
  <c r="AB10" i="34" s="1"/>
  <c r="F11" i="34"/>
  <c r="S11" i="34" s="1"/>
  <c r="F70" i="34"/>
  <c r="W42" i="33"/>
  <c r="AA35" i="33"/>
  <c r="S27" i="33"/>
  <c r="S32" i="33"/>
  <c r="AA29" i="33"/>
  <c r="AB29" i="33"/>
  <c r="W38" i="33"/>
  <c r="H41" i="33"/>
  <c r="G108" i="33"/>
  <c r="H108" i="33" s="1"/>
  <c r="I108" i="33" s="1"/>
  <c r="J108" i="33" s="1"/>
  <c r="K108" i="33" s="1"/>
  <c r="L108" i="33" s="1"/>
  <c r="M108" i="33" s="1"/>
  <c r="J35" i="33"/>
  <c r="J32" i="33"/>
  <c r="AC32" i="33" s="1"/>
  <c r="S46" i="33"/>
  <c r="S43" i="33"/>
  <c r="F91" i="33"/>
  <c r="G91" i="33" s="1"/>
  <c r="H91" i="33" s="1"/>
  <c r="I91" i="33" s="1"/>
  <c r="J91" i="33" s="1"/>
  <c r="K91" i="33" s="1"/>
  <c r="L91" i="33" s="1"/>
  <c r="M91" i="33" s="1"/>
  <c r="H27" i="33"/>
  <c r="AB27" i="33" s="1"/>
  <c r="F87" i="33"/>
  <c r="H25" i="33"/>
  <c r="F25" i="33"/>
  <c r="S25" i="33" s="1"/>
  <c r="J23" i="33"/>
  <c r="AC23" i="33" s="1"/>
  <c r="F85" i="33"/>
  <c r="H23" i="33"/>
  <c r="F81" i="33"/>
  <c r="F19" i="33"/>
  <c r="S19" i="33" s="1"/>
  <c r="J17" i="33"/>
  <c r="S15" i="33"/>
  <c r="W15" i="33"/>
  <c r="U9" i="33"/>
  <c r="J10" i="33"/>
  <c r="W10" i="33" s="1"/>
  <c r="H10" i="33"/>
  <c r="U10" i="33" s="1"/>
  <c r="AC11" i="33"/>
  <c r="W36" i="21"/>
  <c r="AA43" i="21"/>
  <c r="S39" i="21"/>
  <c r="AA38" i="21"/>
  <c r="AA36" i="21"/>
  <c r="AC40" i="21"/>
  <c r="J15" i="21"/>
  <c r="W15" i="21" s="1"/>
  <c r="F77" i="21"/>
  <c r="G77" i="21" s="1"/>
  <c r="F23" i="21"/>
  <c r="S23" i="21" s="1"/>
  <c r="E85" i="21"/>
  <c r="F85" i="21" s="1"/>
  <c r="G85" i="21" s="1"/>
  <c r="AA14" i="21"/>
  <c r="C18" i="9"/>
  <c r="D18" i="9" s="1"/>
  <c r="G13" i="3"/>
  <c r="BL17" i="3"/>
  <c r="AZ17" i="3"/>
  <c r="J56" i="9"/>
  <c r="A24" i="51"/>
  <c r="B18" i="72"/>
  <c r="U29" i="34"/>
  <c r="E32" i="6"/>
  <c r="C6" i="43"/>
  <c r="A4" i="51"/>
  <c r="B6" i="72" s="1"/>
  <c r="L20" i="6"/>
  <c r="K11" i="1"/>
  <c r="M11" i="1" s="1"/>
  <c r="O11" i="1" s="1"/>
  <c r="B9" i="1"/>
  <c r="E9" i="1" s="1"/>
  <c r="K7" i="1"/>
  <c r="M7" i="1" s="1"/>
  <c r="O7" i="1" s="1"/>
  <c r="P7" i="1" s="1"/>
  <c r="S37" i="40"/>
  <c r="AB28" i="40"/>
  <c r="W28" i="40"/>
  <c r="W19" i="40"/>
  <c r="S13" i="40"/>
  <c r="U11" i="40"/>
  <c r="S31" i="40"/>
  <c r="AB13" i="40"/>
  <c r="U15" i="40"/>
  <c r="AB17" i="40"/>
  <c r="U8" i="40"/>
  <c r="S14" i="39"/>
  <c r="AA14" i="39"/>
  <c r="AB11" i="39"/>
  <c r="U11" i="39"/>
  <c r="S27" i="39"/>
  <c r="W17" i="39"/>
  <c r="AA45" i="39"/>
  <c r="AB39" i="39"/>
  <c r="S8" i="39"/>
  <c r="W29" i="36"/>
  <c r="AC20" i="36"/>
  <c r="U25" i="36"/>
  <c r="AB28" i="36"/>
  <c r="W22" i="36"/>
  <c r="S35" i="35"/>
  <c r="W35" i="35"/>
  <c r="AA16" i="35"/>
  <c r="AA35" i="37"/>
  <c r="U36" i="37"/>
  <c r="AA31" i="37"/>
  <c r="U19" i="37"/>
  <c r="AA29" i="37"/>
  <c r="U8" i="37"/>
  <c r="AC14" i="34"/>
  <c r="AC29" i="34"/>
  <c r="U38" i="34"/>
  <c r="AA36" i="34"/>
  <c r="S36" i="34"/>
  <c r="AC43" i="34"/>
  <c r="W43" i="34"/>
  <c r="AC35" i="34"/>
  <c r="W35" i="34"/>
  <c r="AC37" i="33"/>
  <c r="W46" i="33"/>
  <c r="U39" i="33"/>
  <c r="U38" i="33"/>
  <c r="AB34" i="33"/>
  <c r="U44" i="33"/>
  <c r="AB44" i="33"/>
  <c r="S31" i="33"/>
  <c r="AA31" i="33"/>
  <c r="U15" i="33"/>
  <c r="S11" i="33"/>
  <c r="U37" i="33"/>
  <c r="AC28" i="33"/>
  <c r="S28" i="33"/>
  <c r="W8" i="33"/>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s="1"/>
  <c r="AC19" i="21"/>
  <c r="W39" i="21"/>
  <c r="AC14" i="21"/>
  <c r="W30" i="21"/>
  <c r="H45" i="21"/>
  <c r="U45" i="21" s="1"/>
  <c r="F29" i="21"/>
  <c r="AA29" i="21" s="1"/>
  <c r="F13" i="21"/>
  <c r="AC38" i="21"/>
  <c r="H32" i="21"/>
  <c r="AB32" i="21" s="1"/>
  <c r="H9" i="21"/>
  <c r="J9" i="21"/>
  <c r="J32" i="21"/>
  <c r="W32" i="21" s="1"/>
  <c r="F32" i="21"/>
  <c r="W29" i="21"/>
  <c r="S9" i="21"/>
  <c r="AA9" i="21"/>
  <c r="K141" i="21"/>
  <c r="K144" i="21"/>
  <c r="K143" i="21"/>
  <c r="F10" i="21"/>
  <c r="AA10" i="21" s="1"/>
  <c r="K145" i="21"/>
  <c r="W25" i="21"/>
  <c r="S27" i="21"/>
  <c r="S17" i="21"/>
  <c r="AA15" i="21"/>
  <c r="AC27" i="21"/>
  <c r="AC26" i="21"/>
  <c r="AC34" i="21"/>
  <c r="AB36" i="21"/>
  <c r="C17" i="40"/>
  <c r="C23" i="40"/>
  <c r="C21" i="40"/>
  <c r="B67" i="43"/>
  <c r="B62" i="43"/>
  <c r="B69" i="43"/>
  <c r="D23" i="15"/>
  <c r="D22" i="15"/>
  <c r="E4" i="4"/>
  <c r="B5" i="62" s="1"/>
  <c r="B73" i="72" s="1"/>
  <c r="C4" i="4"/>
  <c r="S12" i="33"/>
  <c r="AA12" i="33"/>
  <c r="J32" i="39"/>
  <c r="AC32" i="39" s="1"/>
  <c r="H32" i="39"/>
  <c r="AB32" i="39" s="1"/>
  <c r="AA21" i="39"/>
  <c r="S21" i="39"/>
  <c r="AC17" i="37"/>
  <c r="S17" i="37"/>
  <c r="J19" i="37"/>
  <c r="W19" i="37" s="1"/>
  <c r="J23" i="37"/>
  <c r="AC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27" i="33"/>
  <c r="U25" i="33"/>
  <c r="AB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H23" i="21"/>
  <c r="AP7" i="1"/>
  <c r="AB45" i="21"/>
  <c r="AA32" i="21"/>
  <c r="S32" i="21"/>
  <c r="W9" i="21"/>
  <c r="AC9" i="21"/>
  <c r="U32" i="39"/>
  <c r="J11" i="37"/>
  <c r="AC11" i="37" s="1"/>
  <c r="J11" i="34"/>
  <c r="W11" i="34" s="1"/>
  <c r="AA17" i="33"/>
  <c r="U23" i="21"/>
  <c r="AB23" i="21"/>
  <c r="H112" i="9"/>
  <c r="D21" i="53" s="1"/>
  <c r="B39" i="72" s="1"/>
  <c r="H111" i="9"/>
  <c r="D126" i="9" s="1"/>
  <c r="J1" i="73"/>
  <c r="D24" i="71"/>
  <c r="U24" i="71" s="1"/>
  <c r="T24" i="71"/>
  <c r="E2" i="69"/>
  <c r="B8" i="76"/>
  <c r="E11" i="76"/>
  <c r="E7" i="76"/>
  <c r="E9" i="76"/>
  <c r="B9" i="76"/>
  <c r="E13" i="76"/>
  <c r="F7" i="73"/>
  <c r="F5" i="73"/>
  <c r="E8" i="76"/>
  <c r="B12" i="76"/>
  <c r="F3" i="73"/>
  <c r="E2" i="68"/>
  <c r="F4" i="73"/>
  <c r="AO13" i="1"/>
  <c r="B7" i="76"/>
  <c r="B13" i="76"/>
  <c r="B10" i="76"/>
  <c r="F6" i="73"/>
  <c r="E12" i="76"/>
  <c r="B11" i="76"/>
  <c r="E10" i="76"/>
  <c r="F20" i="31"/>
  <c r="D6" i="73"/>
  <c r="G26" i="12" l="1"/>
  <c r="E1" i="73"/>
  <c r="G22" i="11"/>
  <c r="G22" i="68"/>
  <c r="G22" i="69"/>
  <c r="U44" i="21"/>
  <c r="AB44" i="21"/>
  <c r="AZ308" i="3"/>
  <c r="AZ319" i="3"/>
  <c r="AZ340" i="3"/>
  <c r="AZ341" i="3"/>
  <c r="AZ366" i="3"/>
  <c r="AZ375" i="3"/>
  <c r="AZ325" i="3"/>
  <c r="AZ335" i="3"/>
  <c r="AZ124" i="3"/>
  <c r="AZ560" i="3"/>
  <c r="AZ570" i="3"/>
  <c r="AZ563" i="3"/>
  <c r="U14" i="33"/>
  <c r="AB14" i="33"/>
  <c r="BA587" i="3"/>
  <c r="BL244" i="3"/>
  <c r="S36" i="37"/>
  <c r="S39" i="39"/>
  <c r="AA39" i="39"/>
  <c r="AZ544" i="3"/>
  <c r="C55" i="71"/>
  <c r="D54" i="71"/>
  <c r="T76" i="71"/>
  <c r="D76" i="71"/>
  <c r="C75" i="71"/>
  <c r="AZ344" i="3"/>
  <c r="AA41" i="39"/>
  <c r="BA585" i="3"/>
  <c r="S42" i="39"/>
  <c r="G111" i="33"/>
  <c r="H111" i="33" s="1"/>
  <c r="I111" i="33" s="1"/>
  <c r="J111" i="33" s="1"/>
  <c r="K111" i="33" s="1"/>
  <c r="L111" i="33" s="1"/>
  <c r="M111" i="33" s="1"/>
  <c r="F36" i="33"/>
  <c r="AA36" i="33" s="1"/>
  <c r="AZ580" i="3"/>
  <c r="G539" i="3"/>
  <c r="BA529" i="3"/>
  <c r="AZ529" i="3" s="1"/>
  <c r="BL512" i="3"/>
  <c r="BA496" i="3"/>
  <c r="BL494" i="3"/>
  <c r="W17" i="34"/>
  <c r="AC17" i="34"/>
  <c r="S29" i="35"/>
  <c r="AA29" i="35"/>
  <c r="AA9" i="39"/>
  <c r="S9" i="39"/>
  <c r="AB38" i="39"/>
  <c r="U38" i="39"/>
  <c r="G580" i="3"/>
  <c r="G525" i="3"/>
  <c r="F40" i="69"/>
  <c r="C40" i="69"/>
  <c r="AB17" i="37"/>
  <c r="W27" i="37"/>
  <c r="S19" i="40"/>
  <c r="AA19" i="40"/>
  <c r="G584" i="3"/>
  <c r="BA579" i="3"/>
  <c r="AZ579" i="3" s="1"/>
  <c r="BL558" i="3"/>
  <c r="G506" i="3"/>
  <c r="AB42" i="33"/>
  <c r="U42" i="33"/>
  <c r="AC23" i="39"/>
  <c r="W23" i="39"/>
  <c r="W31" i="35"/>
  <c r="AC31" i="35"/>
  <c r="BA583" i="3"/>
  <c r="G561" i="3"/>
  <c r="BL502" i="3"/>
  <c r="E66" i="71"/>
  <c r="P66" i="71" s="1"/>
  <c r="P67" i="71"/>
  <c r="AB35" i="71"/>
  <c r="AB34" i="71"/>
  <c r="B67" i="71"/>
  <c r="N67" i="71" s="1"/>
  <c r="S68" i="71"/>
  <c r="Y19" i="71"/>
  <c r="Z19" i="71" s="1"/>
  <c r="W13" i="40"/>
  <c r="AC13" i="40"/>
  <c r="W25" i="36"/>
  <c r="AC25" i="36"/>
  <c r="AA23" i="35"/>
  <c r="S23" i="35"/>
  <c r="AC39" i="33"/>
  <c r="W39" i="33"/>
  <c r="W32" i="33"/>
  <c r="AA27" i="35"/>
  <c r="S27" i="35"/>
  <c r="AC24" i="36"/>
  <c r="W24" i="36"/>
  <c r="F38" i="37"/>
  <c r="H38" i="37"/>
  <c r="J38" i="37"/>
  <c r="H31" i="39"/>
  <c r="F31" i="39"/>
  <c r="J31" i="39"/>
  <c r="BA573" i="3"/>
  <c r="BA564" i="3"/>
  <c r="BA448" i="3"/>
  <c r="U9" i="39"/>
  <c r="H31" i="34"/>
  <c r="AB31" i="34" s="1"/>
  <c r="J31" i="34"/>
  <c r="F31" i="34"/>
  <c r="S31" i="34" s="1"/>
  <c r="J39" i="37"/>
  <c r="F39" i="37"/>
  <c r="S39" i="37" s="1"/>
  <c r="BA16" i="3"/>
  <c r="BL406" i="3"/>
  <c r="G415" i="3"/>
  <c r="G424" i="3"/>
  <c r="BA439" i="3"/>
  <c r="BA260" i="3"/>
  <c r="BA271" i="3"/>
  <c r="BA115" i="3"/>
  <c r="BA131" i="3"/>
  <c r="BL134" i="3"/>
  <c r="AZ134" i="3" s="1"/>
  <c r="BA160" i="3"/>
  <c r="AZ160" i="3" s="1"/>
  <c r="X31" i="71"/>
  <c r="AZ184" i="3"/>
  <c r="AZ387" i="3"/>
  <c r="AC32" i="37"/>
  <c r="W32" i="37"/>
  <c r="W31" i="33"/>
  <c r="AC31" i="33"/>
  <c r="X23" i="71"/>
  <c r="W34" i="39"/>
  <c r="M47" i="9"/>
  <c r="AZ14" i="3"/>
  <c r="C7" i="40"/>
  <c r="C63" i="40" s="1"/>
  <c r="AA27" i="40"/>
  <c r="AZ373" i="3"/>
  <c r="J40" i="37"/>
  <c r="F40" i="37"/>
  <c r="G571" i="3"/>
  <c r="BL563" i="3"/>
  <c r="BL540" i="3"/>
  <c r="G530" i="3"/>
  <c r="BL526" i="3"/>
  <c r="BL522" i="3"/>
  <c r="BA520" i="3"/>
  <c r="AZ520" i="3" s="1"/>
  <c r="BA510" i="3"/>
  <c r="BA506" i="3"/>
  <c r="BA501" i="3"/>
  <c r="BS5" i="3"/>
  <c r="C7" i="21"/>
  <c r="U36" i="40"/>
  <c r="S14" i="40"/>
  <c r="S37" i="33"/>
  <c r="AA37" i="33"/>
  <c r="AB19" i="21"/>
  <c r="U19" i="21"/>
  <c r="AC18" i="35"/>
  <c r="W18" i="35"/>
  <c r="AB20" i="36"/>
  <c r="U38" i="21"/>
  <c r="AB38" i="21"/>
  <c r="G501" i="3"/>
  <c r="B13" i="1"/>
  <c r="E13" i="1" s="1"/>
  <c r="S13" i="1"/>
  <c r="AR13" i="1" s="1"/>
  <c r="R13" i="1"/>
  <c r="C51" i="10"/>
  <c r="A13" i="51" s="1"/>
  <c r="B11" i="72" s="1"/>
  <c r="A2" i="9"/>
  <c r="A118" i="9"/>
  <c r="A4" i="52"/>
  <c r="B41" i="72" s="1"/>
  <c r="AZ390" i="3"/>
  <c r="AB34" i="37"/>
  <c r="AA37" i="39"/>
  <c r="S37" i="39"/>
  <c r="AB26" i="37"/>
  <c r="U26" i="37"/>
  <c r="BA106" i="3"/>
  <c r="F38" i="71"/>
  <c r="F39" i="71" s="1"/>
  <c r="T68" i="71"/>
  <c r="O68" i="71"/>
  <c r="D68" i="71"/>
  <c r="C67" i="71"/>
  <c r="D67" i="71" s="1"/>
  <c r="AC33" i="33"/>
  <c r="W33" i="33"/>
  <c r="BA532" i="3"/>
  <c r="BL529" i="3"/>
  <c r="BA124" i="3"/>
  <c r="AZ389" i="3"/>
  <c r="F14" i="34"/>
  <c r="AA14" i="34" s="1"/>
  <c r="H37" i="34"/>
  <c r="U37" i="34" s="1"/>
  <c r="S34" i="36"/>
  <c r="AA34" i="36"/>
  <c r="H36" i="33"/>
  <c r="U36" i="33" s="1"/>
  <c r="AB30" i="34"/>
  <c r="U22" i="35"/>
  <c r="U22" i="36"/>
  <c r="U12" i="40"/>
  <c r="C7" i="36"/>
  <c r="C46" i="36" s="1"/>
  <c r="D46" i="36" s="1"/>
  <c r="E46" i="36" s="1"/>
  <c r="F46" i="36" s="1"/>
  <c r="G46" i="36" s="1"/>
  <c r="H46" i="36" s="1"/>
  <c r="I46" i="36" s="1"/>
  <c r="AC40" i="39"/>
  <c r="W40" i="39"/>
  <c r="AZ419" i="3"/>
  <c r="BA437" i="3"/>
  <c r="BL350" i="3"/>
  <c r="BA351" i="3"/>
  <c r="AZ351" i="3" s="1"/>
  <c r="BL352" i="3"/>
  <c r="BA356" i="3"/>
  <c r="AZ356" i="3" s="1"/>
  <c r="BA365" i="3"/>
  <c r="AZ371" i="3"/>
  <c r="BA372" i="3"/>
  <c r="AZ372" i="3" s="1"/>
  <c r="BL237" i="3"/>
  <c r="BL272" i="3"/>
  <c r="BL274" i="3"/>
  <c r="BL116" i="3"/>
  <c r="BL132" i="3"/>
  <c r="U12" i="35"/>
  <c r="AB12" i="35"/>
  <c r="BA586" i="3"/>
  <c r="AZ586" i="3" s="1"/>
  <c r="B23" i="71"/>
  <c r="B22" i="71" s="1"/>
  <c r="B21" i="71" s="1"/>
  <c r="B20" i="71" s="1"/>
  <c r="S24" i="71"/>
  <c r="AC30" i="40"/>
  <c r="W30" i="40"/>
  <c r="AZ148" i="3"/>
  <c r="AB42" i="39"/>
  <c r="U42" i="39"/>
  <c r="AA20" i="36"/>
  <c r="S20" i="36"/>
  <c r="AZ311" i="3"/>
  <c r="AZ380" i="3"/>
  <c r="AZ558" i="3"/>
  <c r="AA38" i="39"/>
  <c r="S38" i="39"/>
  <c r="J32" i="40"/>
  <c r="H32" i="40"/>
  <c r="F32" i="40"/>
  <c r="F38" i="40"/>
  <c r="H38" i="40"/>
  <c r="BA584" i="3"/>
  <c r="AZ584" i="3" s="1"/>
  <c r="BA575" i="3"/>
  <c r="AZ575" i="3" s="1"/>
  <c r="BA552" i="3"/>
  <c r="AZ552" i="3" s="1"/>
  <c r="BL549" i="3"/>
  <c r="AZ549" i="3" s="1"/>
  <c r="BA547" i="3"/>
  <c r="BL544" i="3"/>
  <c r="BA543" i="3"/>
  <c r="BL521" i="3"/>
  <c r="BA519" i="3"/>
  <c r="BL498" i="3"/>
  <c r="BP5" i="3"/>
  <c r="BA15" i="3"/>
  <c r="BB5" i="3"/>
  <c r="E8" i="6" s="1"/>
  <c r="F27" i="6" s="1"/>
  <c r="AB21" i="37"/>
  <c r="U21" i="37"/>
  <c r="U9" i="21"/>
  <c r="AB9" i="21"/>
  <c r="AC14" i="40"/>
  <c r="D120" i="9"/>
  <c r="D121" i="9" s="1"/>
  <c r="D7" i="52" s="1"/>
  <c r="AZ135" i="3"/>
  <c r="AZ378" i="3"/>
  <c r="BL503" i="3"/>
  <c r="G575" i="3"/>
  <c r="BL567" i="3"/>
  <c r="BL530" i="3"/>
  <c r="W19" i="33"/>
  <c r="S39" i="33"/>
  <c r="AC13" i="34"/>
  <c r="BL571" i="3"/>
  <c r="S11" i="36"/>
  <c r="H14" i="34"/>
  <c r="BA582" i="3"/>
  <c r="AZ582" i="3" s="1"/>
  <c r="BA578" i="3"/>
  <c r="AZ578" i="3" s="1"/>
  <c r="BA523" i="3"/>
  <c r="BA88" i="3"/>
  <c r="AZ88" i="3" s="1"/>
  <c r="BC5" i="3"/>
  <c r="BL575" i="3"/>
  <c r="AC13" i="21"/>
  <c r="W13" i="21"/>
  <c r="J37" i="34"/>
  <c r="AC37" i="34" s="1"/>
  <c r="H39" i="37"/>
  <c r="W12" i="33"/>
  <c r="AC12" i="33"/>
  <c r="U32" i="21"/>
  <c r="J36" i="33"/>
  <c r="W36" i="33" s="1"/>
  <c r="W25" i="39"/>
  <c r="AC25" i="39"/>
  <c r="BL577" i="3"/>
  <c r="AZ577" i="3" s="1"/>
  <c r="H27" i="37"/>
  <c r="F27" i="37"/>
  <c r="J27" i="40"/>
  <c r="AC27" i="40" s="1"/>
  <c r="H27" i="40"/>
  <c r="J36" i="39"/>
  <c r="AC36" i="39" s="1"/>
  <c r="F36" i="39"/>
  <c r="H36" i="39"/>
  <c r="BA581" i="3"/>
  <c r="BA545" i="3"/>
  <c r="AZ545" i="3" s="1"/>
  <c r="BL542" i="3"/>
  <c r="BL528" i="3"/>
  <c r="BA517" i="3"/>
  <c r="BL514" i="3"/>
  <c r="BA513" i="3"/>
  <c r="BA512" i="3"/>
  <c r="AZ512" i="3" s="1"/>
  <c r="BL510" i="3"/>
  <c r="BA508" i="3"/>
  <c r="BL505" i="3"/>
  <c r="BG5" i="3"/>
  <c r="BA473" i="3"/>
  <c r="BL490" i="3"/>
  <c r="AZ305" i="3"/>
  <c r="BA306" i="3"/>
  <c r="BL318" i="3"/>
  <c r="BA322" i="3"/>
  <c r="BA324" i="3"/>
  <c r="BL325" i="3"/>
  <c r="BA326" i="3"/>
  <c r="AZ326" i="3" s="1"/>
  <c r="BL327" i="3"/>
  <c r="AZ328" i="3"/>
  <c r="BA331" i="3"/>
  <c r="AZ331" i="3"/>
  <c r="BL343" i="3"/>
  <c r="AZ343" i="3" s="1"/>
  <c r="AZ345" i="3"/>
  <c r="BA347" i="3"/>
  <c r="AZ347" i="3" s="1"/>
  <c r="BL257" i="3"/>
  <c r="AA30" i="40"/>
  <c r="S30" i="40"/>
  <c r="C7" i="39"/>
  <c r="C67" i="39" s="1"/>
  <c r="C7" i="35"/>
  <c r="C48" i="35" s="1"/>
  <c r="D48" i="35" s="1"/>
  <c r="C42" i="1"/>
  <c r="C24" i="12" s="1"/>
  <c r="S32" i="39"/>
  <c r="AA32" i="39"/>
  <c r="G585" i="3"/>
  <c r="AZ327" i="3"/>
  <c r="X3" i="71"/>
  <c r="G23" i="43"/>
  <c r="C23" i="43" s="1"/>
  <c r="S29" i="34"/>
  <c r="AA29" i="34"/>
  <c r="AC23" i="21"/>
  <c r="W23" i="21"/>
  <c r="AA21" i="40"/>
  <c r="S21" i="40"/>
  <c r="F44" i="21"/>
  <c r="J44" i="21"/>
  <c r="AB20" i="71"/>
  <c r="AC27" i="33"/>
  <c r="W27" i="33"/>
  <c r="AC23" i="40"/>
  <c r="W23" i="40"/>
  <c r="U31" i="35"/>
  <c r="AB31" i="35"/>
  <c r="AB19" i="71"/>
  <c r="AZ369" i="3"/>
  <c r="E82" i="34"/>
  <c r="F82" i="34" s="1"/>
  <c r="G82" i="34" s="1"/>
  <c r="F19" i="34"/>
  <c r="S19" i="34" s="1"/>
  <c r="AC9" i="39"/>
  <c r="W9" i="39"/>
  <c r="BL562" i="3"/>
  <c r="G529" i="3"/>
  <c r="BA524" i="3"/>
  <c r="AA20" i="71"/>
  <c r="U27" i="33"/>
  <c r="AZ355" i="3"/>
  <c r="BA360" i="3"/>
  <c r="AZ360" i="3" s="1"/>
  <c r="BA291" i="3"/>
  <c r="AA13" i="21"/>
  <c r="S13" i="21"/>
  <c r="H19" i="34"/>
  <c r="AB19" i="34" s="1"/>
  <c r="AA46" i="21"/>
  <c r="S46" i="21"/>
  <c r="B101" i="43"/>
  <c r="C25" i="39"/>
  <c r="BL584" i="3"/>
  <c r="W23" i="37"/>
  <c r="AA19" i="37"/>
  <c r="U24" i="35"/>
  <c r="U27" i="35"/>
  <c r="AB27" i="35"/>
  <c r="AB22" i="71"/>
  <c r="AC45" i="21"/>
  <c r="U35" i="37"/>
  <c r="AB35" i="37"/>
  <c r="H32" i="34"/>
  <c r="U32" i="34" s="1"/>
  <c r="F32" i="34"/>
  <c r="S32" i="34" s="1"/>
  <c r="J32" i="34"/>
  <c r="W32" i="34" s="1"/>
  <c r="F25" i="37"/>
  <c r="H25" i="37"/>
  <c r="W42" i="21"/>
  <c r="U13" i="37"/>
  <c r="AZ357" i="3"/>
  <c r="C7" i="34"/>
  <c r="E7" i="34" s="1"/>
  <c r="G7" i="34" s="1"/>
  <c r="I7" i="34" s="1"/>
  <c r="AC36" i="37"/>
  <c r="W36" i="37"/>
  <c r="U33" i="40"/>
  <c r="AB33" i="40"/>
  <c r="AA13" i="36"/>
  <c r="S13" i="36"/>
  <c r="B83" i="43"/>
  <c r="C15" i="40"/>
  <c r="F45" i="34"/>
  <c r="AA45" i="34" s="1"/>
  <c r="J45" i="34"/>
  <c r="W45" i="34" s="1"/>
  <c r="AB9" i="40"/>
  <c r="U9" i="40"/>
  <c r="J38" i="40"/>
  <c r="AC41" i="21"/>
  <c r="W41" i="21"/>
  <c r="BA577" i="3"/>
  <c r="BA576" i="3"/>
  <c r="BL560" i="3"/>
  <c r="BL556" i="3"/>
  <c r="BL555" i="3"/>
  <c r="AZ555" i="3" s="1"/>
  <c r="BA554" i="3"/>
  <c r="AZ554" i="3" s="1"/>
  <c r="BL551" i="3"/>
  <c r="BA550" i="3"/>
  <c r="BA549" i="3"/>
  <c r="BA540" i="3"/>
  <c r="BL538" i="3"/>
  <c r="BL537" i="3"/>
  <c r="BA536" i="3"/>
  <c r="AZ536" i="3" s="1"/>
  <c r="BA535" i="3"/>
  <c r="BL533" i="3"/>
  <c r="BA531" i="3"/>
  <c r="BA527" i="3"/>
  <c r="BA503" i="3"/>
  <c r="AZ503" i="3" s="1"/>
  <c r="BL500" i="3"/>
  <c r="BT5" i="3"/>
  <c r="G28" i="6" s="1"/>
  <c r="BA499" i="3"/>
  <c r="BF5" i="3"/>
  <c r="BA498" i="3"/>
  <c r="AZ498" i="3" s="1"/>
  <c r="BL496" i="3"/>
  <c r="BA494" i="3"/>
  <c r="AZ494" i="3" s="1"/>
  <c r="AA36" i="35"/>
  <c r="U35" i="40"/>
  <c r="C7" i="37"/>
  <c r="C52" i="37" s="1"/>
  <c r="D52" i="37" s="1"/>
  <c r="W16" i="35"/>
  <c r="BL511" i="3"/>
  <c r="AZ511" i="3" s="1"/>
  <c r="AC38" i="34"/>
  <c r="AC43" i="21"/>
  <c r="F13" i="33"/>
  <c r="S13" i="33" s="1"/>
  <c r="J13" i="33"/>
  <c r="H13" i="33"/>
  <c r="U13" i="33" s="1"/>
  <c r="F46" i="34"/>
  <c r="J46" i="34"/>
  <c r="H46" i="34"/>
  <c r="U46" i="34" s="1"/>
  <c r="F28" i="37"/>
  <c r="J28" i="37"/>
  <c r="H28" i="37"/>
  <c r="U28" i="37" s="1"/>
  <c r="J43" i="39"/>
  <c r="F43" i="39"/>
  <c r="H43" i="39"/>
  <c r="BA470" i="3"/>
  <c r="BL472" i="3"/>
  <c r="BA478" i="3"/>
  <c r="G246" i="3"/>
  <c r="BL255" i="3"/>
  <c r="G257" i="3"/>
  <c r="BL261" i="3"/>
  <c r="BA265" i="3"/>
  <c r="BA269" i="3"/>
  <c r="AZ269" i="3" s="1"/>
  <c r="G279" i="3"/>
  <c r="G288" i="3"/>
  <c r="W14" i="33"/>
  <c r="AC14" i="33"/>
  <c r="BA13" i="3"/>
  <c r="AZ13" i="3" s="1"/>
  <c r="BA445" i="3"/>
  <c r="AZ445" i="3" s="1"/>
  <c r="P68" i="71"/>
  <c r="U68" i="71"/>
  <c r="V80" i="71"/>
  <c r="F79" i="71"/>
  <c r="F78" i="71" s="1"/>
  <c r="E5" i="6"/>
  <c r="D9" i="68" s="1"/>
  <c r="BL419" i="3"/>
  <c r="G466" i="3"/>
  <c r="BL475" i="3"/>
  <c r="G101" i="3"/>
  <c r="BL430" i="3"/>
  <c r="F64" i="71"/>
  <c r="V64" i="71" s="1"/>
  <c r="AC25" i="33"/>
  <c r="W25" i="33"/>
  <c r="AC34" i="33"/>
  <c r="W11" i="39"/>
  <c r="AC11" i="39"/>
  <c r="U31" i="40"/>
  <c r="AB31" i="40"/>
  <c r="F47" i="34"/>
  <c r="S47" i="34" s="1"/>
  <c r="S30" i="33"/>
  <c r="AA30" i="33"/>
  <c r="J9" i="35"/>
  <c r="F9" i="35"/>
  <c r="S9" i="35" s="1"/>
  <c r="H9" i="35"/>
  <c r="U9" i="35" s="1"/>
  <c r="S21" i="33"/>
  <c r="AA21" i="33"/>
  <c r="BA447" i="3"/>
  <c r="AZ447" i="3" s="1"/>
  <c r="C59" i="71"/>
  <c r="S72" i="71"/>
  <c r="B71" i="71"/>
  <c r="B70" i="71" s="1"/>
  <c r="H109" i="9"/>
  <c r="D16" i="53" s="1"/>
  <c r="AB25" i="21"/>
  <c r="W30" i="33"/>
  <c r="W12" i="39"/>
  <c r="AA23" i="39"/>
  <c r="U20" i="35"/>
  <c r="AB20" i="35"/>
  <c r="AA15" i="37"/>
  <c r="AB28" i="21"/>
  <c r="U28" i="21"/>
  <c r="E126" i="34"/>
  <c r="F126" i="34" s="1"/>
  <c r="G126" i="34" s="1"/>
  <c r="J44" i="34"/>
  <c r="W44" i="34" s="1"/>
  <c r="F44" i="34"/>
  <c r="S44" i="34" s="1"/>
  <c r="H44" i="34"/>
  <c r="U44" i="34" s="1"/>
  <c r="BL564" i="3"/>
  <c r="BL462" i="3"/>
  <c r="G464" i="3"/>
  <c r="BA231" i="3"/>
  <c r="G72" i="3"/>
  <c r="U21" i="33"/>
  <c r="AB21" i="33"/>
  <c r="S25" i="21"/>
  <c r="AA25" i="21"/>
  <c r="AC13" i="35"/>
  <c r="W13" i="35"/>
  <c r="BL108" i="3"/>
  <c r="BL565" i="3"/>
  <c r="AZ565" i="3" s="1"/>
  <c r="W41" i="39"/>
  <c r="AC41" i="39"/>
  <c r="AB43" i="34"/>
  <c r="U43" i="34"/>
  <c r="F32" i="36"/>
  <c r="J32" i="36"/>
  <c r="W32" i="36" s="1"/>
  <c r="H32" i="36"/>
  <c r="W40" i="34"/>
  <c r="AA12" i="39"/>
  <c r="BL569" i="3"/>
  <c r="AZ569" i="3" s="1"/>
  <c r="F14" i="33"/>
  <c r="J44" i="39"/>
  <c r="B94" i="43"/>
  <c r="B51" i="43"/>
  <c r="M20" i="15"/>
  <c r="F34" i="67"/>
  <c r="F62" i="67" s="1"/>
  <c r="M20" i="67"/>
  <c r="F34" i="15"/>
  <c r="F62" i="15" s="1"/>
  <c r="J55" i="39"/>
  <c r="J50" i="40"/>
  <c r="BA452" i="3"/>
  <c r="AZ452" i="3" s="1"/>
  <c r="BA293" i="3"/>
  <c r="G294" i="3"/>
  <c r="BA126" i="3"/>
  <c r="G129" i="3"/>
  <c r="G147" i="3"/>
  <c r="BA155" i="3"/>
  <c r="BA173" i="3"/>
  <c r="BA175" i="3"/>
  <c r="AZ175" i="3" s="1"/>
  <c r="BL176" i="3"/>
  <c r="BA33" i="3"/>
  <c r="G47" i="3"/>
  <c r="AB21" i="34"/>
  <c r="U21" i="34"/>
  <c r="BA244" i="3"/>
  <c r="AZ244" i="3" s="1"/>
  <c r="BA77" i="3"/>
  <c r="W31" i="21"/>
  <c r="U17" i="21"/>
  <c r="AZ394" i="3"/>
  <c r="BL559" i="3"/>
  <c r="AZ559" i="3" s="1"/>
  <c r="G557" i="3"/>
  <c r="BA233" i="3"/>
  <c r="BL258" i="3"/>
  <c r="BL262" i="3"/>
  <c r="BL189" i="3"/>
  <c r="BA204" i="3"/>
  <c r="AZ204" i="3" s="1"/>
  <c r="A122" i="9"/>
  <c r="A8" i="52" s="1"/>
  <c r="B54" i="72" s="1"/>
  <c r="B13" i="53"/>
  <c r="B29" i="72" s="1"/>
  <c r="U21" i="39"/>
  <c r="AA22" i="36"/>
  <c r="W37" i="37"/>
  <c r="BL561" i="3"/>
  <c r="AZ561" i="3" s="1"/>
  <c r="H29" i="21"/>
  <c r="F12" i="40"/>
  <c r="J12" i="40"/>
  <c r="BA553" i="3"/>
  <c r="BA548" i="3"/>
  <c r="BL546" i="3"/>
  <c r="G540" i="3"/>
  <c r="BA539" i="3"/>
  <c r="BA530" i="3"/>
  <c r="AZ530" i="3" s="1"/>
  <c r="BA526" i="3"/>
  <c r="BL518" i="3"/>
  <c r="BA516" i="3"/>
  <c r="AZ516" i="3" s="1"/>
  <c r="BL513" i="3"/>
  <c r="BL508" i="3"/>
  <c r="BA507" i="3"/>
  <c r="BA502" i="3"/>
  <c r="AZ502" i="3" s="1"/>
  <c r="BL495" i="3"/>
  <c r="AZ495" i="3" s="1"/>
  <c r="H5" i="3"/>
  <c r="BA493" i="3"/>
  <c r="BL487" i="3"/>
  <c r="BA319" i="3"/>
  <c r="BA335" i="3"/>
  <c r="BL214" i="3"/>
  <c r="G225" i="3"/>
  <c r="BL254" i="3"/>
  <c r="BA148" i="3"/>
  <c r="BL44" i="3"/>
  <c r="BA50" i="3"/>
  <c r="BA59" i="3"/>
  <c r="G80" i="3"/>
  <c r="BA84" i="3"/>
  <c r="X26" i="71"/>
  <c r="B28" i="71"/>
  <c r="B27" i="71" s="1"/>
  <c r="B26" i="71" s="1"/>
  <c r="F44" i="71"/>
  <c r="V44" i="71" s="1"/>
  <c r="BA235" i="3"/>
  <c r="BA270" i="3"/>
  <c r="B19" i="53"/>
  <c r="B37" i="72" s="1"/>
  <c r="AC28" i="21"/>
  <c r="J12" i="34"/>
  <c r="H12" i="34"/>
  <c r="AC31" i="40"/>
  <c r="W31" i="40"/>
  <c r="BL402" i="3"/>
  <c r="AZ402" i="3" s="1"/>
  <c r="BL409" i="3"/>
  <c r="BA462" i="3"/>
  <c r="BA286" i="3"/>
  <c r="BL298" i="3"/>
  <c r="BL187" i="3"/>
  <c r="AZ187" i="3" s="1"/>
  <c r="G33" i="3"/>
  <c r="BA41" i="3"/>
  <c r="BL96" i="3"/>
  <c r="BA102" i="3"/>
  <c r="B8" i="1"/>
  <c r="E8" i="1" s="1"/>
  <c r="K8" i="1"/>
  <c r="M8" i="1" s="1"/>
  <c r="C21" i="68"/>
  <c r="W21" i="33"/>
  <c r="AC21" i="33"/>
  <c r="F13" i="39"/>
  <c r="H13" i="39"/>
  <c r="H45" i="39"/>
  <c r="J45" i="39"/>
  <c r="W45" i="39" s="1"/>
  <c r="BA259" i="3"/>
  <c r="AZ259" i="3" s="1"/>
  <c r="BA188" i="3"/>
  <c r="BA68" i="3"/>
  <c r="AZ68" i="3" s="1"/>
  <c r="BA79" i="3"/>
  <c r="AZ79" i="3" s="1"/>
  <c r="W17" i="21"/>
  <c r="BL523" i="3"/>
  <c r="BA424" i="3"/>
  <c r="BL427" i="3"/>
  <c r="BL429" i="3"/>
  <c r="BA491" i="3"/>
  <c r="BA242" i="3"/>
  <c r="AZ242" i="3" s="1"/>
  <c r="AB45" i="33"/>
  <c r="G553" i="3"/>
  <c r="BA406" i="3"/>
  <c r="G409" i="3"/>
  <c r="BL416" i="3"/>
  <c r="BL418" i="3"/>
  <c r="BL386" i="3"/>
  <c r="BL122" i="3"/>
  <c r="BA128" i="3"/>
  <c r="AZ128" i="3" s="1"/>
  <c r="BA168" i="3"/>
  <c r="AZ168" i="3" s="1"/>
  <c r="BL169" i="3"/>
  <c r="BA184" i="3"/>
  <c r="G205" i="3"/>
  <c r="BA48" i="3"/>
  <c r="BL112" i="3"/>
  <c r="AC25" i="40"/>
  <c r="W25" i="40"/>
  <c r="F48" i="71"/>
  <c r="V48" i="71" s="1"/>
  <c r="BL447" i="3"/>
  <c r="BA480" i="3"/>
  <c r="AZ480" i="3" s="1"/>
  <c r="BA489" i="3"/>
  <c r="AZ489" i="3" s="1"/>
  <c r="G492" i="3"/>
  <c r="G318" i="3"/>
  <c r="G343" i="3"/>
  <c r="BL359" i="3"/>
  <c r="AZ359" i="3" s="1"/>
  <c r="BL375" i="3"/>
  <c r="BA385" i="3"/>
  <c r="BA392" i="3"/>
  <c r="AZ392" i="3" s="1"/>
  <c r="BL269" i="3"/>
  <c r="G276" i="3"/>
  <c r="BL283" i="3"/>
  <c r="BL158" i="3"/>
  <c r="BL201" i="3"/>
  <c r="BL203" i="3"/>
  <c r="AZ203" i="3" s="1"/>
  <c r="BL29" i="3"/>
  <c r="G103" i="3"/>
  <c r="BA67" i="3"/>
  <c r="BL88" i="3"/>
  <c r="BL90" i="3"/>
  <c r="BA98" i="3"/>
  <c r="BA105" i="3"/>
  <c r="Y27" i="71"/>
  <c r="Z27" i="71" s="1"/>
  <c r="BL420" i="3"/>
  <c r="G440" i="3"/>
  <c r="BL458" i="3"/>
  <c r="G462" i="3"/>
  <c r="BL360" i="3"/>
  <c r="BL381" i="3"/>
  <c r="AZ381" i="3" s="1"/>
  <c r="BL227" i="3"/>
  <c r="BA248" i="3"/>
  <c r="AZ248" i="3" s="1"/>
  <c r="BA274" i="3"/>
  <c r="AZ274" i="3" s="1"/>
  <c r="BA147" i="3"/>
  <c r="BL23" i="3"/>
  <c r="BL45" i="3"/>
  <c r="BL61" i="3"/>
  <c r="J51" i="67"/>
  <c r="G579" i="3"/>
  <c r="G556" i="3"/>
  <c r="BA555" i="3"/>
  <c r="BL552" i="3"/>
  <c r="BA551" i="3"/>
  <c r="G547" i="3"/>
  <c r="BA546" i="3"/>
  <c r="BA542" i="3"/>
  <c r="AZ542" i="3" s="1"/>
  <c r="G538" i="3"/>
  <c r="BA537" i="3"/>
  <c r="AZ537" i="3" s="1"/>
  <c r="BL534" i="3"/>
  <c r="G533" i="3"/>
  <c r="BA528" i="3"/>
  <c r="AZ528" i="3" s="1"/>
  <c r="BL525" i="3"/>
  <c r="G524" i="3"/>
  <c r="G519" i="3"/>
  <c r="BA518" i="3"/>
  <c r="AZ518" i="3" s="1"/>
  <c r="BL516" i="3"/>
  <c r="BA514" i="3"/>
  <c r="G510" i="3"/>
  <c r="BA509" i="3"/>
  <c r="AZ509" i="3" s="1"/>
  <c r="G505" i="3"/>
  <c r="BA504" i="3"/>
  <c r="BL501" i="3"/>
  <c r="BA500" i="3"/>
  <c r="AZ500" i="3" s="1"/>
  <c r="BL497" i="3"/>
  <c r="AC5" i="3"/>
  <c r="BA495" i="3"/>
  <c r="BH5" i="3"/>
  <c r="G404" i="3"/>
  <c r="G420" i="3"/>
  <c r="G438" i="3"/>
  <c r="BA444" i="3"/>
  <c r="G458" i="3"/>
  <c r="BL308" i="3"/>
  <c r="BL216" i="3"/>
  <c r="G229" i="3"/>
  <c r="BA281" i="3"/>
  <c r="BL284" i="3"/>
  <c r="BA120" i="3"/>
  <c r="AZ120" i="3" s="1"/>
  <c r="BL177" i="3"/>
  <c r="BL188" i="3"/>
  <c r="BA194" i="3"/>
  <c r="BL195" i="3"/>
  <c r="AZ195" i="3" s="1"/>
  <c r="BA40" i="3"/>
  <c r="AZ40" i="3" s="1"/>
  <c r="BA42" i="3"/>
  <c r="BA65" i="3"/>
  <c r="B32" i="71"/>
  <c r="S32" i="71" s="1"/>
  <c r="B51" i="71"/>
  <c r="B52" i="71" s="1"/>
  <c r="S52" i="71" s="1"/>
  <c r="BL400" i="3"/>
  <c r="G411" i="3"/>
  <c r="BL411" i="3"/>
  <c r="BL340" i="3"/>
  <c r="G347" i="3"/>
  <c r="G216" i="3"/>
  <c r="G218" i="3"/>
  <c r="BL225" i="3"/>
  <c r="BA127" i="3"/>
  <c r="BL579" i="3"/>
  <c r="W30" i="36"/>
  <c r="J9" i="33"/>
  <c r="BL399" i="3"/>
  <c r="BA407" i="3"/>
  <c r="G430" i="3"/>
  <c r="BA443" i="3"/>
  <c r="AZ443" i="3" s="1"/>
  <c r="G448" i="3"/>
  <c r="BA467" i="3"/>
  <c r="BA487" i="3"/>
  <c r="AZ487" i="3" s="1"/>
  <c r="BL230" i="3"/>
  <c r="BA238" i="3"/>
  <c r="BL252" i="3"/>
  <c r="BA145" i="3"/>
  <c r="BL166" i="3"/>
  <c r="BA192" i="3"/>
  <c r="AZ192" i="3" s="1"/>
  <c r="G23" i="3"/>
  <c r="BA38" i="3"/>
  <c r="BA49" i="3"/>
  <c r="BL52" i="3"/>
  <c r="BA72" i="3"/>
  <c r="Y29" i="71"/>
  <c r="Z29" i="71" s="1"/>
  <c r="X25" i="71"/>
  <c r="C51" i="71"/>
  <c r="C52" i="71" s="1"/>
  <c r="T52" i="71" s="1"/>
  <c r="V72" i="71"/>
  <c r="F71" i="71"/>
  <c r="F70" i="71" s="1"/>
  <c r="G419" i="3"/>
  <c r="BL428" i="3"/>
  <c r="G437" i="3"/>
  <c r="BL455" i="3"/>
  <c r="BA476" i="3"/>
  <c r="BL479" i="3"/>
  <c r="BA485" i="3"/>
  <c r="BL316" i="3"/>
  <c r="BA354" i="3"/>
  <c r="BA397" i="3"/>
  <c r="AZ397" i="3" s="1"/>
  <c r="BL219" i="3"/>
  <c r="BL135" i="3"/>
  <c r="BA18" i="3"/>
  <c r="AZ18" i="3" s="1"/>
  <c r="BL21" i="3"/>
  <c r="BA47" i="3"/>
  <c r="G106" i="3"/>
  <c r="E31" i="71"/>
  <c r="E32" i="71" s="1"/>
  <c r="U32" i="71" s="1"/>
  <c r="AB36" i="71"/>
  <c r="G399" i="3"/>
  <c r="BL417" i="3"/>
  <c r="BL435" i="3"/>
  <c r="G444" i="3"/>
  <c r="G455" i="3"/>
  <c r="BL208" i="3"/>
  <c r="BL210" i="3"/>
  <c r="G135" i="3"/>
  <c r="G144" i="3"/>
  <c r="BL162" i="3"/>
  <c r="AZ162" i="3" s="1"/>
  <c r="G57" i="3"/>
  <c r="BA70" i="3"/>
  <c r="BL82" i="3"/>
  <c r="BL93" i="3"/>
  <c r="J51" i="15"/>
  <c r="F31" i="71"/>
  <c r="F32" i="71" s="1"/>
  <c r="V32" i="71" s="1"/>
  <c r="E51" i="71"/>
  <c r="E52" i="71" s="1"/>
  <c r="U52" i="71" s="1"/>
  <c r="F9" i="34"/>
  <c r="AA9" i="34" s="1"/>
  <c r="H9" i="34"/>
  <c r="AB9" i="34" s="1"/>
  <c r="J23" i="35"/>
  <c r="H23" i="35"/>
  <c r="BL13" i="3"/>
  <c r="BL408" i="3"/>
  <c r="BL424" i="3"/>
  <c r="AZ424" i="3" s="1"/>
  <c r="G426" i="3"/>
  <c r="BL433" i="3"/>
  <c r="G453" i="3"/>
  <c r="BL453" i="3"/>
  <c r="BA463" i="3"/>
  <c r="BA465" i="3"/>
  <c r="AZ465" i="3" s="1"/>
  <c r="G477" i="3"/>
  <c r="BL484" i="3"/>
  <c r="G486" i="3"/>
  <c r="BA132" i="3"/>
  <c r="AZ132" i="3" s="1"/>
  <c r="G162" i="3"/>
  <c r="BL55" i="3"/>
  <c r="G82" i="3"/>
  <c r="G93" i="3"/>
  <c r="G102" i="3"/>
  <c r="G111" i="3"/>
  <c r="G1" i="69"/>
  <c r="B55" i="71"/>
  <c r="B56" i="71" s="1"/>
  <c r="S56" i="71" s="1"/>
  <c r="S40" i="21"/>
  <c r="J9" i="36"/>
  <c r="G407" i="3"/>
  <c r="BA413" i="3"/>
  <c r="AZ413" i="3" s="1"/>
  <c r="G427" i="3"/>
  <c r="BL436" i="3"/>
  <c r="BA451" i="3"/>
  <c r="BA468" i="3"/>
  <c r="BL471" i="3"/>
  <c r="BA477" i="3"/>
  <c r="AZ477" i="3" s="1"/>
  <c r="BA348" i="3"/>
  <c r="BA350" i="3"/>
  <c r="AZ350" i="3" s="1"/>
  <c r="BA214" i="3"/>
  <c r="AZ214" i="3" s="1"/>
  <c r="BA225" i="3"/>
  <c r="AZ225" i="3" s="1"/>
  <c r="BL250" i="3"/>
  <c r="AZ250" i="3" s="1"/>
  <c r="BL280" i="3"/>
  <c r="BL289" i="3"/>
  <c r="G291" i="3"/>
  <c r="BA134" i="3"/>
  <c r="BL181" i="3"/>
  <c r="G51" i="3"/>
  <c r="BA73" i="3"/>
  <c r="G78" i="3"/>
  <c r="BA97" i="3"/>
  <c r="Y38" i="71"/>
  <c r="Z38" i="71" s="1"/>
  <c r="C23" i="71"/>
  <c r="BA400" i="3"/>
  <c r="AZ400" i="3" s="1"/>
  <c r="G416" i="3"/>
  <c r="BA420" i="3"/>
  <c r="AZ420" i="3" s="1"/>
  <c r="BL423" i="3"/>
  <c r="BA442" i="3"/>
  <c r="AZ442" i="3" s="1"/>
  <c r="BA466" i="3"/>
  <c r="BL469" i="3"/>
  <c r="AZ469" i="3" s="1"/>
  <c r="BA488" i="3"/>
  <c r="AZ488" i="3" s="1"/>
  <c r="BA339" i="3"/>
  <c r="AZ339" i="3" s="1"/>
  <c r="BL367" i="3"/>
  <c r="BL226" i="3"/>
  <c r="BL248" i="3"/>
  <c r="BL271" i="3"/>
  <c r="BA275" i="3"/>
  <c r="BL137" i="3"/>
  <c r="BA156" i="3"/>
  <c r="AZ156" i="3" s="1"/>
  <c r="BL170" i="3"/>
  <c r="BL190" i="3"/>
  <c r="BA95" i="3"/>
  <c r="E43" i="71"/>
  <c r="E44" i="71" s="1"/>
  <c r="U44" i="71" s="1"/>
  <c r="F59" i="71"/>
  <c r="F60" i="71" s="1"/>
  <c r="V60" i="71" s="1"/>
  <c r="G403" i="3"/>
  <c r="BL412" i="3"/>
  <c r="BA440" i="3"/>
  <c r="AZ440" i="3" s="1"/>
  <c r="BA449" i="3"/>
  <c r="G452" i="3"/>
  <c r="BL454" i="3"/>
  <c r="G478" i="3"/>
  <c r="BL324" i="3"/>
  <c r="BA366" i="3"/>
  <c r="BL385" i="3"/>
  <c r="BA210" i="3"/>
  <c r="BA212" i="3"/>
  <c r="BL224" i="3"/>
  <c r="BL278" i="3"/>
  <c r="G287" i="3"/>
  <c r="BL146" i="3"/>
  <c r="BL197" i="3"/>
  <c r="G199" i="3"/>
  <c r="G27" i="3"/>
  <c r="BA55" i="3"/>
  <c r="G58" i="3"/>
  <c r="G67" i="3"/>
  <c r="BL74" i="3"/>
  <c r="BL94" i="3"/>
  <c r="W18" i="36"/>
  <c r="AA35" i="71"/>
  <c r="J27" i="34"/>
  <c r="W27" i="34" s="1"/>
  <c r="S37" i="34"/>
  <c r="U34" i="34"/>
  <c r="S43" i="34"/>
  <c r="S35" i="34"/>
  <c r="AB35" i="34"/>
  <c r="F86" i="34"/>
  <c r="G86" i="34" s="1"/>
  <c r="J23" i="34"/>
  <c r="F23" i="34"/>
  <c r="H23" i="34"/>
  <c r="U23" i="34" s="1"/>
  <c r="U27" i="34"/>
  <c r="AC47" i="34"/>
  <c r="W47" i="34"/>
  <c r="H47" i="34"/>
  <c r="H45" i="34"/>
  <c r="AB46" i="34"/>
  <c r="AC44" i="34"/>
  <c r="AB40" i="34"/>
  <c r="W41" i="34"/>
  <c r="AA40" i="34"/>
  <c r="AC39" i="34"/>
  <c r="AB36" i="34"/>
  <c r="AC36" i="34"/>
  <c r="W33" i="34"/>
  <c r="AA33" i="34"/>
  <c r="AB33" i="34"/>
  <c r="AC15" i="34"/>
  <c r="S21" i="34"/>
  <c r="W19" i="34"/>
  <c r="AB17" i="34"/>
  <c r="U15" i="34"/>
  <c r="U25" i="34"/>
  <c r="AA25" i="34"/>
  <c r="AA32" i="34"/>
  <c r="AA30" i="34"/>
  <c r="AC28" i="34"/>
  <c r="S28" i="34"/>
  <c r="U28" i="34"/>
  <c r="S8" i="34"/>
  <c r="AB8" i="34"/>
  <c r="J57" i="9"/>
  <c r="J59" i="9" s="1"/>
  <c r="J61" i="9" s="1"/>
  <c r="G1" i="15"/>
  <c r="B6" i="1"/>
  <c r="E6" i="1" s="1"/>
  <c r="F6" i="1"/>
  <c r="G6" i="1" s="1"/>
  <c r="S36" i="33"/>
  <c r="U33" i="33"/>
  <c r="B41" i="1"/>
  <c r="F54" i="9" s="1"/>
  <c r="F28" i="15"/>
  <c r="C28" i="15" s="1"/>
  <c r="F32" i="67"/>
  <c r="F60" i="67" s="1"/>
  <c r="D93" i="9"/>
  <c r="E19" i="11"/>
  <c r="E19" i="68"/>
  <c r="K1" i="12"/>
  <c r="G1" i="67"/>
  <c r="G1" i="68"/>
  <c r="K6" i="1"/>
  <c r="BI5" i="3"/>
  <c r="BR5" i="3"/>
  <c r="B56" i="43"/>
  <c r="B79" i="43"/>
  <c r="B57" i="43"/>
  <c r="C19" i="39"/>
  <c r="AZ546" i="3"/>
  <c r="AZ514" i="3"/>
  <c r="AZ513" i="3"/>
  <c r="AZ510" i="3"/>
  <c r="AZ508" i="3"/>
  <c r="AZ501" i="3"/>
  <c r="AZ496" i="3"/>
  <c r="BA538" i="3"/>
  <c r="BL524" i="3"/>
  <c r="BL504" i="3"/>
  <c r="AZ504" i="3" s="1"/>
  <c r="B97" i="43"/>
  <c r="B75" i="43"/>
  <c r="BL532" i="3"/>
  <c r="AZ532" i="3" s="1"/>
  <c r="BA525" i="3"/>
  <c r="AZ525" i="3" s="1"/>
  <c r="BA521" i="3"/>
  <c r="AZ521" i="3" s="1"/>
  <c r="BA515" i="3"/>
  <c r="BL499" i="3"/>
  <c r="W32" i="39"/>
  <c r="AA23" i="21"/>
  <c r="AA19" i="33"/>
  <c r="S39" i="40"/>
  <c r="U27" i="21"/>
  <c r="AC15" i="21"/>
  <c r="S45" i="21"/>
  <c r="S33" i="33"/>
  <c r="U9" i="34"/>
  <c r="AC25" i="35"/>
  <c r="AA15" i="40"/>
  <c r="W37" i="40"/>
  <c r="AB40" i="37"/>
  <c r="BL493" i="3"/>
  <c r="AZ493" i="3" s="1"/>
  <c r="BE5" i="3"/>
  <c r="BN5" i="3"/>
  <c r="BD5" i="3"/>
  <c r="BM5" i="3"/>
  <c r="AZ391" i="3"/>
  <c r="AZ318" i="3"/>
  <c r="AZ364" i="3"/>
  <c r="AZ329" i="3"/>
  <c r="AZ304" i="3"/>
  <c r="AZ306" i="3"/>
  <c r="AA13" i="33"/>
  <c r="U32" i="33"/>
  <c r="BL535" i="3"/>
  <c r="AZ535" i="3" s="1"/>
  <c r="G496" i="3"/>
  <c r="S14" i="34"/>
  <c r="S41" i="33"/>
  <c r="J26" i="33"/>
  <c r="F26" i="33"/>
  <c r="H26" i="33"/>
  <c r="S44" i="33"/>
  <c r="AA44" i="33"/>
  <c r="AB19" i="33"/>
  <c r="AB15" i="21"/>
  <c r="AZ524" i="3"/>
  <c r="BL548" i="3"/>
  <c r="AZ548" i="3" s="1"/>
  <c r="BA541" i="3"/>
  <c r="AZ541" i="3" s="1"/>
  <c r="AB28" i="33"/>
  <c r="U41" i="39"/>
  <c r="S8" i="40"/>
  <c r="S33" i="40"/>
  <c r="S36" i="40"/>
  <c r="AB39" i="21"/>
  <c r="S17" i="34"/>
  <c r="AB41" i="34"/>
  <c r="AB16" i="35"/>
  <c r="U16" i="36"/>
  <c r="AB37" i="40"/>
  <c r="AA47" i="34"/>
  <c r="BO5" i="3"/>
  <c r="AZ322" i="3"/>
  <c r="BL547" i="3"/>
  <c r="AZ547" i="3" s="1"/>
  <c r="AZ571" i="3"/>
  <c r="AZ556" i="3"/>
  <c r="AC11" i="40"/>
  <c r="AB35" i="33"/>
  <c r="U35" i="33"/>
  <c r="AC25" i="37"/>
  <c r="W25" i="37"/>
  <c r="AC41" i="33"/>
  <c r="W41" i="33"/>
  <c r="AZ307" i="3"/>
  <c r="AA38" i="33"/>
  <c r="S38" i="33"/>
  <c r="BA534" i="3"/>
  <c r="AZ534" i="3" s="1"/>
  <c r="BA533" i="3"/>
  <c r="AZ533" i="3" s="1"/>
  <c r="BA522" i="3"/>
  <c r="AZ522" i="3" s="1"/>
  <c r="BL506" i="3"/>
  <c r="AZ506" i="3" s="1"/>
  <c r="BA505" i="3"/>
  <c r="BA497" i="3"/>
  <c r="S37" i="21"/>
  <c r="B54" i="43"/>
  <c r="AA30" i="21"/>
  <c r="AA23" i="37"/>
  <c r="B65" i="43"/>
  <c r="S28" i="21"/>
  <c r="S19" i="21"/>
  <c r="W43" i="33"/>
  <c r="S42" i="33"/>
  <c r="U32" i="37"/>
  <c r="AB31" i="37"/>
  <c r="AA25" i="36"/>
  <c r="AA26" i="36"/>
  <c r="U21" i="40"/>
  <c r="AZ337" i="3"/>
  <c r="AA11" i="39"/>
  <c r="BL515" i="3"/>
  <c r="BL527" i="3"/>
  <c r="AZ527" i="3" s="1"/>
  <c r="BL539" i="3"/>
  <c r="AZ539" i="3" s="1"/>
  <c r="BL543" i="3"/>
  <c r="AZ543" i="3" s="1"/>
  <c r="BL553" i="3"/>
  <c r="AZ553" i="3" s="1"/>
  <c r="AZ557" i="3"/>
  <c r="AZ572" i="3"/>
  <c r="H25" i="35"/>
  <c r="AC11" i="35"/>
  <c r="H36" i="35"/>
  <c r="J36" i="35"/>
  <c r="AC36" i="35" s="1"/>
  <c r="BL587" i="3"/>
  <c r="BL586" i="3"/>
  <c r="H23" i="36"/>
  <c r="J23" i="36"/>
  <c r="J39" i="40"/>
  <c r="H39" i="40"/>
  <c r="AZ451" i="3"/>
  <c r="BL519" i="3"/>
  <c r="AZ519" i="3" s="1"/>
  <c r="BL531" i="3"/>
  <c r="AZ531" i="3" s="1"/>
  <c r="AZ573" i="3"/>
  <c r="AZ583" i="3"/>
  <c r="AZ568" i="3"/>
  <c r="AZ576" i="3"/>
  <c r="W9" i="34"/>
  <c r="U31" i="36"/>
  <c r="G587" i="3"/>
  <c r="F9" i="33"/>
  <c r="AA9" i="33" s="1"/>
  <c r="J12" i="35"/>
  <c r="F23" i="36"/>
  <c r="G566" i="3"/>
  <c r="G558" i="3"/>
  <c r="W22" i="35"/>
  <c r="BL585" i="3"/>
  <c r="AZ585" i="3" s="1"/>
  <c r="AZ458" i="3"/>
  <c r="AZ462" i="3"/>
  <c r="AZ65" i="3"/>
  <c r="BL398" i="3"/>
  <c r="G402" i="3"/>
  <c r="BL403" i="3"/>
  <c r="G406" i="3"/>
  <c r="BA408" i="3"/>
  <c r="BA409" i="3"/>
  <c r="BA411" i="3"/>
  <c r="AZ411" i="3" s="1"/>
  <c r="BL414" i="3"/>
  <c r="BL415" i="3"/>
  <c r="BA417" i="3"/>
  <c r="AZ417" i="3" s="1"/>
  <c r="BL421" i="3"/>
  <c r="BL422" i="3"/>
  <c r="BL425" i="3"/>
  <c r="BL426" i="3"/>
  <c r="AZ426" i="3" s="1"/>
  <c r="BA428" i="3"/>
  <c r="AZ428" i="3" s="1"/>
  <c r="BA429" i="3"/>
  <c r="AZ429" i="3" s="1"/>
  <c r="BA430" i="3"/>
  <c r="BA432" i="3"/>
  <c r="AZ432" i="3" s="1"/>
  <c r="BA434" i="3"/>
  <c r="BA436" i="3"/>
  <c r="BA438" i="3"/>
  <c r="AZ438" i="3" s="1"/>
  <c r="G442" i="3"/>
  <c r="G443" i="3"/>
  <c r="BA446" i="3"/>
  <c r="AZ446" i="3" s="1"/>
  <c r="BA450" i="3"/>
  <c r="BA453" i="3"/>
  <c r="AZ453" i="3" s="1"/>
  <c r="BA455" i="3"/>
  <c r="AZ455" i="3" s="1"/>
  <c r="BL457" i="3"/>
  <c r="BL460" i="3"/>
  <c r="BL461" i="3"/>
  <c r="BL463" i="3"/>
  <c r="AZ463" i="3" s="1"/>
  <c r="BA471" i="3"/>
  <c r="AZ471" i="3" s="1"/>
  <c r="BL317" i="3"/>
  <c r="BA349" i="3"/>
  <c r="AZ349" i="3" s="1"/>
  <c r="BA353" i="3"/>
  <c r="BL353" i="3"/>
  <c r="BA358" i="3"/>
  <c r="AZ358" i="3" s="1"/>
  <c r="BL365" i="3"/>
  <c r="BA368" i="3"/>
  <c r="BL368" i="3"/>
  <c r="BA374" i="3"/>
  <c r="AZ374" i="3" s="1"/>
  <c r="BA388" i="3"/>
  <c r="AZ388" i="3" s="1"/>
  <c r="BA396" i="3"/>
  <c r="BA209" i="3"/>
  <c r="BL217" i="3"/>
  <c r="AZ217" i="3" s="1"/>
  <c r="BA219" i="3"/>
  <c r="AZ219" i="3" s="1"/>
  <c r="BA221" i="3"/>
  <c r="AZ221" i="3" s="1"/>
  <c r="BA223" i="3"/>
  <c r="BL228" i="3"/>
  <c r="AZ228" i="3" s="1"/>
  <c r="BA230" i="3"/>
  <c r="BL232" i="3"/>
  <c r="BL234" i="3"/>
  <c r="BA236" i="3"/>
  <c r="BA243" i="3"/>
  <c r="BL245" i="3"/>
  <c r="BA257" i="3"/>
  <c r="BA262" i="3"/>
  <c r="AZ262" i="3" s="1"/>
  <c r="BA294" i="3"/>
  <c r="BL301" i="3"/>
  <c r="BL302" i="3"/>
  <c r="BA114" i="3"/>
  <c r="BL123" i="3"/>
  <c r="AZ123" i="3" s="1"/>
  <c r="AA18" i="36"/>
  <c r="S18" i="36"/>
  <c r="G551" i="3"/>
  <c r="BL550" i="3"/>
  <c r="G542" i="3"/>
  <c r="BL15" i="3"/>
  <c r="BA398" i="3"/>
  <c r="AZ398" i="3" s="1"/>
  <c r="BA399" i="3"/>
  <c r="BL401" i="3"/>
  <c r="BL404" i="3"/>
  <c r="BL405" i="3"/>
  <c r="BL407" i="3"/>
  <c r="BA412" i="3"/>
  <c r="BA414" i="3"/>
  <c r="BA415" i="3"/>
  <c r="AZ415" i="3" s="1"/>
  <c r="BA416" i="3"/>
  <c r="AZ416" i="3" s="1"/>
  <c r="BA418" i="3"/>
  <c r="AZ418" i="3" s="1"/>
  <c r="BA421" i="3"/>
  <c r="BA423" i="3"/>
  <c r="BA425" i="3"/>
  <c r="BA426" i="3"/>
  <c r="BA427" i="3"/>
  <c r="AZ427" i="3" s="1"/>
  <c r="BA433" i="3"/>
  <c r="BA435" i="3"/>
  <c r="BL437" i="3"/>
  <c r="G439" i="3"/>
  <c r="BL441" i="3"/>
  <c r="BL442" i="3"/>
  <c r="BL444" i="3"/>
  <c r="G446" i="3"/>
  <c r="G447" i="3"/>
  <c r="BL448" i="3"/>
  <c r="AZ448" i="3" s="1"/>
  <c r="G450" i="3"/>
  <c r="G451" i="3"/>
  <c r="BA454" i="3"/>
  <c r="BA457" i="3"/>
  <c r="BA459" i="3"/>
  <c r="AZ459" i="3" s="1"/>
  <c r="BA460" i="3"/>
  <c r="BA461" i="3"/>
  <c r="BL464" i="3"/>
  <c r="BL466" i="3"/>
  <c r="G468" i="3"/>
  <c r="G469" i="3"/>
  <c r="BL476" i="3"/>
  <c r="AZ476" i="3" s="1"/>
  <c r="BL477" i="3"/>
  <c r="BL478" i="3"/>
  <c r="AZ478" i="3" s="1"/>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AZ226" i="3" s="1"/>
  <c r="BA237" i="3"/>
  <c r="AZ237" i="3" s="1"/>
  <c r="BA240" i="3"/>
  <c r="AZ240" i="3" s="1"/>
  <c r="BA241" i="3"/>
  <c r="BL241" i="3"/>
  <c r="BA255" i="3"/>
  <c r="BA256" i="3"/>
  <c r="BA273" i="3"/>
  <c r="BA280" i="3"/>
  <c r="BA283" i="3"/>
  <c r="AZ283" i="3" s="1"/>
  <c r="BL292" i="3"/>
  <c r="G574" i="3"/>
  <c r="BL16" i="3"/>
  <c r="BA401" i="3"/>
  <c r="BA403" i="3"/>
  <c r="BA404" i="3"/>
  <c r="BA405" i="3"/>
  <c r="BL410" i="3"/>
  <c r="AZ410" i="3" s="1"/>
  <c r="G412" i="3"/>
  <c r="G418" i="3"/>
  <c r="BA422" i="3"/>
  <c r="G429" i="3"/>
  <c r="BL431" i="3"/>
  <c r="AZ431" i="3" s="1"/>
  <c r="G433" i="3"/>
  <c r="BL434" i="3"/>
  <c r="G436" i="3"/>
  <c r="BL438" i="3"/>
  <c r="BL439" i="3"/>
  <c r="AZ439" i="3" s="1"/>
  <c r="BA441" i="3"/>
  <c r="BL445" i="3"/>
  <c r="BL446" i="3"/>
  <c r="BL449" i="3"/>
  <c r="AZ449" i="3" s="1"/>
  <c r="BL450" i="3"/>
  <c r="BL452" i="3"/>
  <c r="G454" i="3"/>
  <c r="BL456" i="3"/>
  <c r="AZ456" i="3" s="1"/>
  <c r="BA464" i="3"/>
  <c r="BL467" i="3"/>
  <c r="AZ467" i="3" s="1"/>
  <c r="BL468" i="3"/>
  <c r="AZ468" i="3" s="1"/>
  <c r="BL470" i="3"/>
  <c r="AZ470" i="3" s="1"/>
  <c r="G472" i="3"/>
  <c r="G473" i="3"/>
  <c r="BL473" i="3"/>
  <c r="BL474" i="3"/>
  <c r="G475" i="3"/>
  <c r="BA482" i="3"/>
  <c r="BA484" i="3"/>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BL239" i="3"/>
  <c r="BA245" i="3"/>
  <c r="AZ245" i="3" s="1"/>
  <c r="BA246" i="3"/>
  <c r="BA252" i="3"/>
  <c r="AZ252" i="3" s="1"/>
  <c r="BA254" i="3"/>
  <c r="AZ254" i="3" s="1"/>
  <c r="G261" i="3"/>
  <c r="BA263" i="3"/>
  <c r="BL265" i="3"/>
  <c r="AZ265" i="3" s="1"/>
  <c r="G271" i="3"/>
  <c r="BA276" i="3"/>
  <c r="AZ276" i="3" s="1"/>
  <c r="BA278" i="3"/>
  <c r="G281" i="3"/>
  <c r="G286" i="3"/>
  <c r="BL286" i="3"/>
  <c r="G289" i="3"/>
  <c r="G295" i="3"/>
  <c r="BA296" i="3"/>
  <c r="BA298" i="3"/>
  <c r="BA301" i="3"/>
  <c r="BA116" i="3"/>
  <c r="AZ116" i="3" s="1"/>
  <c r="BA121" i="3"/>
  <c r="BL121" i="3"/>
  <c r="BA125" i="3"/>
  <c r="BL127" i="3"/>
  <c r="AZ127" i="3" s="1"/>
  <c r="G128" i="3"/>
  <c r="BA189" i="3"/>
  <c r="AZ189" i="3" s="1"/>
  <c r="BL238" i="3"/>
  <c r="G239" i="3"/>
  <c r="BL243" i="3"/>
  <c r="G244" i="3"/>
  <c r="BA247" i="3"/>
  <c r="BL247" i="3"/>
  <c r="BA249" i="3"/>
  <c r="BL249" i="3"/>
  <c r="BA251" i="3"/>
  <c r="BL251" i="3"/>
  <c r="BA253" i="3"/>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L157" i="3"/>
  <c r="BL159" i="3"/>
  <c r="AZ159" i="3" s="1"/>
  <c r="BA177" i="3"/>
  <c r="AZ177" i="3" s="1"/>
  <c r="BA178" i="3"/>
  <c r="BA182" i="3"/>
  <c r="BL185" i="3"/>
  <c r="AZ185" i="3" s="1"/>
  <c r="G186" i="3"/>
  <c r="G187" i="3"/>
  <c r="BL193" i="3"/>
  <c r="G194" i="3"/>
  <c r="BL194" i="3"/>
  <c r="BA198" i="3"/>
  <c r="BL205" i="3"/>
  <c r="BL207" i="3"/>
  <c r="AZ207" i="3" s="1"/>
  <c r="BL18" i="3"/>
  <c r="G19" i="3"/>
  <c r="BL19" i="3"/>
  <c r="BA20" i="3"/>
  <c r="BL25" i="3"/>
  <c r="BL27" i="3"/>
  <c r="BA28" i="3"/>
  <c r="BA31" i="3"/>
  <c r="AZ31" i="3" s="1"/>
  <c r="BA32" i="3"/>
  <c r="BL40" i="3"/>
  <c r="BL41" i="3"/>
  <c r="AZ41" i="3" s="1"/>
  <c r="BA51" i="3"/>
  <c r="G55" i="3"/>
  <c r="BL56" i="3"/>
  <c r="BA58" i="3"/>
  <c r="AZ58" i="3" s="1"/>
  <c r="BL59" i="3"/>
  <c r="BL60" i="3"/>
  <c r="BA61" i="3"/>
  <c r="T72" i="71"/>
  <c r="C71" i="71"/>
  <c r="D72" i="71"/>
  <c r="U76" i="71"/>
  <c r="E75" i="71"/>
  <c r="E74" i="71" s="1"/>
  <c r="BL256" i="3"/>
  <c r="BA258" i="3"/>
  <c r="AZ258" i="3" s="1"/>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BA197" i="3"/>
  <c r="BA201" i="3"/>
  <c r="AZ201" i="3" s="1"/>
  <c r="BA202" i="3"/>
  <c r="BL206" i="3"/>
  <c r="BA19" i="3"/>
  <c r="G22" i="3"/>
  <c r="G24" i="3"/>
  <c r="G25" i="3"/>
  <c r="BA27" i="3"/>
  <c r="G30" i="3"/>
  <c r="BL30" i="3"/>
  <c r="AZ30" i="3" s="1"/>
  <c r="BL31" i="3"/>
  <c r="G37" i="3"/>
  <c r="G48" i="3"/>
  <c r="BL48" i="3"/>
  <c r="AZ48" i="3" s="1"/>
  <c r="BL64" i="3"/>
  <c r="BL69" i="3"/>
  <c r="AZ70" i="3"/>
  <c r="G73" i="3"/>
  <c r="F34" i="71"/>
  <c r="F35" i="71" s="1"/>
  <c r="F36" i="71" s="1"/>
  <c r="V36" i="71" s="1"/>
  <c r="AB33" i="71"/>
  <c r="AB28" i="71"/>
  <c r="BA129" i="3"/>
  <c r="BL133" i="3"/>
  <c r="AZ133" i="3" s="1"/>
  <c r="BL139" i="3"/>
  <c r="AZ139" i="3" s="1"/>
  <c r="G140" i="3"/>
  <c r="BL141" i="3"/>
  <c r="BL143" i="3"/>
  <c r="AZ143" i="3" s="1"/>
  <c r="G146" i="3"/>
  <c r="BA157" i="3"/>
  <c r="BA164" i="3"/>
  <c r="AZ164" i="3" s="1"/>
  <c r="BA166" i="3"/>
  <c r="BA169" i="3"/>
  <c r="AZ169" i="3" s="1"/>
  <c r="BL171" i="3"/>
  <c r="AZ171" i="3" s="1"/>
  <c r="BA174" i="3"/>
  <c r="BL198" i="3"/>
  <c r="BL199" i="3"/>
  <c r="AZ199" i="3" s="1"/>
  <c r="BA200" i="3"/>
  <c r="AZ200" i="3" s="1"/>
  <c r="G204" i="3"/>
  <c r="BA43" i="3"/>
  <c r="G46" i="3"/>
  <c r="G63" i="3"/>
  <c r="BA64" i="3"/>
  <c r="G68" i="3"/>
  <c r="G92" i="3"/>
  <c r="W21" i="37"/>
  <c r="AC21" i="37"/>
  <c r="BL68" i="3"/>
  <c r="BA69" i="3"/>
  <c r="AZ69" i="3" s="1"/>
  <c r="BL73" i="3"/>
  <c r="AZ73" i="3" s="1"/>
  <c r="BA74" i="3"/>
  <c r="AZ74" i="3" s="1"/>
  <c r="BA75" i="3"/>
  <c r="BA78" i="3"/>
  <c r="BA80" i="3"/>
  <c r="G84" i="3"/>
  <c r="BL84" i="3"/>
  <c r="AZ84" i="3" s="1"/>
  <c r="BA89" i="3"/>
  <c r="BL92" i="3"/>
  <c r="AZ92" i="3" s="1"/>
  <c r="BL99" i="3"/>
  <c r="BA101" i="3"/>
  <c r="BL110" i="3"/>
  <c r="BL111" i="3"/>
  <c r="AA21" i="37"/>
  <c r="S21" i="37"/>
  <c r="P27" i="6"/>
  <c r="AB32" i="71"/>
  <c r="AA34" i="71"/>
  <c r="AA30" i="71"/>
  <c r="C60" i="71"/>
  <c r="D59" i="71"/>
  <c r="B66" i="71"/>
  <c r="F66" i="71"/>
  <c r="Q67" i="71"/>
  <c r="T80" i="71"/>
  <c r="C79" i="71"/>
  <c r="G34" i="3"/>
  <c r="BA37" i="3"/>
  <c r="BL39" i="3"/>
  <c r="G43" i="3"/>
  <c r="G44" i="3"/>
  <c r="BA45" i="3"/>
  <c r="BA46" i="3"/>
  <c r="AZ46" i="3" s="1"/>
  <c r="BL49" i="3"/>
  <c r="AZ49" i="3" s="1"/>
  <c r="BL50" i="3"/>
  <c r="AZ50" i="3" s="1"/>
  <c r="BL51" i="3"/>
  <c r="BL53" i="3"/>
  <c r="BA56" i="3"/>
  <c r="AZ56" i="3" s="1"/>
  <c r="BA57" i="3"/>
  <c r="BL58" i="3"/>
  <c r="G60" i="3"/>
  <c r="BA60" i="3"/>
  <c r="AZ60" i="3" s="1"/>
  <c r="BA63" i="3"/>
  <c r="BA66" i="3"/>
  <c r="BA71" i="3"/>
  <c r="BL77" i="3"/>
  <c r="BL81" i="3"/>
  <c r="BA82" i="3"/>
  <c r="AZ82" i="3" s="1"/>
  <c r="BL83" i="3"/>
  <c r="G88" i="3"/>
  <c r="BA90" i="3"/>
  <c r="AZ90" i="3" s="1"/>
  <c r="BA94" i="3"/>
  <c r="AZ94" i="3" s="1"/>
  <c r="BA100" i="3"/>
  <c r="AZ100" i="3" s="1"/>
  <c r="BA103" i="3"/>
  <c r="AZ103" i="3" s="1"/>
  <c r="BA104" i="3"/>
  <c r="G109" i="3"/>
  <c r="BA111" i="3"/>
  <c r="K13" i="1"/>
  <c r="M13" i="1" s="1"/>
  <c r="O13" i="1" s="1"/>
  <c r="P13" i="1" s="1"/>
  <c r="C5" i="68"/>
  <c r="AC29" i="39"/>
  <c r="W29" i="39"/>
  <c r="D52" i="71"/>
  <c r="D51" i="71"/>
  <c r="E28" i="71"/>
  <c r="AA27" i="71"/>
  <c r="AA28" i="71"/>
  <c r="D38" i="71"/>
  <c r="C39" i="71"/>
  <c r="C31" i="71"/>
  <c r="Y30" i="71"/>
  <c r="Z30" i="71" s="1"/>
  <c r="AA38" i="71"/>
  <c r="AA39" i="71"/>
  <c r="D84" i="71"/>
  <c r="C83" i="71"/>
  <c r="F27" i="71"/>
  <c r="F26" i="71" s="1"/>
  <c r="AB27" i="71"/>
  <c r="AB26" i="71"/>
  <c r="BA146" i="3"/>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G50" i="3"/>
  <c r="G52" i="3"/>
  <c r="BA52" i="3"/>
  <c r="BA53" i="3"/>
  <c r="BA54" i="3"/>
  <c r="AZ54" i="3" s="1"/>
  <c r="BL57" i="3"/>
  <c r="G59" i="3"/>
  <c r="G62" i="3"/>
  <c r="BL62" i="3"/>
  <c r="AZ62" i="3" s="1"/>
  <c r="BL63" i="3"/>
  <c r="G65" i="3"/>
  <c r="BL65" i="3"/>
  <c r="BL66" i="3"/>
  <c r="BL67" i="3"/>
  <c r="G69" i="3"/>
  <c r="G70" i="3"/>
  <c r="BL70" i="3"/>
  <c r="BL71" i="3"/>
  <c r="BL72" i="3"/>
  <c r="G74" i="3"/>
  <c r="G75" i="3"/>
  <c r="BL75" i="3"/>
  <c r="BL91" i="3"/>
  <c r="BL100" i="3"/>
  <c r="BL105" i="3"/>
  <c r="BL107" i="3"/>
  <c r="P65"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G96" i="3"/>
  <c r="BL97" i="3"/>
  <c r="BL101" i="3"/>
  <c r="BL102" i="3"/>
  <c r="AZ102" i="3" s="1"/>
  <c r="G104" i="3"/>
  <c r="G105" i="3"/>
  <c r="BL106" i="3"/>
  <c r="BA108" i="3"/>
  <c r="AZ108" i="3" s="1"/>
  <c r="BA110" i="3"/>
  <c r="F3" i="35"/>
  <c r="S25" i="40"/>
  <c r="B77" i="43"/>
  <c r="AA18" i="35"/>
  <c r="C87" i="71"/>
  <c r="E79" i="71"/>
  <c r="E78" i="71" s="1"/>
  <c r="AB25" i="71"/>
  <c r="C43" i="71"/>
  <c r="C35" i="71"/>
  <c r="N68" i="71"/>
  <c r="E38" i="71"/>
  <c r="E39" i="71" s="1"/>
  <c r="E40" i="71" s="1"/>
  <c r="U40" i="71" s="1"/>
  <c r="B34" i="71"/>
  <c r="B35" i="71" s="1"/>
  <c r="B36" i="71" s="1"/>
  <c r="S36" i="71" s="1"/>
  <c r="X33" i="71"/>
  <c r="AB37" i="71"/>
  <c r="C66"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S39" i="34"/>
  <c r="AZ382" i="3"/>
  <c r="AZ321" i="3"/>
  <c r="AZ517" i="3"/>
  <c r="AZ562" i="3"/>
  <c r="AC13" i="36"/>
  <c r="W13" i="36"/>
  <c r="AB31" i="33"/>
  <c r="U31" i="33"/>
  <c r="S15" i="34"/>
  <c r="AB33" i="35"/>
  <c r="U33" i="35"/>
  <c r="AB43" i="33"/>
  <c r="U43" i="33"/>
  <c r="AZ581" i="3"/>
  <c r="AB33" i="37"/>
  <c r="U33" i="37"/>
  <c r="AC19" i="37"/>
  <c r="W23" i="33"/>
  <c r="AB13" i="34"/>
  <c r="S41" i="34"/>
  <c r="AA41" i="34"/>
  <c r="AZ567" i="3"/>
  <c r="AC14" i="37"/>
  <c r="W14" i="37"/>
  <c r="W30" i="34"/>
  <c r="AC30" i="34"/>
  <c r="AC29" i="33"/>
  <c r="W29" i="33"/>
  <c r="W46" i="21"/>
  <c r="AC46" i="21"/>
  <c r="D19" i="53"/>
  <c r="B38" i="72" s="1"/>
  <c r="BL507" i="3"/>
  <c r="BQ5" i="3"/>
  <c r="F28" i="6" s="1"/>
  <c r="AB35" i="35"/>
  <c r="U35" i="35"/>
  <c r="S13" i="35"/>
  <c r="AA13" i="35"/>
  <c r="S12" i="21"/>
  <c r="AA12" i="21"/>
  <c r="S12" i="35"/>
  <c r="AA12" i="35"/>
  <c r="AA12" i="34"/>
  <c r="S34" i="21"/>
  <c r="J34" i="35"/>
  <c r="F34" i="35"/>
  <c r="J26" i="37"/>
  <c r="F26" i="37"/>
  <c r="F40" i="40"/>
  <c r="G578" i="3"/>
  <c r="W35" i="39"/>
  <c r="F27" i="34"/>
  <c r="C21" i="39"/>
  <c r="U9" i="36"/>
  <c r="U14" i="37"/>
  <c r="H12" i="21"/>
  <c r="G526" i="3"/>
  <c r="U26" i="21"/>
  <c r="W36" i="39"/>
  <c r="U23" i="40"/>
  <c r="AC16" i="36"/>
  <c r="AB12" i="33"/>
  <c r="C27" i="39"/>
  <c r="U40" i="40"/>
  <c r="AC9" i="40"/>
  <c r="W36" i="35"/>
  <c r="J12" i="21"/>
  <c r="B73" i="43"/>
  <c r="B76" i="43"/>
  <c r="F9" i="36"/>
  <c r="J40" i="40"/>
  <c r="G562" i="3"/>
  <c r="AZ385" i="3"/>
  <c r="AZ212" i="3"/>
  <c r="AZ220" i="3"/>
  <c r="AZ255" i="3"/>
  <c r="AZ293" i="3"/>
  <c r="BA472" i="3"/>
  <c r="AZ472" i="3" s="1"/>
  <c r="G476" i="3"/>
  <c r="BA479" i="3"/>
  <c r="BA490" i="3"/>
  <c r="AZ490" i="3" s="1"/>
  <c r="BL312" i="3"/>
  <c r="AZ312" i="3" s="1"/>
  <c r="G313" i="3"/>
  <c r="BA316" i="3"/>
  <c r="BA317" i="3"/>
  <c r="AZ317" i="3" s="1"/>
  <c r="BA323" i="3"/>
  <c r="AZ323" i="3" s="1"/>
  <c r="G327" i="3"/>
  <c r="BL330" i="3"/>
  <c r="AZ330" i="3" s="1"/>
  <c r="G331" i="3"/>
  <c r="BL333" i="3"/>
  <c r="AZ333" i="3" s="1"/>
  <c r="G334" i="3"/>
  <c r="G345" i="3"/>
  <c r="BL348" i="3"/>
  <c r="BA352" i="3"/>
  <c r="BL354" i="3"/>
  <c r="G378" i="3"/>
  <c r="G395" i="3"/>
  <c r="G208" i="3"/>
  <c r="G211" i="3"/>
  <c r="BA213" i="3"/>
  <c r="AZ213" i="3" s="1"/>
  <c r="BA215" i="3"/>
  <c r="AZ215" i="3" s="1"/>
  <c r="G219" i="3"/>
  <c r="G230" i="3"/>
  <c r="BA232" i="3"/>
  <c r="AZ232" i="3" s="1"/>
  <c r="BA234" i="3"/>
  <c r="AZ236" i="3"/>
  <c r="G248" i="3"/>
  <c r="BL268" i="3"/>
  <c r="G278" i="3"/>
  <c r="BA474" i="3"/>
  <c r="BA475" i="3"/>
  <c r="BL481" i="3"/>
  <c r="AZ481" i="3" s="1"/>
  <c r="BL482" i="3"/>
  <c r="AZ482" i="3" s="1"/>
  <c r="G483" i="3"/>
  <c r="BL485" i="3"/>
  <c r="AZ485" i="3" s="1"/>
  <c r="BL486" i="3"/>
  <c r="G487" i="3"/>
  <c r="BA492" i="3"/>
  <c r="AZ492" i="3" s="1"/>
  <c r="BL363" i="3"/>
  <c r="AZ363" i="3" s="1"/>
  <c r="G369" i="3"/>
  <c r="BL393" i="3"/>
  <c r="AZ393" i="3" s="1"/>
  <c r="BL396" i="3"/>
  <c r="BL209" i="3"/>
  <c r="G240" i="3"/>
  <c r="G242" i="3"/>
  <c r="G245" i="3"/>
  <c r="BL246" i="3"/>
  <c r="BL253" i="3"/>
  <c r="BA261" i="3"/>
  <c r="AZ261" i="3" s="1"/>
  <c r="BA264" i="3"/>
  <c r="BA266" i="3"/>
  <c r="G272" i="3"/>
  <c r="G275" i="3"/>
  <c r="BL276" i="3"/>
  <c r="BL279" i="3"/>
  <c r="AZ279" i="3" s="1"/>
  <c r="BL281" i="3"/>
  <c r="AZ281" i="3" s="1"/>
  <c r="BA285" i="3"/>
  <c r="BA287" i="3"/>
  <c r="BA289" i="3"/>
  <c r="G293" i="3"/>
  <c r="G296" i="3"/>
  <c r="BL296" i="3"/>
  <c r="AZ296" i="3" s="1"/>
  <c r="G301" i="3"/>
  <c r="G114" i="3"/>
  <c r="BL114" i="3"/>
  <c r="BL117" i="3"/>
  <c r="AZ117" i="3" s="1"/>
  <c r="G118" i="3"/>
  <c r="BL119" i="3"/>
  <c r="AZ119" i="3" s="1"/>
  <c r="G120" i="3"/>
  <c r="G124" i="3"/>
  <c r="BL129" i="3"/>
  <c r="BL131" i="3"/>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BL145" i="3"/>
  <c r="AZ145" i="3" s="1"/>
  <c r="BL147" i="3"/>
  <c r="G148" i="3"/>
  <c r="BL151" i="3"/>
  <c r="AZ151" i="3" s="1"/>
  <c r="BA165" i="3"/>
  <c r="AZ165" i="3" s="1"/>
  <c r="G168" i="3"/>
  <c r="BA170" i="3"/>
  <c r="AZ170" i="3" s="1"/>
  <c r="BL174" i="3"/>
  <c r="AZ193" i="3"/>
  <c r="BL202" i="3"/>
  <c r="BL36" i="3"/>
  <c r="AZ36" i="3" s="1"/>
  <c r="AZ104" i="3"/>
  <c r="G200" i="3"/>
  <c r="G207" i="3"/>
  <c r="BA23" i="3"/>
  <c r="BA24" i="3"/>
  <c r="AZ24" i="3" s="1"/>
  <c r="BL26" i="3"/>
  <c r="BL32" i="3"/>
  <c r="BA34" i="3"/>
  <c r="AZ34" i="3" s="1"/>
  <c r="BA35" i="3"/>
  <c r="AZ35" i="3" s="1"/>
  <c r="BL37" i="3"/>
  <c r="AZ37" i="3" s="1"/>
  <c r="BL42" i="3"/>
  <c r="BA44" i="3"/>
  <c r="BA206" i="3"/>
  <c r="BL22" i="3"/>
  <c r="AZ22" i="3" s="1"/>
  <c r="BL33" i="3"/>
  <c r="BL43" i="3"/>
  <c r="BL46" i="3"/>
  <c r="BL78" i="3"/>
  <c r="BA83" i="3"/>
  <c r="G91" i="3"/>
  <c r="BL95" i="3"/>
  <c r="AZ95" i="3" s="1"/>
  <c r="BL98" i="3"/>
  <c r="AZ98" i="3" s="1"/>
  <c r="BL109" i="3"/>
  <c r="AZ109" i="3" s="1"/>
  <c r="AB21" i="21"/>
  <c r="G77" i="3"/>
  <c r="BA81" i="3"/>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S9" i="33"/>
  <c r="S8" i="33"/>
  <c r="U8" i="33"/>
  <c r="W8" i="21"/>
  <c r="S8" i="21"/>
  <c r="AA11" i="21"/>
  <c r="AC11" i="21"/>
  <c r="AB11" i="21"/>
  <c r="C5" i="11"/>
  <c r="C4" i="12"/>
  <c r="E14" i="6"/>
  <c r="E63" i="39" s="1"/>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F26" i="43"/>
  <c r="H55" i="43"/>
  <c r="H86" i="43"/>
  <c r="H87" i="43"/>
  <c r="N370" i="46"/>
  <c r="H89" i="43"/>
  <c r="H88" i="43"/>
  <c r="H84" i="43"/>
  <c r="C69" i="39"/>
  <c r="D67" i="39"/>
  <c r="D69" i="39" s="1"/>
  <c r="T35" i="4"/>
  <c r="A19" i="51" s="1"/>
  <c r="B14" i="72" s="1"/>
  <c r="H52" i="43"/>
  <c r="K5" i="4"/>
  <c r="B47" i="48" s="1"/>
  <c r="Y8" i="71"/>
  <c r="Z8" i="71" s="1"/>
  <c r="X8" i="71"/>
  <c r="AB8" i="71"/>
  <c r="AA8" i="7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F8" i="67"/>
  <c r="C76" i="67"/>
  <c r="M8" i="15"/>
  <c r="L47" i="15"/>
  <c r="F9" i="15"/>
  <c r="F43" i="15"/>
  <c r="M6" i="15"/>
  <c r="M28" i="67"/>
  <c r="L47" i="67"/>
  <c r="D3" i="73"/>
  <c r="D7" i="73"/>
  <c r="M24" i="15"/>
  <c r="J15" i="15"/>
  <c r="F40" i="15"/>
  <c r="D5" i="73"/>
  <c r="F38" i="15"/>
  <c r="M24" i="67"/>
  <c r="F9" i="67"/>
  <c r="D4" i="73"/>
  <c r="F26" i="15"/>
  <c r="M22" i="15"/>
  <c r="M23" i="15"/>
  <c r="F26" i="67"/>
  <c r="F13" i="15"/>
  <c r="E28" i="6" l="1"/>
  <c r="K14" i="1" s="1"/>
  <c r="B34" i="72"/>
  <c r="D17" i="53"/>
  <c r="B36" i="72" s="1"/>
  <c r="S38" i="37"/>
  <c r="AA38" i="37"/>
  <c r="U27" i="40"/>
  <c r="AB27" i="40"/>
  <c r="AZ297" i="3"/>
  <c r="AC39" i="37"/>
  <c r="W39" i="37"/>
  <c r="AZ507" i="3"/>
  <c r="AA38" i="40"/>
  <c r="S38" i="40"/>
  <c r="W31" i="34"/>
  <c r="AC31" i="34"/>
  <c r="U19" i="34"/>
  <c r="U23" i="35"/>
  <c r="AB23" i="35"/>
  <c r="AZ406" i="3"/>
  <c r="AZ147" i="3"/>
  <c r="AZ316" i="3"/>
  <c r="AZ150" i="3"/>
  <c r="AZ20" i="3"/>
  <c r="AZ422" i="3"/>
  <c r="AZ515" i="3"/>
  <c r="AC45" i="34"/>
  <c r="D23" i="71"/>
  <c r="C22" i="71"/>
  <c r="AA13" i="39"/>
  <c r="S13" i="39"/>
  <c r="AB32" i="40"/>
  <c r="U32" i="40"/>
  <c r="AA40" i="37"/>
  <c r="S40" i="37"/>
  <c r="AZ253" i="3"/>
  <c r="AC32" i="40"/>
  <c r="W32" i="40"/>
  <c r="W40" i="37"/>
  <c r="AC40" i="37"/>
  <c r="AZ197" i="3"/>
  <c r="AZ61" i="3"/>
  <c r="AZ466" i="3"/>
  <c r="AZ437" i="3"/>
  <c r="AZ368" i="3"/>
  <c r="F52" i="9"/>
  <c r="AB12" i="34"/>
  <c r="U12" i="34"/>
  <c r="W44" i="39"/>
  <c r="AC44" i="39"/>
  <c r="W13" i="33"/>
  <c r="AC13" i="33"/>
  <c r="D20" i="53"/>
  <c r="B40" i="72" s="1"/>
  <c r="AC9" i="35"/>
  <c r="W9" i="35"/>
  <c r="AZ137" i="3"/>
  <c r="AZ450" i="3"/>
  <c r="AZ405" i="3"/>
  <c r="AZ491" i="3"/>
  <c r="AZ433" i="3"/>
  <c r="AZ408" i="3"/>
  <c r="F30" i="11"/>
  <c r="C48" i="11" s="1"/>
  <c r="AA31" i="34"/>
  <c r="S45" i="34"/>
  <c r="AC44" i="21"/>
  <c r="W44" i="21"/>
  <c r="AZ271" i="3"/>
  <c r="E13" i="6"/>
  <c r="E58" i="40" s="1"/>
  <c r="AB13" i="33"/>
  <c r="AZ157" i="3"/>
  <c r="AZ277" i="3"/>
  <c r="AZ286" i="3"/>
  <c r="AZ218" i="3"/>
  <c r="AZ404" i="3"/>
  <c r="AZ224" i="3"/>
  <c r="AZ460" i="3"/>
  <c r="AZ15" i="3"/>
  <c r="AZ436" i="3"/>
  <c r="AZ587" i="3"/>
  <c r="AZ497" i="3"/>
  <c r="M18" i="67"/>
  <c r="AC32" i="34"/>
  <c r="AZ551" i="3"/>
  <c r="AA44" i="21"/>
  <c r="S44" i="21"/>
  <c r="AA31" i="39"/>
  <c r="S31" i="39"/>
  <c r="U29" i="21"/>
  <c r="AB29" i="21"/>
  <c r="AA43" i="39"/>
  <c r="S43" i="39"/>
  <c r="U25" i="37"/>
  <c r="AB25" i="37"/>
  <c r="W43" i="39"/>
  <c r="AC43" i="39"/>
  <c r="AA25" i="37"/>
  <c r="S25" i="37"/>
  <c r="AZ280" i="3"/>
  <c r="AC28" i="37"/>
  <c r="W28" i="37"/>
  <c r="AC9" i="33"/>
  <c r="W9" i="33"/>
  <c r="AA28" i="37"/>
  <c r="S28" i="37"/>
  <c r="AB38" i="40"/>
  <c r="U38" i="40"/>
  <c r="AZ540" i="3"/>
  <c r="C56" i="71"/>
  <c r="D55" i="71"/>
  <c r="AZ106" i="3"/>
  <c r="U13" i="39"/>
  <c r="AB13" i="39"/>
  <c r="S32" i="40"/>
  <c r="AA32" i="40"/>
  <c r="AZ301" i="3"/>
  <c r="AZ210" i="3"/>
  <c r="B19" i="71"/>
  <c r="B18" i="71" s="1"/>
  <c r="B17" i="71" s="1"/>
  <c r="B16" i="71" s="1"/>
  <c r="S20" i="71"/>
  <c r="AC45" i="39"/>
  <c r="AZ52" i="3"/>
  <c r="AZ146" i="3"/>
  <c r="AZ77" i="3"/>
  <c r="AZ290" i="3"/>
  <c r="AZ298" i="3"/>
  <c r="AZ97" i="3"/>
  <c r="AZ190" i="3"/>
  <c r="AZ435" i="3"/>
  <c r="AZ365" i="3"/>
  <c r="AZ409" i="3"/>
  <c r="F32" i="15"/>
  <c r="F60" i="15" s="1"/>
  <c r="AC36" i="33"/>
  <c r="AZ142" i="3"/>
  <c r="AZ474" i="3"/>
  <c r="AZ479" i="3"/>
  <c r="AZ59" i="3"/>
  <c r="AZ461" i="3"/>
  <c r="AB39" i="37"/>
  <c r="U39" i="37"/>
  <c r="AZ91" i="3"/>
  <c r="K120" i="9"/>
  <c r="A18" i="62" s="1"/>
  <c r="B64" i="72" s="1"/>
  <c r="AZ352" i="3"/>
  <c r="U31" i="34"/>
  <c r="AB28" i="37"/>
  <c r="AB44" i="34"/>
  <c r="AZ67" i="3"/>
  <c r="AZ39" i="3"/>
  <c r="AZ111" i="3"/>
  <c r="AZ198" i="3"/>
  <c r="AZ484" i="3"/>
  <c r="AZ353" i="3"/>
  <c r="AZ434" i="3"/>
  <c r="AZ505" i="3"/>
  <c r="G29" i="6"/>
  <c r="G30" i="6" s="1"/>
  <c r="G31" i="6" s="1"/>
  <c r="M18" i="15"/>
  <c r="AA19" i="34"/>
  <c r="AC38" i="40"/>
  <c r="W38" i="40"/>
  <c r="AB36" i="39"/>
  <c r="U36" i="39"/>
  <c r="AB31" i="39"/>
  <c r="U31" i="39"/>
  <c r="S28" i="71"/>
  <c r="AZ105" i="3"/>
  <c r="AA27" i="37"/>
  <c r="S27" i="37"/>
  <c r="H110" i="9"/>
  <c r="D18" i="53" s="1"/>
  <c r="B35" i="72" s="1"/>
  <c r="AZ263" i="3"/>
  <c r="U27" i="37"/>
  <c r="AB27" i="37"/>
  <c r="AZ229" i="3"/>
  <c r="AZ444" i="3"/>
  <c r="AZ412" i="3"/>
  <c r="AB45" i="39"/>
  <c r="U45" i="39"/>
  <c r="AB14" i="34"/>
  <c r="U14" i="34"/>
  <c r="AZ23" i="3"/>
  <c r="AC23" i="35"/>
  <c r="W23" i="35"/>
  <c r="AZ188" i="3"/>
  <c r="AZ526" i="3"/>
  <c r="AA46" i="34"/>
  <c r="S46" i="34"/>
  <c r="AZ257" i="3"/>
  <c r="D6" i="52"/>
  <c r="AZ538" i="3"/>
  <c r="F30" i="68"/>
  <c r="F48" i="68" s="1"/>
  <c r="AZ33" i="3"/>
  <c r="AZ475" i="3"/>
  <c r="AZ166" i="3"/>
  <c r="AZ399" i="3"/>
  <c r="W12" i="34"/>
  <c r="AC12" i="34"/>
  <c r="AZ324" i="3"/>
  <c r="AZ247" i="3"/>
  <c r="W31" i="39"/>
  <c r="AC31" i="39"/>
  <c r="AZ81" i="3"/>
  <c r="AZ206" i="3"/>
  <c r="AZ289" i="3"/>
  <c r="AZ354" i="3"/>
  <c r="E10" i="6"/>
  <c r="A1" i="79"/>
  <c r="E12" i="6"/>
  <c r="E57" i="40" s="1"/>
  <c r="AZ44" i="3"/>
  <c r="AZ287" i="3"/>
  <c r="AZ348" i="3"/>
  <c r="O67" i="71"/>
  <c r="AZ38" i="3"/>
  <c r="AZ194" i="3"/>
  <c r="AZ275" i="3"/>
  <c r="AZ483" i="3"/>
  <c r="AZ457" i="3"/>
  <c r="AZ425" i="3"/>
  <c r="AZ550" i="3"/>
  <c r="AZ230" i="3"/>
  <c r="AB36" i="33"/>
  <c r="D68" i="9"/>
  <c r="AZ55" i="3"/>
  <c r="AZ523" i="3"/>
  <c r="AC12" i="40"/>
  <c r="W12" i="40"/>
  <c r="AB32" i="36"/>
  <c r="U32" i="36"/>
  <c r="S36" i="39"/>
  <c r="AA36" i="39"/>
  <c r="AC38" i="37"/>
  <c r="W38" i="37"/>
  <c r="S32" i="36"/>
  <c r="AA32" i="36"/>
  <c r="C74" i="71"/>
  <c r="D74" i="71" s="1"/>
  <c r="D75" i="71"/>
  <c r="AZ473" i="3"/>
  <c r="D124" i="9"/>
  <c r="F53" i="9"/>
  <c r="AZ32" i="3"/>
  <c r="W27" i="40"/>
  <c r="AZ26" i="3"/>
  <c r="AZ78" i="3"/>
  <c r="AB32" i="34"/>
  <c r="AZ114" i="3"/>
  <c r="AZ264" i="3"/>
  <c r="AA39" i="37"/>
  <c r="AZ45" i="3"/>
  <c r="AZ407" i="3"/>
  <c r="AC46" i="34"/>
  <c r="W46" i="34"/>
  <c r="AZ251" i="3"/>
  <c r="AZ72" i="3"/>
  <c r="AZ43" i="3"/>
  <c r="AZ564" i="3"/>
  <c r="S14" i="33"/>
  <c r="AA14" i="33"/>
  <c r="S9" i="34"/>
  <c r="AZ42" i="3"/>
  <c r="AZ113" i="3"/>
  <c r="AZ131" i="3"/>
  <c r="AZ285" i="3"/>
  <c r="AZ396" i="3"/>
  <c r="AZ64" i="3"/>
  <c r="AZ51" i="3"/>
  <c r="AZ238" i="3"/>
  <c r="AZ278" i="3"/>
  <c r="AZ441" i="3"/>
  <c r="AZ16" i="3"/>
  <c r="AZ454" i="3"/>
  <c r="AZ423" i="3"/>
  <c r="AZ430" i="3"/>
  <c r="AA44" i="34"/>
  <c r="AZ499" i="3"/>
  <c r="F28" i="67"/>
  <c r="C28" i="67" s="1"/>
  <c r="AC9" i="36"/>
  <c r="W9" i="36"/>
  <c r="S12" i="40"/>
  <c r="AA12" i="40"/>
  <c r="U43" i="39"/>
  <c r="AB43" i="39"/>
  <c r="AB38" i="37"/>
  <c r="U38" i="37"/>
  <c r="AC27" i="34"/>
  <c r="AB23" i="34"/>
  <c r="AA23" i="34"/>
  <c r="S23" i="34"/>
  <c r="W23" i="34"/>
  <c r="AC23" i="34"/>
  <c r="U45" i="34"/>
  <c r="AB45" i="34"/>
  <c r="U47" i="34"/>
  <c r="AB47" i="34"/>
  <c r="H26" i="43"/>
  <c r="E59" i="40"/>
  <c r="F71" i="15"/>
  <c r="F66" i="15"/>
  <c r="F68" i="15"/>
  <c r="C27" i="15"/>
  <c r="N59" i="15"/>
  <c r="M59" i="15"/>
  <c r="L59" i="15"/>
  <c r="Q61" i="15" s="1"/>
  <c r="AP6" i="1"/>
  <c r="C36" i="69" s="1"/>
  <c r="F48" i="9"/>
  <c r="O52" i="9" s="1"/>
  <c r="F30" i="69"/>
  <c r="F31" i="12"/>
  <c r="C31" i="12" s="1"/>
  <c r="C30" i="11"/>
  <c r="M6" i="1"/>
  <c r="O6" i="1" s="1"/>
  <c r="N59" i="67"/>
  <c r="L59" i="67"/>
  <c r="Q61" i="67" s="1"/>
  <c r="M59" i="67"/>
  <c r="E26" i="43"/>
  <c r="G26" i="43"/>
  <c r="D26" i="43" s="1"/>
  <c r="C25" i="43" s="1"/>
  <c r="N94" i="46"/>
  <c r="E15" i="6"/>
  <c r="E64" i="39" s="1"/>
  <c r="C27" i="67"/>
  <c r="F31" i="67"/>
  <c r="F51" i="67"/>
  <c r="Q71" i="67"/>
  <c r="G5" i="3"/>
  <c r="B3" i="3" s="1"/>
  <c r="E536" i="3" s="1"/>
  <c r="C86" i="71"/>
  <c r="D86" i="71" s="1"/>
  <c r="D87" i="71"/>
  <c r="T28" i="71"/>
  <c r="D28" i="71"/>
  <c r="U28" i="71" s="1"/>
  <c r="C27" i="71"/>
  <c r="AZ28" i="3"/>
  <c r="AC39" i="40"/>
  <c r="W39" i="40"/>
  <c r="AC26" i="33"/>
  <c r="W26" i="33"/>
  <c r="J7" i="36"/>
  <c r="P6" i="1"/>
  <c r="C13" i="12" s="1"/>
  <c r="E11" i="6"/>
  <c r="E60" i="39" s="1"/>
  <c r="Q16" i="1"/>
  <c r="F27" i="69" s="1"/>
  <c r="C47" i="69" s="1"/>
  <c r="D45" i="69" s="1"/>
  <c r="AZ107" i="3"/>
  <c r="AZ89" i="3"/>
  <c r="AZ292" i="3"/>
  <c r="AZ129" i="3"/>
  <c r="AZ266" i="3"/>
  <c r="AZ246" i="3"/>
  <c r="AZ486" i="3"/>
  <c r="AZ268" i="3"/>
  <c r="G16" i="1"/>
  <c r="F10" i="39" s="1"/>
  <c r="S10" i="39" s="1"/>
  <c r="C44" i="71"/>
  <c r="D43" i="71"/>
  <c r="C40" i="71"/>
  <c r="D39" i="71"/>
  <c r="AZ66" i="3"/>
  <c r="AZ101" i="3"/>
  <c r="AZ75" i="3"/>
  <c r="AZ19" i="3"/>
  <c r="AZ130" i="3"/>
  <c r="AZ27" i="3"/>
  <c r="AZ178" i="3"/>
  <c r="AZ249" i="3"/>
  <c r="AZ121" i="3"/>
  <c r="AZ403" i="3"/>
  <c r="AZ243" i="3"/>
  <c r="AA23" i="36"/>
  <c r="S23" i="36"/>
  <c r="AC23" i="36"/>
  <c r="W23" i="36"/>
  <c r="AB25" i="35"/>
  <c r="U25" i="35"/>
  <c r="F29" i="6"/>
  <c r="C36" i="71"/>
  <c r="D35" i="71"/>
  <c r="D31" i="71"/>
  <c r="C32" i="71"/>
  <c r="AZ71" i="3"/>
  <c r="AZ182" i="3"/>
  <c r="AZ294" i="3"/>
  <c r="B20" i="31"/>
  <c r="B21" i="31" s="1"/>
  <c r="H16" i="1"/>
  <c r="AZ83" i="3"/>
  <c r="AZ202" i="3"/>
  <c r="AZ174" i="3"/>
  <c r="AZ141" i="3"/>
  <c r="AZ209" i="3"/>
  <c r="AZ234" i="3"/>
  <c r="O65" i="71"/>
  <c r="D66" i="71"/>
  <c r="O66" i="71"/>
  <c r="AZ110" i="3"/>
  <c r="AZ53" i="3"/>
  <c r="AZ63" i="3"/>
  <c r="AZ57" i="3"/>
  <c r="D60" i="71"/>
  <c r="T60" i="71"/>
  <c r="AZ282" i="3"/>
  <c r="AZ118" i="3"/>
  <c r="AZ239" i="3"/>
  <c r="AZ332" i="3"/>
  <c r="AZ401" i="3"/>
  <c r="AZ273" i="3"/>
  <c r="AZ241" i="3"/>
  <c r="AZ421" i="3"/>
  <c r="AZ414" i="3"/>
  <c r="W12" i="35"/>
  <c r="AC12" i="35"/>
  <c r="AB23" i="36"/>
  <c r="U23" i="36"/>
  <c r="U26" i="33"/>
  <c r="AB26" i="33"/>
  <c r="C82" i="71"/>
  <c r="D82" i="71" s="1"/>
  <c r="D83" i="71"/>
  <c r="C78" i="71"/>
  <c r="D78" i="71" s="1"/>
  <c r="D79" i="71"/>
  <c r="N65" i="71"/>
  <c r="N66" i="71"/>
  <c r="C70" i="71"/>
  <c r="D70" i="71" s="1"/>
  <c r="D71" i="71"/>
  <c r="AZ125" i="3"/>
  <c r="AZ464" i="3"/>
  <c r="AZ256" i="3"/>
  <c r="AZ223" i="3"/>
  <c r="AB39" i="40"/>
  <c r="U39" i="40"/>
  <c r="AB36" i="35"/>
  <c r="U36" i="35"/>
  <c r="S26" i="33"/>
  <c r="AA26" i="33"/>
  <c r="J7" i="37"/>
  <c r="K1" i="73"/>
  <c r="E212" i="3"/>
  <c r="E286" i="3"/>
  <c r="E430" i="3"/>
  <c r="E491" i="3"/>
  <c r="E479" i="3"/>
  <c r="E152" i="3"/>
  <c r="E258" i="3"/>
  <c r="E292" i="3"/>
  <c r="E544" i="3"/>
  <c r="E59" i="3"/>
  <c r="E484" i="3"/>
  <c r="E46" i="3"/>
  <c r="E160" i="3"/>
  <c r="E249" i="3"/>
  <c r="E33" i="3"/>
  <c r="E81" i="3"/>
  <c r="E513" i="3"/>
  <c r="E494" i="3"/>
  <c r="E281" i="3"/>
  <c r="E42" i="3"/>
  <c r="E482" i="3"/>
  <c r="E96" i="3"/>
  <c r="E383" i="3"/>
  <c r="E86" i="3"/>
  <c r="E206" i="3"/>
  <c r="E113" i="3"/>
  <c r="E525" i="3"/>
  <c r="E451" i="3"/>
  <c r="E556" i="3"/>
  <c r="E13" i="3"/>
  <c r="E470" i="3"/>
  <c r="E420" i="3"/>
  <c r="E26" i="3"/>
  <c r="E41" i="3"/>
  <c r="E115" i="3"/>
  <c r="E225" i="3"/>
  <c r="E356" i="3"/>
  <c r="E428" i="3"/>
  <c r="E190" i="3"/>
  <c r="E342" i="3"/>
  <c r="E35" i="3"/>
  <c r="E49" i="3"/>
  <c r="E232" i="3"/>
  <c r="E370" i="3"/>
  <c r="E80" i="3"/>
  <c r="E158" i="3"/>
  <c r="E326" i="3"/>
  <c r="E83" i="3"/>
  <c r="E329" i="3"/>
  <c r="E16" i="3"/>
  <c r="E116" i="3"/>
  <c r="E493" i="3"/>
  <c r="E564" i="3"/>
  <c r="E543" i="3"/>
  <c r="E427" i="3"/>
  <c r="E486" i="3"/>
  <c r="E507" i="3"/>
  <c r="E422" i="3"/>
  <c r="E440" i="3"/>
  <c r="E490" i="3"/>
  <c r="E376" i="3"/>
  <c r="AH6" i="3"/>
  <c r="E419" i="3"/>
  <c r="E40" i="3"/>
  <c r="E25" i="3"/>
  <c r="E108" i="3"/>
  <c r="E178" i="3"/>
  <c r="E202" i="3"/>
  <c r="E226" i="3"/>
  <c r="E276" i="3"/>
  <c r="E346" i="3"/>
  <c r="E333" i="3"/>
  <c r="E372" i="3"/>
  <c r="L6" i="3"/>
  <c r="E540" i="3"/>
  <c r="E455" i="3"/>
  <c r="E79" i="3"/>
  <c r="E38" i="3"/>
  <c r="E170" i="3"/>
  <c r="E137" i="3"/>
  <c r="E194" i="3"/>
  <c r="E234" i="3"/>
  <c r="E299" i="3"/>
  <c r="E339" i="3"/>
  <c r="E325" i="3"/>
  <c r="E392" i="3"/>
  <c r="E36" i="3"/>
  <c r="E147" i="3"/>
  <c r="E289" i="3"/>
  <c r="E340" i="3"/>
  <c r="E364" i="3"/>
  <c r="E50" i="3"/>
  <c r="E20" i="3"/>
  <c r="E62" i="3"/>
  <c r="E176" i="3"/>
  <c r="E218" i="3"/>
  <c r="E265" i="3"/>
  <c r="E365" i="3"/>
  <c r="E165" i="3"/>
  <c r="E398" i="3"/>
  <c r="E566" i="3"/>
  <c r="E460" i="3"/>
  <c r="E90" i="3"/>
  <c r="E155" i="3"/>
  <c r="E348" i="3"/>
  <c r="E58" i="3"/>
  <c r="E521" i="3"/>
  <c r="E65" i="3"/>
  <c r="E386" i="3"/>
  <c r="E24" i="3"/>
  <c r="E222" i="3"/>
  <c r="E421" i="3"/>
  <c r="E416" i="3"/>
  <c r="E500" i="3"/>
  <c r="E520" i="3"/>
  <c r="E57" i="3"/>
  <c r="E110" i="3"/>
  <c r="E446" i="3"/>
  <c r="E138" i="3"/>
  <c r="E209" i="3"/>
  <c r="E354" i="3"/>
  <c r="E48" i="3"/>
  <c r="E323" i="3"/>
  <c r="E582" i="3"/>
  <c r="E436" i="3"/>
  <c r="E297" i="3"/>
  <c r="E375" i="3"/>
  <c r="E47" i="3"/>
  <c r="E266" i="3"/>
  <c r="E584" i="3"/>
  <c r="E341" i="3"/>
  <c r="E373" i="3"/>
  <c r="E542" i="3"/>
  <c r="E374" i="3"/>
  <c r="E462" i="3"/>
  <c r="Y6" i="3"/>
  <c r="E179" i="3"/>
  <c r="AD6" i="3"/>
  <c r="E459" i="3"/>
  <c r="E488" i="3"/>
  <c r="E195" i="3"/>
  <c r="E87" i="3"/>
  <c r="E154" i="3"/>
  <c r="E167" i="3"/>
  <c r="E413" i="3"/>
  <c r="E187" i="3"/>
  <c r="E307" i="3"/>
  <c r="E122" i="3"/>
  <c r="E461" i="3"/>
  <c r="E136" i="3"/>
  <c r="E352" i="3"/>
  <c r="E306" i="3"/>
  <c r="E157" i="3"/>
  <c r="E224" i="3"/>
  <c r="E313" i="3"/>
  <c r="E532" i="3"/>
  <c r="E529" i="3"/>
  <c r="E474" i="3"/>
  <c r="W6" i="3"/>
  <c r="E475" i="3"/>
  <c r="E54" i="3"/>
  <c r="E168" i="3"/>
  <c r="E208" i="3"/>
  <c r="E257" i="3"/>
  <c r="E357" i="3"/>
  <c r="E14" i="3"/>
  <c r="E93" i="3"/>
  <c r="E397" i="3"/>
  <c r="E196" i="3"/>
  <c r="E207" i="3"/>
  <c r="U6" i="3"/>
  <c r="E432" i="3"/>
  <c r="E367" i="3"/>
  <c r="E547" i="3"/>
  <c r="E403" i="3"/>
  <c r="E546" i="3"/>
  <c r="E71" i="3"/>
  <c r="E92" i="3"/>
  <c r="E126" i="3"/>
  <c r="E272" i="3"/>
  <c r="E291" i="3"/>
  <c r="E317" i="3"/>
  <c r="E53" i="3"/>
  <c r="E153" i="3"/>
  <c r="E426" i="3"/>
  <c r="E328" i="3"/>
  <c r="O6" i="3"/>
  <c r="E574" i="3"/>
  <c r="E359" i="3"/>
  <c r="E285" i="3"/>
  <c r="E97" i="3"/>
  <c r="E390" i="3"/>
  <c r="S6" i="3"/>
  <c r="E523" i="3"/>
  <c r="E338" i="3"/>
  <c r="E321" i="3"/>
  <c r="E169" i="3"/>
  <c r="E237" i="3"/>
  <c r="E304" i="3"/>
  <c r="E565" i="3"/>
  <c r="E213" i="3"/>
  <c r="E17" i="3"/>
  <c r="E302" i="3"/>
  <c r="E221" i="3"/>
  <c r="E254" i="3"/>
  <c r="E159" i="3"/>
  <c r="E303" i="3"/>
  <c r="E353" i="3"/>
  <c r="E280" i="3"/>
  <c r="E156" i="3"/>
  <c r="E238" i="3"/>
  <c r="E434" i="3"/>
  <c r="E128" i="3"/>
  <c r="E262" i="3"/>
  <c r="E120" i="3"/>
  <c r="E177" i="3"/>
  <c r="E330" i="3"/>
  <c r="Q6" i="3"/>
  <c r="E437" i="3"/>
  <c r="E481" i="3"/>
  <c r="AE6" i="3"/>
  <c r="E429" i="3"/>
  <c r="E55" i="3"/>
  <c r="E73" i="3"/>
  <c r="E203" i="3"/>
  <c r="E256" i="3"/>
  <c r="E274" i="3"/>
  <c r="E394" i="3"/>
  <c r="E580" i="3"/>
  <c r="E32" i="3"/>
  <c r="I6" i="3"/>
  <c r="E236" i="3"/>
  <c r="E252" i="3"/>
  <c r="AG6" i="3"/>
  <c r="E448" i="3"/>
  <c r="E443" i="3"/>
  <c r="E558" i="3"/>
  <c r="E581" i="3"/>
  <c r="E444" i="3"/>
  <c r="E404" i="3"/>
  <c r="E88" i="3"/>
  <c r="E121" i="3"/>
  <c r="E166" i="3"/>
  <c r="E295" i="3"/>
  <c r="E316" i="3"/>
  <c r="E334" i="3"/>
  <c r="E125" i="3"/>
  <c r="E366" i="3"/>
  <c r="E282" i="3"/>
  <c r="N6" i="3"/>
  <c r="E239" i="3"/>
  <c r="E516" i="3"/>
  <c r="E569" i="3"/>
  <c r="E396" i="3"/>
  <c r="E229" i="3"/>
  <c r="E151" i="3"/>
  <c r="E358" i="3"/>
  <c r="E559" i="3"/>
  <c r="E551" i="3"/>
  <c r="E320" i="3"/>
  <c r="E294" i="3"/>
  <c r="E130" i="3"/>
  <c r="E114" i="3"/>
  <c r="E415" i="3"/>
  <c r="E395" i="3"/>
  <c r="E260" i="3"/>
  <c r="E550" i="3"/>
  <c r="E117" i="3"/>
  <c r="E290" i="3"/>
  <c r="E61" i="3"/>
  <c r="E245" i="3"/>
  <c r="E382" i="3"/>
  <c r="E293" i="3"/>
  <c r="E336" i="3"/>
  <c r="E253" i="3"/>
  <c r="E453" i="3"/>
  <c r="E85" i="3"/>
  <c r="E314" i="3"/>
  <c r="E511" i="3"/>
  <c r="E99" i="3"/>
  <c r="E45" i="3"/>
  <c r="E193" i="3"/>
  <c r="E519" i="3"/>
  <c r="E573" i="3"/>
  <c r="E458" i="3"/>
  <c r="E562" i="3"/>
  <c r="E571" i="3"/>
  <c r="E433" i="3"/>
  <c r="E72" i="3"/>
  <c r="E111" i="3"/>
  <c r="E150" i="3"/>
  <c r="E279" i="3"/>
  <c r="E351" i="3"/>
  <c r="E318" i="3"/>
  <c r="E31" i="3"/>
  <c r="E567" i="3"/>
  <c r="E549" i="3"/>
  <c r="E269" i="3"/>
  <c r="E585" i="3"/>
  <c r="E515" i="3"/>
  <c r="E414" i="3"/>
  <c r="E477" i="3"/>
  <c r="E505" i="3"/>
  <c r="AS6" i="3"/>
  <c r="E476" i="3"/>
  <c r="E447" i="3"/>
  <c r="E27" i="3"/>
  <c r="E162" i="3"/>
  <c r="E186" i="3"/>
  <c r="E210" i="3"/>
  <c r="E331" i="3"/>
  <c r="E441" i="3"/>
  <c r="E175" i="3"/>
  <c r="E343" i="3"/>
  <c r="E305" i="3"/>
  <c r="E508" i="3"/>
  <c r="E388" i="3"/>
  <c r="E555" i="3"/>
  <c r="E410" i="3"/>
  <c r="E337" i="3"/>
  <c r="E143" i="3"/>
  <c r="E270" i="3"/>
  <c r="E533" i="3"/>
  <c r="AR6" i="3"/>
  <c r="E439" i="3"/>
  <c r="E380" i="3"/>
  <c r="E216" i="3"/>
  <c r="E185" i="3"/>
  <c r="E261" i="3"/>
  <c r="E528" i="3"/>
  <c r="E183" i="3"/>
  <c r="E361" i="3"/>
  <c r="E503" i="3"/>
  <c r="E180" i="3"/>
  <c r="E91" i="3"/>
  <c r="E134" i="3"/>
  <c r="E301" i="3"/>
  <c r="E495" i="3"/>
  <c r="E124" i="3"/>
  <c r="E347" i="3"/>
  <c r="E77" i="3"/>
  <c r="E568" i="3"/>
  <c r="E181" i="3"/>
  <c r="E545" i="3"/>
  <c r="AK6" i="3"/>
  <c r="E228" i="3"/>
  <c r="E277" i="3"/>
  <c r="E133" i="3"/>
  <c r="K6" i="3"/>
  <c r="E560" i="3"/>
  <c r="E465" i="3"/>
  <c r="E587" i="3"/>
  <c r="E468" i="3"/>
  <c r="E454" i="3"/>
  <c r="E106" i="3"/>
  <c r="E146" i="3"/>
  <c r="E171" i="3"/>
  <c r="E214" i="3"/>
  <c r="E315" i="3"/>
  <c r="E362" i="3"/>
  <c r="E74" i="3"/>
  <c r="E227" i="3"/>
  <c r="E368" i="3"/>
  <c r="E327" i="3"/>
  <c r="Z6" i="3"/>
  <c r="E485" i="3"/>
  <c r="E400" i="3"/>
  <c r="E345" i="3"/>
  <c r="E557" i="3"/>
  <c r="E531" i="3"/>
  <c r="E489" i="3"/>
  <c r="E28" i="3"/>
  <c r="E70" i="3"/>
  <c r="E182" i="3"/>
  <c r="E211" i="3"/>
  <c r="E273" i="3"/>
  <c r="E109" i="3"/>
  <c r="E217" i="3"/>
  <c r="E268" i="3"/>
  <c r="E322" i="3"/>
  <c r="AJ6" i="3"/>
  <c r="E509" i="3"/>
  <c r="E579" i="3"/>
  <c r="E431" i="3"/>
  <c r="E247" i="3"/>
  <c r="E201" i="3"/>
  <c r="E311" i="3"/>
  <c r="E514" i="3"/>
  <c r="E570" i="3"/>
  <c r="E387" i="3"/>
  <c r="E335" i="3"/>
  <c r="E189" i="3"/>
  <c r="E69" i="3"/>
  <c r="E278" i="3"/>
  <c r="E563" i="3"/>
  <c r="E172" i="3"/>
  <c r="E445" i="3"/>
  <c r="E535" i="3"/>
  <c r="E161" i="3"/>
  <c r="E135" i="3"/>
  <c r="E191" i="3"/>
  <c r="E263" i="3"/>
  <c r="E385" i="3"/>
  <c r="E246" i="3"/>
  <c r="E100" i="3"/>
  <c r="E200" i="3"/>
  <c r="E148" i="3"/>
  <c r="E119" i="3"/>
  <c r="E132" i="3"/>
  <c r="E296" i="3"/>
  <c r="E275" i="3"/>
  <c r="E242" i="3"/>
  <c r="E483" i="3"/>
  <c r="AA26" i="37"/>
  <c r="S26" i="37"/>
  <c r="BA5" i="3"/>
  <c r="E27" i="6" s="1"/>
  <c r="K26" i="6" s="1"/>
  <c r="M26" i="6" s="1"/>
  <c r="I26" i="6" s="1"/>
  <c r="S26" i="6" s="1"/>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E60" i="40"/>
  <c r="E51" i="40"/>
  <c r="E62" i="39"/>
  <c r="M14" i="1"/>
  <c r="D5" i="43"/>
  <c r="C7" i="43"/>
  <c r="C5" i="43" s="1"/>
  <c r="D10" i="52"/>
  <c r="D125" i="9"/>
  <c r="D11" i="52" s="1"/>
  <c r="B7" i="74"/>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M22" i="67"/>
  <c r="F16" i="15"/>
  <c r="F37" i="15"/>
  <c r="C76" i="15"/>
  <c r="M29" i="15"/>
  <c r="M9" i="15"/>
  <c r="F40" i="67"/>
  <c r="M26" i="67"/>
  <c r="F38" i="67"/>
  <c r="F13" i="67"/>
  <c r="F6" i="67"/>
  <c r="F42" i="15"/>
  <c r="L48" i="15"/>
  <c r="F36" i="15"/>
  <c r="F42" i="67"/>
  <c r="M6" i="67"/>
  <c r="F36" i="67"/>
  <c r="M9" i="67"/>
  <c r="F37" i="67"/>
  <c r="F6" i="15"/>
  <c r="G1" i="73"/>
  <c r="F8" i="15"/>
  <c r="F7" i="15"/>
  <c r="M26" i="15"/>
  <c r="F16" i="67"/>
  <c r="L48" i="67"/>
  <c r="F7" i="67"/>
  <c r="F43" i="67"/>
  <c r="M8" i="67"/>
  <c r="M29" i="67"/>
  <c r="J15" i="67"/>
  <c r="M23" i="67"/>
  <c r="M28" i="15"/>
  <c r="C6" i="67" l="1"/>
  <c r="C32" i="67" s="1"/>
  <c r="F66" i="67"/>
  <c r="F68" i="67"/>
  <c r="F71" i="67"/>
  <c r="J53" i="67"/>
  <c r="Q52" i="67" s="1"/>
  <c r="L56" i="67"/>
  <c r="J57" i="67"/>
  <c r="J55" i="67" s="1"/>
  <c r="J58" i="67" s="1"/>
  <c r="Q50" i="67" s="1"/>
  <c r="L58" i="67"/>
  <c r="Q60" i="67" s="1"/>
  <c r="I54" i="67"/>
  <c r="I54" i="15"/>
  <c r="L58" i="15"/>
  <c r="Q60" i="15" s="1"/>
  <c r="J53" i="15"/>
  <c r="L56" i="15" s="1"/>
  <c r="J57" i="15"/>
  <c r="J55" i="15" s="1"/>
  <c r="J58" i="15" s="1"/>
  <c r="Q50" i="15" s="1"/>
  <c r="M7" i="15"/>
  <c r="J6" i="15" s="1"/>
  <c r="J18" i="15" s="1"/>
  <c r="F50" i="15"/>
  <c r="C49" i="15" s="1"/>
  <c r="C6" i="15"/>
  <c r="C32" i="15" s="1"/>
  <c r="F64" i="67"/>
  <c r="F64" i="15"/>
  <c r="F50" i="67"/>
  <c r="M7" i="67"/>
  <c r="J6" i="67" s="1"/>
  <c r="J18" i="67" s="1"/>
  <c r="Q71" i="15"/>
  <c r="F65" i="15"/>
  <c r="F51" i="15"/>
  <c r="F65" i="67"/>
  <c r="C21" i="71"/>
  <c r="D22" i="71"/>
  <c r="C30" i="68"/>
  <c r="C48" i="68"/>
  <c r="F67" i="39"/>
  <c r="C7" i="74"/>
  <c r="E240" i="3"/>
  <c r="X6" i="3"/>
  <c r="E215" i="3"/>
  <c r="E526" i="3"/>
  <c r="AO6" i="3"/>
  <c r="E577" i="3"/>
  <c r="E399" i="3"/>
  <c r="E231" i="3"/>
  <c r="E530" i="3"/>
  <c r="E478" i="3"/>
  <c r="E450" i="3"/>
  <c r="E583" i="3"/>
  <c r="E230" i="3"/>
  <c r="E553" i="3"/>
  <c r="P6" i="3"/>
  <c r="E496" i="3"/>
  <c r="AA6" i="3"/>
  <c r="E298" i="3"/>
  <c r="E501" i="3"/>
  <c r="E548" i="3"/>
  <c r="E471" i="3"/>
  <c r="E82" i="3"/>
  <c r="E66" i="3"/>
  <c r="E464" i="3"/>
  <c r="E312" i="3"/>
  <c r="E552" i="3"/>
  <c r="E123" i="3"/>
  <c r="E15" i="3"/>
  <c r="E463" i="3"/>
  <c r="E393" i="3"/>
  <c r="E324" i="3"/>
  <c r="E456" i="3"/>
  <c r="E68" i="3"/>
  <c r="E517" i="3"/>
  <c r="E319" i="3"/>
  <c r="E411" i="3"/>
  <c r="E537" i="3"/>
  <c r="E127" i="3"/>
  <c r="E163" i="3"/>
  <c r="E149" i="3"/>
  <c r="E244" i="3"/>
  <c r="E141" i="3"/>
  <c r="E112" i="3"/>
  <c r="E473" i="3"/>
  <c r="E401" i="3"/>
  <c r="E105" i="3"/>
  <c r="E220" i="3"/>
  <c r="T6" i="3"/>
  <c r="E355" i="3"/>
  <c r="E255" i="3"/>
  <c r="T49" i="34"/>
  <c r="G49" i="34" s="1"/>
  <c r="AB6" i="3"/>
  <c r="E406" i="3"/>
  <c r="E44" i="3"/>
  <c r="E518" i="3"/>
  <c r="E576" i="3"/>
  <c r="E29" i="3"/>
  <c r="E98" i="3"/>
  <c r="E51" i="3"/>
  <c r="E52" i="3"/>
  <c r="E43" i="3"/>
  <c r="E223" i="3"/>
  <c r="E78" i="3"/>
  <c r="E205" i="3"/>
  <c r="E84" i="3"/>
  <c r="E466" i="3"/>
  <c r="AZ5" i="3"/>
  <c r="T56" i="71"/>
  <c r="D56" i="71"/>
  <c r="U7" i="36"/>
  <c r="AI6" i="3"/>
  <c r="E572" i="3"/>
  <c r="E204" i="3"/>
  <c r="E586" i="3"/>
  <c r="E538" i="3"/>
  <c r="E107" i="3"/>
  <c r="E457" i="3"/>
  <c r="E407" i="3"/>
  <c r="E480" i="3"/>
  <c r="E344" i="3"/>
  <c r="AN6" i="3"/>
  <c r="E418" i="3"/>
  <c r="E379" i="3"/>
  <c r="E288" i="3"/>
  <c r="E259" i="3"/>
  <c r="E19" i="3"/>
  <c r="E101" i="3"/>
  <c r="E498" i="3"/>
  <c r="E423" i="3"/>
  <c r="M6" i="3"/>
  <c r="H6" i="3" s="1"/>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308" i="3"/>
  <c r="E492" i="3"/>
  <c r="E499" i="3"/>
  <c r="Q74" i="15"/>
  <c r="J5" i="67"/>
  <c r="J24" i="67" s="1"/>
  <c r="F48" i="69"/>
  <c r="C48" i="69"/>
  <c r="C30" i="69"/>
  <c r="C49" i="67"/>
  <c r="Q74" i="67"/>
  <c r="J10" i="39"/>
  <c r="W10" i="39" s="1"/>
  <c r="E16" i="6"/>
  <c r="E243" i="3"/>
  <c r="E104" i="3"/>
  <c r="E452" i="3"/>
  <c r="E512" i="3"/>
  <c r="E197" i="3"/>
  <c r="AF6" i="3"/>
  <c r="E174" i="3"/>
  <c r="E391" i="3"/>
  <c r="E283" i="3"/>
  <c r="E184" i="3"/>
  <c r="E371" i="3"/>
  <c r="E467" i="3"/>
  <c r="E349" i="3"/>
  <c r="E37" i="3"/>
  <c r="AP6" i="3"/>
  <c r="E502" i="3"/>
  <c r="E539" i="3"/>
  <c r="F27" i="68"/>
  <c r="C29" i="68" s="1"/>
  <c r="D27" i="68" s="1"/>
  <c r="F28" i="12"/>
  <c r="C29" i="12" s="1"/>
  <c r="D28" i="12" s="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AA10" i="39"/>
  <c r="F10" i="40"/>
  <c r="S10" i="40" s="1"/>
  <c r="H10" i="39"/>
  <c r="U10" i="39" s="1"/>
  <c r="H10" i="40"/>
  <c r="AB10" i="40" s="1"/>
  <c r="J10" i="40"/>
  <c r="AC10" i="40" s="1"/>
  <c r="AY6" i="3"/>
  <c r="AY95" i="3" s="1"/>
  <c r="E3" i="6"/>
  <c r="T32" i="71"/>
  <c r="D32" i="71"/>
  <c r="F30" i="6"/>
  <c r="F31" i="6" s="1"/>
  <c r="E29" i="6"/>
  <c r="C26" i="71"/>
  <c r="D26" i="71" s="1"/>
  <c r="D27" i="71"/>
  <c r="F27" i="11"/>
  <c r="F45" i="69"/>
  <c r="D44" i="71"/>
  <c r="T44" i="71"/>
  <c r="T36" i="71"/>
  <c r="D36" i="71"/>
  <c r="T40" i="71"/>
  <c r="D40" i="71"/>
  <c r="C29" i="69"/>
  <c r="D27" i="69"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123" i="3"/>
  <c r="AY204" i="3"/>
  <c r="BE6" i="3"/>
  <c r="AY553" i="3"/>
  <c r="AY554" i="3"/>
  <c r="AY198" i="3"/>
  <c r="AY162" i="3"/>
  <c r="AY324" i="3"/>
  <c r="AY483" i="3"/>
  <c r="AY80" i="3"/>
  <c r="AY48" i="3"/>
  <c r="AY344" i="3"/>
  <c r="AY235" i="3"/>
  <c r="AY218" i="3"/>
  <c r="AY47" i="3"/>
  <c r="AY203" i="3"/>
  <c r="AY136" i="3"/>
  <c r="AY288" i="3"/>
  <c r="AY361" i="3"/>
  <c r="D3" i="34"/>
  <c r="D3" i="33"/>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M27" i="15"/>
  <c r="C16" i="15"/>
  <c r="C16" i="67"/>
  <c r="M27" i="67"/>
  <c r="F1" i="67" l="1"/>
  <c r="F1" i="15"/>
  <c r="C10" i="15"/>
  <c r="C5" i="15" s="1"/>
  <c r="C38" i="15" s="1"/>
  <c r="Q73" i="15"/>
  <c r="AY292" i="3"/>
  <c r="BL6" i="3"/>
  <c r="AY249" i="3"/>
  <c r="AY240" i="3"/>
  <c r="AY280" i="3"/>
  <c r="AY53" i="3"/>
  <c r="Q73" i="67"/>
  <c r="D37" i="11"/>
  <c r="B14" i="74"/>
  <c r="AY354" i="3"/>
  <c r="E6" i="6"/>
  <c r="D10" i="69" s="1"/>
  <c r="AY325" i="3"/>
  <c r="AY386" i="3"/>
  <c r="AY68" i="3"/>
  <c r="BM6" i="3"/>
  <c r="AY147" i="3"/>
  <c r="AY340" i="3"/>
  <c r="AY301" i="3"/>
  <c r="AY509" i="3"/>
  <c r="I46" i="37"/>
  <c r="J46" i="37" s="1"/>
  <c r="AY172" i="3"/>
  <c r="AY565" i="3"/>
  <c r="AY581" i="3"/>
  <c r="J5" i="15"/>
  <c r="J24" i="15" s="1"/>
  <c r="Q52" i="15"/>
  <c r="D21" i="71"/>
  <c r="C20" i="71"/>
  <c r="AY323" i="3"/>
  <c r="C48" i="15"/>
  <c r="C66" i="15" s="1"/>
  <c r="AY91" i="3"/>
  <c r="AY337" i="3"/>
  <c r="AY312" i="3"/>
  <c r="BH6" i="3"/>
  <c r="R50" i="34"/>
  <c r="C49" i="34" s="1"/>
  <c r="I53" i="34"/>
  <c r="J53" i="34" s="1"/>
  <c r="AC6" i="3"/>
  <c r="C17" i="4"/>
  <c r="B4" i="52" s="1"/>
  <c r="B43" i="72" s="1"/>
  <c r="M18" i="9"/>
  <c r="B118" i="9" s="1"/>
  <c r="D3" i="21"/>
  <c r="L18" i="9"/>
  <c r="D14" i="12"/>
  <c r="D17" i="12" s="1"/>
  <c r="C17" i="12" s="1"/>
  <c r="BT6" i="3"/>
  <c r="AY547" i="3"/>
  <c r="AY522" i="3"/>
  <c r="AY567" i="3"/>
  <c r="AY440" i="3"/>
  <c r="AY399" i="3"/>
  <c r="AY511" i="3"/>
  <c r="AY128" i="3"/>
  <c r="AY466" i="3"/>
  <c r="AY46" i="3"/>
  <c r="AY439" i="3"/>
  <c r="AY266" i="3"/>
  <c r="AY543" i="3"/>
  <c r="BB6" i="3"/>
  <c r="AY436" i="3"/>
  <c r="AY532" i="3"/>
  <c r="AY365" i="3"/>
  <c r="AY486" i="3"/>
  <c r="AY377" i="3"/>
  <c r="AY118" i="3"/>
  <c r="AY217" i="3"/>
  <c r="AY168" i="3"/>
  <c r="D3" i="37"/>
  <c r="D19" i="11"/>
  <c r="C19" i="11" s="1"/>
  <c r="AY400" i="3"/>
  <c r="AY500" i="3"/>
  <c r="AY538" i="3"/>
  <c r="AY15" i="3"/>
  <c r="AY482" i="3"/>
  <c r="AY431" i="3"/>
  <c r="BD6" i="3"/>
  <c r="AY159" i="3"/>
  <c r="AY469" i="3"/>
  <c r="AY63" i="3"/>
  <c r="AY410" i="3"/>
  <c r="AY251" i="3"/>
  <c r="AY520" i="3"/>
  <c r="AY368" i="3"/>
  <c r="AY326" i="3"/>
  <c r="AY518" i="3"/>
  <c r="AY389" i="3"/>
  <c r="AY334" i="3"/>
  <c r="AY388" i="3"/>
  <c r="AY149" i="3"/>
  <c r="AY228" i="3"/>
  <c r="AY58" i="3"/>
  <c r="F45" i="68"/>
  <c r="AC10" i="39"/>
  <c r="AB10" i="39"/>
  <c r="F22" i="68"/>
  <c r="F41" i="68" s="1"/>
  <c r="C47" i="68"/>
  <c r="D45" i="68" s="1"/>
  <c r="F25" i="12"/>
  <c r="C26" i="12" s="1"/>
  <c r="D25" i="12" s="1"/>
  <c r="C48" i="67"/>
  <c r="C60" i="67" s="1"/>
  <c r="AY443" i="3"/>
  <c r="AY164" i="3"/>
  <c r="AY315" i="3"/>
  <c r="AY493" i="3"/>
  <c r="AY434" i="3"/>
  <c r="AY113" i="3"/>
  <c r="AY322" i="3"/>
  <c r="AY39" i="3"/>
  <c r="AY216" i="3"/>
  <c r="AY530" i="3"/>
  <c r="AY492" i="3"/>
  <c r="AY205" i="3"/>
  <c r="AY448" i="3"/>
  <c r="AY224" i="3"/>
  <c r="AY27" i="3"/>
  <c r="AY558" i="3"/>
  <c r="AY362" i="3"/>
  <c r="AY167" i="3"/>
  <c r="AY578" i="3"/>
  <c r="AY14" i="3"/>
  <c r="AY453" i="3"/>
  <c r="AY364" i="3"/>
  <c r="AY137" i="3"/>
  <c r="AY519" i="3"/>
  <c r="AY503" i="3"/>
  <c r="AY258" i="3"/>
  <c r="AY270" i="3"/>
  <c r="AY105" i="3"/>
  <c r="AY116" i="3"/>
  <c r="AY81" i="3"/>
  <c r="AY403" i="3"/>
  <c r="AY130" i="3"/>
  <c r="AY271" i="3"/>
  <c r="AY447" i="3"/>
  <c r="AY16" i="3"/>
  <c r="AY472" i="3"/>
  <c r="AY177" i="3"/>
  <c r="AY246" i="3"/>
  <c r="AY33" i="3"/>
  <c r="AY433" i="3"/>
  <c r="AY428" i="3"/>
  <c r="AY103" i="3"/>
  <c r="C29" i="11"/>
  <c r="D27" i="11" s="1"/>
  <c r="C47" i="11"/>
  <c r="D45" i="11"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23" i="3"/>
  <c r="AY152" i="3"/>
  <c r="AY236" i="3"/>
  <c r="AY160" i="3"/>
  <c r="AY363" i="3"/>
  <c r="AY106" i="3"/>
  <c r="AY327" i="3"/>
  <c r="BK6" i="3"/>
  <c r="AY77" i="3"/>
  <c r="AY185" i="3"/>
  <c r="AY294" i="3"/>
  <c r="AY392" i="3"/>
  <c r="AY73" i="3"/>
  <c r="AY290" i="3"/>
  <c r="AY317" i="3"/>
  <c r="AY430" i="3"/>
  <c r="BF6" i="3"/>
  <c r="AY171" i="3"/>
  <c r="AY199" i="3"/>
  <c r="AY574" i="3"/>
  <c r="AY178" i="3"/>
  <c r="AY239" i="3"/>
  <c r="AY93" i="3"/>
  <c r="AY243" i="3"/>
  <c r="AY308" i="3"/>
  <c r="AY516" i="3"/>
  <c r="AY556" i="3"/>
  <c r="AY82" i="3"/>
  <c r="AY489" i="3"/>
  <c r="AY229" i="3"/>
  <c r="AY417" i="3"/>
  <c r="AY84" i="3"/>
  <c r="AY141" i="3"/>
  <c r="AY238" i="3"/>
  <c r="AY72" i="3"/>
  <c r="AY215" i="3"/>
  <c r="AY449" i="3"/>
  <c r="AY572" i="3"/>
  <c r="AY584" i="3"/>
  <c r="AY101" i="3"/>
  <c r="AY194" i="3"/>
  <c r="AY129" i="3"/>
  <c r="AY234" i="3"/>
  <c r="AY329" i="3"/>
  <c r="AY487" i="3"/>
  <c r="AY458" i="3"/>
  <c r="AY407" i="3"/>
  <c r="D3" i="6"/>
  <c r="D22" i="6" s="1"/>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207" i="3"/>
  <c r="AY131" i="3"/>
  <c r="AY382" i="3"/>
  <c r="AY139" i="3"/>
  <c r="AY319" i="3"/>
  <c r="AY180" i="3"/>
  <c r="AY342" i="3"/>
  <c r="AY544" i="3"/>
  <c r="AY45" i="3"/>
  <c r="AY170" i="3"/>
  <c r="AY278" i="3"/>
  <c r="AY381" i="3"/>
  <c r="AY41" i="3"/>
  <c r="AY259" i="3"/>
  <c r="AY332" i="3"/>
  <c r="AY414" i="3"/>
  <c r="AY571" i="3"/>
  <c r="AY163" i="3"/>
  <c r="AY269" i="3"/>
  <c r="BO6" i="3"/>
  <c r="AY157" i="3"/>
  <c r="AY211" i="3"/>
  <c r="AY57" i="3"/>
  <c r="AY226" i="3"/>
  <c r="AY454" i="3"/>
  <c r="AY527" i="3"/>
  <c r="AY496" i="3"/>
  <c r="AY132" i="3"/>
  <c r="AY455" i="3"/>
  <c r="AY379" i="3"/>
  <c r="AY540" i="3"/>
  <c r="AY52" i="3"/>
  <c r="AY134" i="3"/>
  <c r="AY373" i="3"/>
  <c r="AY181"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AY54" i="3"/>
  <c r="AY359" i="3"/>
  <c r="BP6" i="3"/>
  <c r="AY476" i="3"/>
  <c r="AY153" i="3"/>
  <c r="AY339" i="3"/>
  <c r="AY576" i="3"/>
  <c r="AY233" i="3"/>
  <c r="AY537" i="3"/>
  <c r="AY336" i="3"/>
  <c r="AY32" i="3"/>
  <c r="AY459" i="3"/>
  <c r="AY241" i="3"/>
  <c r="AY38" i="3"/>
  <c r="AY405" i="3"/>
  <c r="AY378" i="3"/>
  <c r="AY156" i="3"/>
  <c r="AY531" i="3"/>
  <c r="AY506" i="3"/>
  <c r="AY468" i="3"/>
  <c r="AY369" i="3"/>
  <c r="AY158" i="3"/>
  <c r="AY582" i="3"/>
  <c r="AY419" i="3"/>
  <c r="AY161" i="3"/>
  <c r="AY255" i="3"/>
  <c r="AY539" i="3"/>
  <c r="AY412" i="3"/>
  <c r="AY112" i="3"/>
  <c r="AY422" i="3"/>
  <c r="AY186" i="3"/>
  <c r="AY117" i="3"/>
  <c r="AY311" i="3"/>
  <c r="BG6" i="3"/>
  <c r="AY488" i="3"/>
  <c r="AY197" i="3"/>
  <c r="AY262" i="3"/>
  <c r="AY28" i="3"/>
  <c r="AY452" i="3"/>
  <c r="AY460" i="3"/>
  <c r="AY303" i="3"/>
  <c r="AY124" i="3"/>
  <c r="E6" i="3"/>
  <c r="D116" i="43"/>
  <c r="AA10" i="40"/>
  <c r="K15" i="1"/>
  <c r="K16" i="1" s="1"/>
  <c r="E30" i="6"/>
  <c r="E31" i="6"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0" i="6"/>
  <c r="D14"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69"/>
  <c r="AE6" i="1"/>
  <c r="C14" i="67"/>
  <c r="C17" i="67"/>
  <c r="C17" i="15"/>
  <c r="F41" i="67"/>
  <c r="F41" i="15"/>
  <c r="F69" i="15" l="1"/>
  <c r="D10" i="11"/>
  <c r="C10" i="11" s="1"/>
  <c r="B1" i="74"/>
  <c r="C19" i="71"/>
  <c r="T20" i="71"/>
  <c r="D20" i="71"/>
  <c r="U20" i="71" s="1"/>
  <c r="D10" i="68"/>
  <c r="C10" i="68" s="1"/>
  <c r="C60" i="15"/>
  <c r="C50" i="34"/>
  <c r="E53" i="34"/>
  <c r="F53" i="34" s="1"/>
  <c r="I54" i="34"/>
  <c r="J54" i="34" s="1"/>
  <c r="D15" i="6"/>
  <c r="D5" i="6"/>
  <c r="L19" i="9"/>
  <c r="F69" i="67"/>
  <c r="C23" i="68"/>
  <c r="C44" i="68"/>
  <c r="D41" i="68" s="1"/>
  <c r="C26" i="68"/>
  <c r="D22" i="68" s="1"/>
  <c r="C66" i="67"/>
  <c r="H24" i="6"/>
  <c r="D13" i="6"/>
  <c r="D23" i="6"/>
  <c r="R23" i="6" s="1"/>
  <c r="R10" i="1" s="1"/>
  <c r="H21" i="6"/>
  <c r="D10" i="6"/>
  <c r="D8" i="6"/>
  <c r="D24" i="6"/>
  <c r="D25" i="6"/>
  <c r="C44" i="11"/>
  <c r="D41" i="11" s="1"/>
  <c r="H26" i="6"/>
  <c r="D11" i="6"/>
  <c r="C18" i="4"/>
  <c r="C4" i="52" s="1"/>
  <c r="B45" i="72" s="1"/>
  <c r="H22" i="6"/>
  <c r="R22" i="6" s="1"/>
  <c r="R9" i="1" s="1"/>
  <c r="D9" i="6"/>
  <c r="D26" i="6"/>
  <c r="D21" i="6"/>
  <c r="E61" i="40"/>
  <c r="D12" i="6"/>
  <c r="D19" i="6"/>
  <c r="D27" i="6" s="1"/>
  <c r="D29" i="6"/>
  <c r="D30" i="6" s="1"/>
  <c r="D6" i="6"/>
  <c r="M19" i="9"/>
  <c r="C118" i="9" s="1"/>
  <c r="B2" i="74" s="1"/>
  <c r="D7" i="74" s="1"/>
  <c r="H25" i="6"/>
  <c r="C26" i="11"/>
  <c r="D22" i="1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68" l="1"/>
  <c r="C18" i="71"/>
  <c r="D19" i="71"/>
  <c r="D16" i="6"/>
  <c r="R21" i="6"/>
  <c r="R8" i="1" s="1"/>
  <c r="R26" i="6"/>
  <c r="R25" i="6"/>
  <c r="R12" i="1" s="1"/>
  <c r="D31" i="6"/>
  <c r="I6" i="6" s="1"/>
  <c r="A10" i="51"/>
  <c r="B9" i="72" s="1"/>
  <c r="A7" i="51"/>
  <c r="B7" i="72" s="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D16" i="71" l="1"/>
  <c r="U16" i="71" s="1"/>
  <c r="C15" i="71"/>
  <c r="T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11" i="71" l="1"/>
  <c r="T12" i="71"/>
  <c r="D12" i="71"/>
  <c r="U12" i="71" s="1"/>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D34" i="9"/>
  <c r="AO12" i="1"/>
  <c r="AO11" i="1"/>
  <c r="AO7" i="1"/>
  <c r="AO8" i="1"/>
  <c r="AO10" i="1"/>
  <c r="D35" i="9"/>
  <c r="D11" i="71" l="1"/>
  <c r="C10"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9" i="71" l="1"/>
  <c r="D10" i="71"/>
  <c r="D102" i="9"/>
  <c r="D21" i="9"/>
  <c r="D22" i="9"/>
  <c r="G19" i="9"/>
  <c r="C103"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35" i="9" s="1"/>
  <c r="C34" i="9" s="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D122" i="9" l="1"/>
  <c r="M49" i="9"/>
  <c r="Q49" i="9" s="1"/>
  <c r="H108" i="9"/>
  <c r="D13" i="53"/>
  <c r="D7" i="53"/>
  <c r="B21" i="72" s="1"/>
  <c r="C5" i="74"/>
  <c r="D6" i="53"/>
  <c r="B22" i="72" s="1"/>
  <c r="B20" i="72"/>
  <c r="D52" i="9"/>
  <c r="C78" i="9"/>
  <c r="C73" i="9" s="1"/>
  <c r="C93" i="9"/>
  <c r="C86" i="9" s="1"/>
  <c r="D53" i="9"/>
  <c r="D55" i="9"/>
  <c r="M53" i="9" s="1"/>
  <c r="Q53" i="9" s="1"/>
  <c r="C72" i="9"/>
  <c r="C85" i="9"/>
  <c r="C64" i="9"/>
  <c r="C63" i="9" s="1"/>
  <c r="C67" i="9" s="1"/>
  <c r="C79" i="9" l="1"/>
  <c r="C80" i="9" s="1"/>
  <c r="E80" i="9" s="1"/>
  <c r="E81" i="9" s="1"/>
  <c r="C6" i="74"/>
  <c r="D15" i="53"/>
  <c r="B31" i="72" s="1"/>
  <c r="D14" i="53"/>
  <c r="B32" i="72" s="1"/>
  <c r="B30" i="72"/>
  <c r="L64" i="9"/>
  <c r="M64" i="9" s="1"/>
  <c r="L66" i="9"/>
  <c r="M66" i="9" s="1"/>
  <c r="L63" i="9"/>
  <c r="M63" i="9" s="1"/>
  <c r="L65" i="9"/>
  <c r="M65" i="9" s="1"/>
  <c r="L68" i="9"/>
  <c r="M68" i="9" s="1"/>
  <c r="L67" i="9"/>
  <c r="M67" i="9" s="1"/>
  <c r="D59" i="9"/>
  <c r="M55" i="9" s="1"/>
  <c r="C68" i="9"/>
  <c r="D54" i="9" s="1"/>
  <c r="D48" i="9" s="1"/>
  <c r="M52" i="9" s="1"/>
  <c r="C95" i="9"/>
  <c r="D123" i="9"/>
  <c r="D9" i="52" s="1"/>
  <c r="D8" i="52"/>
  <c r="Q52" i="9" l="1"/>
  <c r="Q57" i="9" s="1"/>
  <c r="Q59" i="9" s="1"/>
  <c r="I14" i="74" s="1"/>
  <c r="B8" i="74" s="1"/>
  <c r="M69" i="9"/>
  <c r="N69" i="9" s="1"/>
  <c r="C96" i="9"/>
  <c r="E96" i="9" s="1"/>
  <c r="E97" i="9" s="1"/>
  <c r="C81" i="9"/>
  <c r="C8" i="74" l="1"/>
  <c r="D8"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<sst xmlns="http://schemas.openxmlformats.org/spreadsheetml/2006/main" count="7923" uniqueCount="3456">
  <si>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</si>
  <si>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</si>
  <si>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</si>
  <si>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</si>
  <si>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</si>
  <si>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</si>
  <si>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</si>
  <si>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</si>
  <si>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</si>
  <si>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</si>
  <si>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</si>
  <si>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</si>
  <si>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</si>
  <si>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</si>
  <si>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</si>
  <si>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</si>
  <si>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</si>
  <si>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</si>
  <si>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</si>
  <si>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</si>
  <si>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</si>
  <si>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</si>
  <si>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</si>
  <si>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</si>
  <si>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</si>
  <si>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</si>
  <si>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</si>
  <si>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</si>
  <si>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</si>
  <si>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</si>
  <si>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</si>
  <si>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</si>
  <si>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</si>
  <si>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</si>
  <si>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</si>
  <si>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</si>
  <si>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</si>
  <si>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</si>
  <si>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</si>
  <si>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</si>
  <si>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</si>
  <si>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</si>
  <si>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</si>
  <si>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</si>
  <si>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</si>
  <si>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</si>
  <si>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</si>
  <si>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</si>
  <si>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</si>
  <si>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</si>
  <si>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</si>
  <si>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</si>
  <si>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</si>
  <si>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</si>
  <si>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</si>
  <si>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</si>
  <si>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</si>
  <si>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</si>
  <si>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</si>
  <si>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</si>
  <si>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</si>
  <si>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</si>
  <si>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</si>
  <si>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</si>
  <si>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</si>
  <si>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</si>
  <si>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</si>
  <si>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</si>
  <si>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</si>
  <si>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</si>
  <si>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</si>
  <si>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</si>
  <si>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</si>
  <si>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</si>
  <si>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</si>
  <si>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</si>
  <si>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</si>
  <si>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</si>
  <si>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</si>
  <si>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</si>
  <si>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</si>
  <si>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</si>
  <si>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</si>
  <si>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</si>
  <si>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</si>
  <si>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</si>
  <si>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</si>
  <si>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</si>
  <si>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</si>
  <si>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</si>
  <si>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</si>
  <si>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</si>
  <si>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</si>
  <si>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</si>
  <si>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</si>
  <si>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</si>
  <si>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</si>
  <si>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</si>
  <si>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</si>
  <si>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</si>
  <si>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</si>
  <si>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</si>
  <si>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</si>
  <si>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</si>
  <si>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</si>
  <si>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</si>
  <si>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</si>
  <si>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</si>
  <si>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</si>
  <si>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</si>
  <si>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</si>
  <si>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</si>
  <si>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</si>
  <si>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</si>
  <si>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</si>
  <si>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</si>
  <si>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</si>
  <si>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</si>
  <si>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</si>
  <si>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</si>
  <si>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</si>
  <si>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</si>
  <si>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</si>
  <si>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</si>
  <si>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</si>
  <si>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</si>
  <si>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</si>
  <si>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</si>
  <si>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</si>
  <si>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</si>
  <si>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</si>
  <si>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</si>
  <si>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</si>
  <si>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</si>
  <si>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</si>
  <si>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</si>
  <si>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</si>
  <si>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</si>
  <si>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</si>
  <si>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</si>
  <si>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</si>
  <si>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</si>
  <si>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</si>
  <si>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</si>
  <si>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</si>
  <si>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</si>
  <si>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</si>
  <si>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</si>
  <si>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</si>
  <si>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</si>
  <si>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</si>
  <si>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</si>
  <si>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</si>
  <si>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</si>
  <si>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</si>
  <si>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</si>
  <si>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</si>
  <si>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</si>
  <si>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</si>
  <si>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</si>
  <si>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</si>
  <si>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</si>
  <si>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</si>
  <si>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</si>
  <si>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</si>
  <si>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</si>
  <si>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</si>
  <si>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</si>
  <si>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</si>
  <si>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</si>
  <si>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</si>
  <si>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</si>
  <si>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</si>
  <si>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</si>
  <si>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</si>
  <si>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</si>
  <si>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</si>
  <si>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</si>
  <si>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</si>
  <si>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</si>
  <si>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</si>
  <si>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</si>
  <si>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</si>
  <si>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</si>
  <si>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</si>
  <si>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</si>
  <si>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</si>
  <si>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</si>
  <si>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</si>
  <si>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</si>
  <si>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</si>
  <si>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</si>
  <si>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</si>
  <si>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</si>
  <si>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</si>
  <si>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</si>
  <si>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</si>
  <si>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</si>
  <si>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</si>
  <si>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</si>
  <si>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</si>
  <si>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</si>
  <si>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</si>
  <si>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</si>
  <si>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</si>
  <si>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</si>
  <si>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</si>
  <si>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</si>
  <si>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</si>
  <si>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</si>
  <si>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</si>
  <si>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</si>
  <si>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</si>
  <si>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</si>
  <si>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</si>
  <si>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</si>
  <si>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</si>
  <si>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</si>
  <si>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</si>
  <si>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</si>
  <si>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</si>
  <si>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</si>
  <si>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</si>
  <si>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</si>
  <si>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</si>
  <si>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</si>
  <si>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</si>
  <si>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</si>
  <si>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</si>
  <si>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</si>
  <si>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</si>
  <si>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</si>
  <si>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</si>
  <si>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</si>
  <si>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</si>
  <si>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</si>
  <si>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</si>
  <si>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</si>
  <si>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</si>
  <si>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</si>
  <si>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</si>
  <si>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</si>
  <si>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</si>
  <si>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</si>
  <si>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</si>
  <si>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</si>
  <si>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</si>
  <si>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</si>
  <si>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</si>
  <si>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</si>
  <si>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</si>
  <si>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</si>
  <si>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</si>
  <si>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</si>
  <si>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</si>
  <si>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</si>
  <si>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</si>
  <si>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</si>
  <si>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</si>
  <si>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</si>
  <si>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</si>
  <si>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</si>
  <si>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</si>
  <si>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</si>
  <si>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</si>
  <si>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</si>
  <si>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</si>
  <si>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</si>
  <si>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</si>
  <si>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</si>
  <si>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</si>
  <si>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</si>
  <si>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</si>
  <si>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</si>
  <si>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</si>
  <si>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</si>
  <si>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</si>
  <si>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</si>
  <si>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</si>
  <si>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</si>
  <si>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</si>
  <si>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</si>
  <si>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</si>
  <si>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</si>
  <si>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</si>
  <si>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</si>
  <si>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</si>
  <si>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</si>
  <si>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</si>
  <si>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</si>
  <si>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</si>
  <si>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</si>
  <si>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</si>
  <si>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</si>
  <si>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</si>
  <si>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</si>
  <si>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</si>
  <si>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</si>
  <si>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</si>
  <si>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</si>
  <si>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</si>
  <si>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</si>
  <si>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</si>
  <si>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</si>
  <si>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</si>
  <si>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</si>
  <si>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</si>
  <si>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</si>
  <si>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</si>
  <si>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</si>
  <si>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</si>
  <si>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</si>
  <si>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</si>
  <si>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</si>
  <si>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</si>
  <si>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</si>
  <si>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</si>
  <si>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</si>
  <si>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</si>
  <si>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</si>
  <si>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</si>
  <si>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</si>
  <si>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</si>
  <si>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</si>
  <si>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</si>
  <si>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</si>
  <si>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</si>
  <si>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</si>
  <si>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</si>
  <si>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</si>
  <si>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</si>
  <si>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</si>
  <si>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</si>
  <si>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</si>
  <si>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</si>
  <si>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</si>
  <si>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</si>
  <si>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</si>
  <si>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</si>
  <si>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</si>
  <si>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</si>
  <si>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</si>
  <si>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</si>
  <si>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</si>
  <si>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</si>
  <si>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</si>
  <si>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</si>
  <si>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</si>
  <si>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</si>
  <si>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</si>
  <si>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</si>
  <si>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</si>
  <si>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</si>
  <si>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</si>
  <si>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</si>
  <si>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</si>
  <si>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</si>
  <si>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</si>
  <si>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</si>
  <si>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</si>
  <si>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</si>
  <si>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</si>
  <si>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</si>
  <si>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</si>
  <si>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</si>
  <si>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</si>
  <si>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</si>
  <si>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</si>
  <si>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</si>
  <si>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</si>
  <si>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</si>
  <si>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</si>
  <si>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</si>
  <si>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</si>
  <si>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</si>
  <si>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</si>
  <si>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</si>
  <si>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</si>
  <si>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</si>
  <si>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</si>
  <si>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</si>
  <si>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</si>
  <si>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</si>
  <si>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</si>
  <si>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</si>
  <si>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</si>
  <si>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</si>
  <si>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</si>
  <si>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</si>
  <si>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</si>
  <si>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</si>
  <si>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</si>
  <si>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</si>
  <si>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</si>
  <si>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</si>
  <si>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</si>
  <si>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</si>
  <si>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</si>
  <si>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</si>
  <si>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</si>
  <si>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</si>
  <si>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</si>
  <si>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</si>
  <si>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</si>
  <si>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</si>
  <si>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</si>
  <si>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</si>
  <si>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</si>
  <si>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</si>
  <si>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</si>
  <si>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</si>
  <si>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</si>
  <si>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</si>
  <si>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</si>
  <si>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</si>
  <si>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</si>
  <si>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</si>
  <si>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</si>
  <si>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</si>
  <si>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</si>
  <si>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</si>
  <si>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</si>
  <si>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</si>
  <si>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</si>
  <si>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</si>
  <si>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</si>
  <si>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</si>
  <si>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</si>
  <si>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</si>
  <si>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</si>
  <si>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</si>
  <si>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</si>
  <si>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</si>
  <si>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</si>
  <si>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</si>
  <si>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</si>
  <si>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</si>
  <si>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</si>
  <si>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</si>
  <si>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</si>
  <si>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</si>
  <si>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</si>
  <si>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</si>
  <si>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</si>
  <si>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</si>
  <si>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</si>
  <si>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</si>
  <si>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</si>
  <si>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</si>
  <si>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</si>
  <si>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</si>
  <si>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</si>
  <si>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</si>
  <si>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</si>
  <si>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</si>
  <si>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</si>
  <si>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</si>
  <si>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</si>
  <si>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</si>
  <si>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</si>
  <si>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</si>
  <si>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</si>
  <si>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</si>
  <si>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</si>
  <si>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</si>
  <si>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</si>
  <si>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</si>
  <si>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</si>
  <si>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</si>
  <si>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</si>
  <si>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</si>
  <si>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</si>
  <si>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</si>
  <si>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</si>
  <si>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</si>
  <si>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</si>
  <si>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</si>
  <si>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</si>
  <si>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</si>
  <si>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</si>
  <si>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</si>
  <si>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</si>
  <si>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</si>
  <si>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</si>
  <si>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</si>
  <si>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</si>
  <si>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</si>
  <si>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</si>
  <si>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</si>
  <si>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</si>
  <si>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</si>
  <si>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</si>
  <si>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</si>
  <si>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</si>
  <si>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</si>
  <si>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</si>
  <si>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</si>
  <si>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</si>
  <si>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</si>
  <si>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</si>
  <si>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</si>
  <si>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</si>
  <si>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</si>
  <si>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</si>
  <si>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</si>
  <si>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</si>
  <si>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</si>
  <si>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</si>
  <si>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</si>
  <si>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</si>
  <si>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</si>
  <si>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</si>
  <si>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</si>
  <si>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</si>
  <si>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</si>
  <si>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</si>
  <si>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</si>
  <si>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</si>
  <si>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</si>
  <si>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</si>
  <si>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</si>
  <si>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</si>
  <si>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</si>
  <si>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</si>
  <si>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</si>
  <si>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</si>
  <si>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</si>
  <si>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</si>
  <si>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</si>
  <si>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</si>
  <si>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</si>
  <si>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</si>
  <si>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</si>
  <si>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</si>
  <si>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</si>
  <si>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</si>
  <si>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</si>
  <si>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</si>
  <si>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</si>
  <si>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</si>
  <si>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</si>
  <si>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</si>
  <si>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</si>
  <si>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</si>
  <si>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</si>
  <si>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</si>
  <si>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</si>
  <si>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</si>
  <si>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</si>
  <si>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</si>
  <si>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</si>
  <si>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</si>
  <si>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</si>
  <si>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</si>
  <si>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</si>
  <si>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</si>
  <si>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</si>
  <si>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</si>
  <si>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</si>
  <si>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</si>
  <si>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</si>
  <si>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</si>
  <si>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</si>
  <si>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</si>
  <si>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</si>
  <si>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</si>
  <si>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</si>
  <si>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</si>
  <si>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</si>
  <si>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</si>
  <si>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</si>
  <si>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</si>
  <si>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</si>
  <si>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</si>
  <si>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</si>
  <si>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</si>
  <si>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</si>
  <si>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</si>
  <si>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</si>
  <si>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</si>
  <si>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</si>
  <si>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</si>
  <si>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</si>
  <si>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</si>
  <si>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</si>
  <si>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</si>
  <si>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</si>
  <si>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</si>
  <si>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</si>
  <si>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</si>
  <si>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</si>
  <si>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</si>
  <si>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</si>
  <si>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</si>
  <si>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</si>
  <si>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</si>
  <si>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</si>
  <si>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</si>
  <si>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</si>
  <si>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</si>
  <si>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</si>
  <si>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</si>
  <si>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</si>
  <si>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</si>
  <si>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</si>
  <si>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</si>
  <si>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</si>
  <si>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</si>
  <si>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</si>
  <si>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</si>
  <si>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</si>
  <si>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</si>
  <si>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</si>
  <si>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</si>
  <si>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</si>
  <si>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</si>
  <si>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</si>
  <si>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</si>
  <si>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</si>
  <si>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</si>
  <si>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</si>
  <si>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</si>
  <si>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</si>
  <si>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</si>
  <si>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</si>
  <si>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</si>
  <si>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</si>
  <si>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</si>
  <si>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</si>
  <si>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</si>
  <si>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</si>
  <si>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</si>
  <si>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</si>
  <si>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</si>
  <si>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</si>
  <si>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</si>
  <si>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</si>
  <si>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</si>
  <si>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</si>
  <si>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</si>
  <si>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</si>
  <si>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</si>
  <si>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</si>
  <si>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</si>
  <si>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</si>
  <si>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</si>
  <si>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</si>
  <si>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</si>
  <si>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</si>
  <si>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</si>
  <si>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</si>
  <si>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</si>
  <si>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</si>
  <si>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</si>
  <si>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</si>
  <si>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</si>
  <si>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</si>
  <si>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</si>
  <si>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</si>
  <si>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</si>
  <si>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</si>
  <si>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</si>
  <si>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</si>
  <si>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</si>
  <si>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</si>
  <si>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</si>
  <si>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</si>
  <si>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</si>
  <si>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</si>
  <si>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</si>
  <si>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</si>
  <si>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</si>
  <si>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</si>
  <si>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</si>
  <si>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</si>
  <si>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</si>
  <si>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</si>
  <si>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</si>
  <si>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</si>
  <si>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</si>
  <si>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</si>
  <si>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</si>
  <si>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</si>
  <si>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</si>
  <si>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</si>
  <si>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</si>
  <si>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</si>
  <si>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</si>
  <si>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</si>
  <si>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</si>
  <si>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</si>
  <si>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</si>
  <si>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</si>
  <si>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</si>
  <si>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</si>
  <si>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</si>
  <si>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</si>
  <si>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</si>
  <si>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</si>
  <si>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</si>
  <si>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</si>
  <si>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</si>
  <si>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</si>
  <si>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</si>
  <si>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</si>
  <si>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</si>
  <si>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</si>
  <si>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</si>
  <si>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</si>
  <si>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</si>
  <si>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</si>
  <si>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</si>
  <si>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</si>
  <si>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</si>
  <si>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</si>
  <si>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</si>
  <si>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</si>
  <si>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</si>
  <si>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</si>
  <si>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</si>
  <si>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</si>
  <si>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</si>
  <si>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</si>
  <si>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</si>
  <si>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</si>
  <si>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</si>
  <si>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</si>
  <si>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</si>
  <si>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</si>
  <si>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</si>
  <si>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</si>
  <si>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</si>
  <si>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</si>
  <si>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</si>
  <si>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</si>
  <si>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</si>
  <si>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</si>
  <si>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</si>
  <si>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</si>
  <si>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</si>
  <si>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</si>
  <si>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</si>
  <si>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</si>
  <si>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</si>
  <si>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</si>
  <si>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</si>
  <si>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</si>
  <si>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</si>
  <si>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</si>
  <si>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</si>
  <si>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</si>
  <si>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</si>
  <si>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</si>
  <si>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</si>
  <si>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</si>
  <si>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</si>
  <si>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</si>
  <si>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</si>
  <si>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</si>
  <si>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</si>
  <si>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</si>
  <si>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</si>
  <si>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</si>
  <si>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</si>
  <si>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</si>
  <si>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</si>
  <si>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</si>
  <si>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</si>
  <si>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</si>
  <si>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</si>
  <si>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</si>
  <si>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</si>
  <si>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</si>
  <si>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</si>
  <si>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</si>
  <si>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</si>
  <si>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</si>
  <si>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</si>
  <si>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</si>
  <si>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</si>
  <si>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</si>
  <si>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</si>
  <si>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</si>
  <si>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</si>
  <si>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</si>
  <si>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</si>
  <si>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</si>
  <si>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</si>
  <si>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</si>
  <si>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</si>
  <si>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</si>
  <si>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</si>
  <si>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</si>
  <si>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</si>
  <si>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</si>
  <si>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</si>
  <si>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</si>
  <si>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</si>
  <si>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</si>
  <si>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</si>
  <si>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</si>
  <si>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</si>
  <si>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</si>
  <si>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</si>
  <si>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</si>
  <si>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</si>
  <si>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</si>
  <si>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</si>
  <si>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</si>
  <si>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</si>
  <si>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</si>
  <si>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</si>
  <si>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</si>
  <si>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</si>
  <si>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</si>
  <si>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</si>
  <si>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</si>
  <si>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</si>
  <si>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</si>
  <si>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</si>
  <si>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</si>
  <si>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</si>
  <si>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</si>
  <si>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</si>
  <si>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</si>
  <si>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</si>
  <si>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</si>
  <si>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</si>
  <si>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</si>
  <si>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</si>
  <si>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</si>
  <si>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</si>
  <si>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</si>
  <si>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</si>
  <si>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</si>
  <si>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</si>
  <si>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</si>
  <si>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</si>
  <si>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</si>
  <si>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</si>
  <si>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</si>
  <si>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</si>
  <si>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</si>
  <si>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</si>
  <si>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</si>
  <si>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</si>
  <si>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</si>
  <si>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</si>
  <si>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</si>
  <si>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</si>
  <si>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</si>
  <si>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</si>
  <si>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</si>
  <si>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</si>
  <si>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</si>
  <si>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</si>
  <si>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</si>
  <si>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</si>
  <si>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</si>
  <si>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</si>
  <si>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</si>
  <si>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</si>
  <si>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</si>
  <si>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</si>
  <si>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</si>
  <si>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</si>
  <si>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</si>
  <si>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</si>
  <si>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</si>
  <si>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</si>
  <si>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</si>
  <si>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</si>
  <si>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</si>
  <si>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</si>
  <si>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</si>
  <si>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</si>
  <si>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</si>
  <si>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</si>
  <si>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</si>
  <si>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</si>
  <si>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</si>
  <si>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</si>
  <si>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</si>
  <si>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</si>
  <si>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</si>
  <si>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</si>
  <si>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</si>
  <si>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</si>
  <si>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</si>
  <si>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</si>
  <si>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</si>
  <si>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</si>
  <si>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</si>
  <si>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</si>
  <si>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</si>
  <si>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</si>
  <si>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</si>
  <si>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</si>
  <si>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</si>
  <si>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</si>
  <si>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</si>
  <si>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</si>
  <si>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</si>
  <si>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</si>
  <si>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</si>
  <si>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</si>
  <si>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</si>
  <si>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</si>
  <si>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</si>
  <si>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</si>
  <si>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</si>
  <si>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</si>
  <si>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</si>
  <si>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</si>
  <si>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</si>
  <si>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</si>
  <si>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</si>
  <si>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</si>
  <si>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</si>
  <si>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</si>
  <si>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</si>
  <si>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</si>
  <si>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</si>
  <si>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</si>
  <si>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</si>
  <si>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</si>
  <si>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</si>
  <si>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</si>
  <si>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</si>
  <si>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</si>
  <si>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</si>
  <si>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</si>
  <si>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</si>
  <si>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</si>
  <si>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</si>
  <si>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</si>
  <si>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</si>
  <si>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</si>
  <si>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</si>
  <si>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</si>
  <si>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</si>
  <si>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</si>
  <si>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</si>
  <si>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</si>
  <si>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</si>
  <si>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</si>
  <si>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</si>
  <si>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</si>
  <si>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</si>
  <si>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</si>
  <si>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</si>
  <si>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</si>
  <si>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</si>
  <si>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</si>
  <si>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</si>
  <si>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</si>
  <si>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</si>
  <si>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</si>
  <si>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</si>
  <si>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</si>
  <si>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</si>
  <si>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</si>
  <si>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</si>
  <si>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</si>
  <si>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</si>
  <si>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</si>
  <si>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</si>
  <si>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</si>
  <si>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</si>
  <si>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</si>
  <si>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</si>
  <si>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</si>
  <si>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</si>
  <si>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</si>
  <si>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</si>
  <si>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</si>
  <si>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</si>
  <si>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</si>
  <si>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</si>
  <si>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</si>
  <si>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</si>
  <si>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</si>
  <si>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</si>
  <si>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</si>
  <si>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</si>
  <si>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</si>
  <si>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</si>
  <si>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</si>
  <si>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</si>
  <si>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</si>
  <si>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</si>
  <si>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</si>
  <si>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</si>
  <si>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</si>
  <si>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</si>
  <si>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</si>
  <si>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</si>
  <si>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</si>
  <si>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</si>
  <si>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</si>
  <si>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</si>
  <si>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</si>
  <si>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</si>
  <si>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</si>
  <si>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</si>
  <si>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</si>
  <si>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</si>
  <si>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</si>
  <si>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</si>
  <si>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</si>
  <si>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</si>
  <si>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</si>
  <si>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</si>
  <si>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</si>
  <si>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</si>
  <si>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</si>
  <si>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</si>
  <si>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</si>
  <si>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</si>
  <si>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</si>
  <si>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</si>
  <si>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</si>
  <si>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</si>
  <si>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</si>
  <si>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</si>
  <si>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</si>
  <si>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</si>
  <si>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</si>
  <si>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</si>
  <si>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</si>
  <si>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</si>
  <si>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</si>
  <si>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</si>
  <si>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</si>
  <si>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</si>
  <si>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</si>
  <si>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</si>
  <si>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</si>
  <si>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</si>
  <si>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</si>
  <si>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</si>
  <si>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</si>
  <si>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</si>
  <si>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</si>
  <si>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</si>
  <si>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</si>
  <si>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</si>
  <si>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</si>
  <si>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</si>
  <si>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</si>
  <si>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</si>
  <si>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</si>
  <si>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</si>
  <si>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</si>
  <si>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</si>
  <si>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</si>
  <si>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</si>
  <si>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</si>
  <si>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</si>
  <si>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</si>
  <si>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</si>
  <si>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</si>
  <si>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</si>
  <si>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</si>
  <si>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</si>
  <si>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</si>
  <si>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</si>
  <si>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</si>
  <si>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</si>
  <si>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</si>
  <si>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</si>
  <si>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</si>
  <si>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</si>
  <si>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</si>
  <si>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</si>
  <si>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</si>
  <si>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</si>
  <si>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</si>
  <si>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</si>
  <si>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</si>
  <si>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</si>
  <si>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</si>
  <si>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</si>
  <si>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</si>
  <si>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</si>
  <si>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</si>
  <si>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</si>
  <si>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</si>
  <si>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</si>
  <si>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</si>
  <si>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</si>
  <si>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</si>
  <si>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</si>
  <si>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</si>
  <si>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</si>
  <si>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</si>
  <si>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</si>
  <si>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</si>
  <si>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</si>
  <si>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</si>
  <si>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</si>
  <si>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</si>
  <si>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</si>
  <si>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</si>
  <si>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</si>
  <si>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</si>
  <si>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</si>
  <si>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</si>
  <si>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</si>
  <si>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</si>
  <si>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</si>
  <si>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</si>
  <si>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</si>
  <si>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</si>
  <si>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</si>
  <si>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</si>
  <si>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</si>
  <si>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</si>
  <si>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</si>
  <si>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</si>
  <si>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</si>
  <si>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</si>
  <si>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</si>
  <si>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</si>
  <si>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</si>
  <si>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</si>
  <si>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</si>
  <si>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</si>
  <si>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</si>
  <si>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</si>
  <si>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</si>
  <si>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</si>
  <si>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</si>
  <si>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</si>
  <si>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</si>
  <si>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</si>
  <si>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</si>
  <si>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</si>
  <si>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</si>
  <si>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</si>
  <si>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</si>
  <si>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</si>
  <si>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</si>
  <si>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</si>
  <si>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</si>
  <si>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</si>
  <si>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</si>
  <si>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</si>
  <si>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</si>
  <si>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</si>
  <si>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</si>
  <si>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</si>
  <si>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</si>
  <si>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</si>
  <si>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</si>
  <si>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</si>
  <si>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</si>
  <si>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</si>
  <si>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</si>
  <si>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</si>
  <si>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</si>
  <si>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</si>
  <si>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</si>
  <si>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</si>
  <si>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</si>
  <si>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</si>
  <si>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</si>
  <si>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</si>
  <si>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</si>
  <si>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</si>
  <si>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</si>
  <si>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</si>
  <si>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</si>
  <si>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</si>
  <si>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</si>
  <si>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</si>
  <si>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</si>
  <si>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</si>
  <si>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</si>
  <si>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</si>
  <si>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</si>
  <si>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</si>
  <si>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</si>
  <si>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</si>
  <si>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</si>
  <si>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</si>
  <si>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</si>
  <si>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</si>
  <si>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</si>
  <si>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</si>
  <si>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</si>
  <si>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</si>
  <si>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</si>
  <si>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</si>
  <si>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</si>
  <si>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</si>
  <si>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</si>
  <si>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</si>
  <si>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</si>
  <si>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</si>
  <si>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</si>
  <si>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</si>
  <si>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</si>
  <si>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</si>
  <si>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</si>
  <si>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</si>
  <si>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</si>
  <si>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</si>
  <si>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</si>
  <si>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</si>
  <si>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</si>
  <si>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</si>
  <si>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</si>
  <si>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</si>
  <si>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</si>
  <si>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</si>
  <si>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</si>
  <si>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</si>
  <si>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</si>
  <si>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</si>
  <si>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</si>
  <si>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</si>
  <si>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</si>
  <si>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</si>
  <si>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</si>
  <si>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</si>
  <si>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</si>
  <si>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</si>
  <si>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</si>
  <si>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</si>
  <si>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</si>
  <si>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</si>
  <si>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</si>
  <si>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</si>
  <si>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</si>
  <si>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</si>
  <si>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</si>
  <si>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</si>
  <si>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</si>
  <si>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</si>
  <si>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</si>
  <si>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</si>
  <si>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</si>
  <si>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</si>
  <si>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</si>
  <si>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</si>
  <si>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</si>
  <si>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</si>
  <si>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</si>
  <si>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</si>
  <si>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</si>
  <si>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</si>
  <si>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</si>
  <si>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</si>
  <si>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</si>
  <si>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</si>
  <si>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</si>
  <si>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</si>
  <si>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</si>
  <si>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</si>
  <si>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</si>
  <si>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</si>
  <si>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</si>
  <si>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</si>
  <si>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</si>
  <si>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</si>
  <si>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</si>
  <si>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</si>
  <si>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</si>
  <si>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</si>
  <si>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</si>
  <si>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</si>
  <si>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</si>
  <si>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</si>
  <si>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</si>
  <si>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</si>
  <si>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</si>
  <si>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</si>
  <si>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</si>
  <si>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</si>
  <si>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</si>
  <si>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</si>
  <si>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</si>
  <si>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</si>
  <si>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</si>
  <si>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</si>
  <si>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</si>
  <si>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</si>
  <si>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</si>
  <si>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</si>
  <si>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</si>
  <si>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</si>
  <si>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</si>
  <si>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</si>
  <si>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</si>
  <si>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</si>
  <si>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</si>
  <si>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</si>
  <si>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</si>
  <si>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</si>
  <si>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</si>
  <si>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</si>
  <si>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</si>
  <si>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</si>
  <si>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</si>
  <si>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</si>
  <si>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</si>
  <si>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</si>
  <si>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</si>
  <si>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</si>
  <si>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</si>
  <si>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</si>
  <si>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</si>
  <si>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</si>
  <si>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</si>
  <si>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</si>
  <si>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</si>
  <si>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</si>
  <si>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</si>
  <si>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</si>
  <si>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</si>
  <si>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</si>
  <si>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</si>
  <si>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</si>
  <si>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</si>
  <si>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</si>
  <si>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</si>
  <si>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</si>
  <si>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</si>
  <si>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</si>
  <si>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</si>
  <si>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</si>
  <si>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</si>
  <si>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</si>
  <si>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</si>
  <si>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</si>
  <si>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</si>
  <si>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</si>
  <si>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</si>
  <si>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</si>
  <si>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</si>
  <si>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</si>
  <si>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</si>
  <si>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</si>
  <si>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</si>
  <si>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</si>
  <si>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</si>
  <si>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</si>
  <si>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</si>
  <si>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</si>
  <si>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</si>
  <si>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</si>
  <si>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</si>
  <si>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</si>
  <si>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</si>
  <si>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</si>
  <si>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</si>
  <si>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</si>
  <si>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</si>
  <si>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</si>
  <si>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</si>
  <si>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</si>
  <si>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</si>
  <si>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</si>
  <si>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</si>
  <si>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</si>
  <si>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</si>
  <si>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</si>
  <si>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</si>
  <si>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</si>
  <si>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</si>
  <si>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</si>
  <si>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</si>
  <si>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</si>
  <si>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</si>
  <si>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</si>
  <si>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</si>
  <si>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</si>
  <si>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</si>
  <si>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</si>
  <si>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</si>
  <si>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</si>
  <si>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</si>
  <si>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</si>
  <si>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</si>
  <si>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</si>
  <si>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</si>
  <si>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</si>
  <si>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</si>
  <si>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</si>
  <si>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</si>
  <si>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</si>
  <si>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</si>
  <si>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</si>
  <si>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</si>
  <si>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</si>
  <si>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</si>
  <si>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</si>
  <si>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</si>
  <si>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</si>
  <si>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</si>
  <si>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</si>
  <si>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</si>
  <si>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</si>
  <si>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</si>
  <si>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</si>
  <si>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</si>
  <si>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</si>
  <si>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</si>
  <si>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</si>
  <si>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</si>
  <si>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</si>
  <si>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</si>
  <si>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</si>
  <si>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</si>
  <si>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</si>
  <si>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</si>
  <si>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</si>
  <si>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</si>
  <si>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</si>
  <si>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</si>
  <si>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</si>
  <si>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</si>
  <si>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</si>
  <si>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</si>
  <si>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</si>
  <si>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</si>
  <si>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</si>
  <si>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</si>
  <si>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</si>
  <si>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</si>
  <si>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</si>
  <si>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</si>
  <si>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</si>
  <si>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</si>
  <si>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</si>
  <si>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</si>
  <si>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</si>
  <si>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</si>
  <si>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</si>
  <si>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</si>
  <si>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</si>
  <si>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</si>
  <si>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</si>
  <si>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</si>
  <si>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</si>
  <si>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</si>
  <si>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</si>
  <si>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</si>
  <si>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</si>
  <si>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</si>
  <si>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</si>
  <si>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</si>
  <si>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</si>
  <si>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</si>
  <si>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</si>
  <si>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</si>
  <si>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</si>
  <si>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</si>
  <si>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</si>
  <si>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</si>
  <si>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</si>
  <si>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</si>
  <si>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</si>
  <si>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</si>
  <si>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</si>
  <si>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</si>
  <si>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</si>
  <si>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</si>
  <si>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</si>
  <si>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</si>
  <si>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</si>
  <si>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</si>
  <si>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</si>
  <si>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</si>
  <si>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</si>
  <si>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</si>
  <si>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</si>
  <si>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</si>
  <si>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</si>
  <si>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</si>
  <si>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</si>
  <si>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</si>
  <si>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</si>
  <si>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</si>
  <si>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</si>
  <si>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</si>
  <si>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</si>
  <si>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</si>
  <si>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</si>
  <si>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</si>
  <si>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</si>
  <si>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</si>
  <si>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</si>
  <si>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</si>
  <si>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</si>
  <si>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</si>
  <si>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</si>
  <si>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</si>
  <si>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</si>
  <si>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</si>
  <si>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</si>
  <si>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</si>
  <si>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</si>
  <si>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</si>
  <si>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</si>
  <si>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</si>
  <si>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</si>
  <si>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</si>
  <si>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</si>
  <si>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</si>
  <si>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</si>
  <si>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</si>
  <si>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</si>
  <si>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</si>
  <si>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</si>
  <si>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</si>
  <si>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</si>
  <si>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</si>
  <si>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</si>
  <si>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</si>
  <si>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</si>
  <si>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</si>
  <si>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</si>
  <si>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</si>
  <si>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</si>
  <si>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</si>
  <si>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</si>
  <si>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</si>
  <si>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</si>
  <si>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</si>
  <si>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</si>
  <si>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</si>
  <si>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</si>
  <si>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</si>
  <si>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</si>
  <si>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</si>
  <si>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</si>
  <si>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</si>
  <si>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</si>
  <si>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</si>
  <si>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</si>
  <si>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</si>
  <si>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</si>
  <si>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</si>
  <si>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</si>
  <si>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</si>
  <si>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</si>
  <si>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</si>
  <si>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</si>
  <si>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</si>
  <si>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</si>
  <si>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</si>
  <si>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</si>
  <si>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</si>
  <si>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</si>
  <si>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</si>
  <si>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</si>
  <si>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</si>
  <si>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</si>
  <si>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</si>
  <si>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</si>
  <si>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</si>
  <si>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</si>
  <si>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</si>
  <si>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</si>
  <si>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</si>
  <si>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</si>
  <si>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</si>
  <si>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</si>
  <si>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</si>
  <si>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</si>
  <si>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</si>
  <si>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</si>
  <si>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</si>
  <si>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</si>
  <si>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</si>
  <si>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</si>
  <si>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</si>
  <si>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</si>
  <si>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</si>
  <si>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</si>
  <si>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</si>
  <si>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</si>
  <si>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</si>
  <si>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</si>
  <si>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</si>
  <si>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</si>
  <si>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</si>
  <si>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</si>
  <si>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</si>
  <si>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</si>
  <si>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</si>
  <si>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</si>
  <si>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</si>
  <si>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</si>
  <si>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</si>
  <si>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</si>
  <si>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</si>
  <si>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</si>
  <si>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</si>
  <si>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</si>
  <si>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</si>
  <si>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</si>
  <si>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</si>
  <si>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</si>
  <si>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</si>
  <si>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</si>
  <si>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</si>
  <si>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</si>
  <si>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</si>
  <si>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</si>
  <si>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</si>
  <si>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</si>
  <si>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</si>
  <si>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</si>
  <si>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</si>
  <si>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</si>
  <si>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</si>
  <si>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</si>
  <si>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</si>
  <si>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</si>
  <si>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</si>
  <si>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</si>
  <si>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</si>
  <si>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</si>
  <si>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</si>
  <si>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</si>
  <si>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</si>
  <si>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</si>
  <si>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</si>
  <si>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</si>
  <si>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</si>
  <si>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</si>
  <si>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</si>
  <si>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</si>
  <si>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</si>
  <si>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</si>
  <si>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</si>
  <si>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</si>
  <si>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</si>
  <si>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</si>
  <si>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</si>
  <si>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</si>
  <si>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</si>
  <si>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</si>
  <si>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</si>
  <si>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</si>
  <si>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</si>
  <si>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</si>
  <si>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</si>
  <si>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</si>
  <si>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</si>
  <si>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</si>
  <si>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</si>
  <si>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</si>
  <si>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</si>
  <si>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</si>
  <si>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</si>
  <si>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</si>
  <si>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</si>
  <si>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</si>
  <si>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</si>
  <si>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</si>
  <si>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</si>
  <si>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</si>
  <si>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</si>
  <si>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</si>
  <si>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</si>
  <si>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</si>
  <si>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</si>
  <si>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</si>
  <si>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</si>
  <si>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</si>
  <si>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</si>
  <si>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</si>
  <si>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</si>
  <si>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</si>
  <si>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</si>
  <si>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</si>
  <si>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</si>
  <si>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</si>
  <si>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</si>
  <si>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</si>
  <si>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</si>
  <si>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</si>
  <si>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</si>
  <si>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</si>
  <si>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</si>
  <si>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</si>
  <si>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</si>
  <si>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</si>
  <si>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</si>
  <si>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</si>
  <si>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</si>
  <si>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</si>
  <si>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</si>
  <si>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</si>
  <si>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</si>
  <si>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</si>
  <si>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</si>
  <si>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</si>
  <si>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</si>
  <si>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</si>
  <si>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</si>
  <si>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</si>
  <si>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</si>
  <si>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</si>
  <si>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</si>
  <si>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</si>
  <si>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</si>
  <si>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</si>
  <si>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</si>
  <si>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</si>
  <si>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</si>
  <si>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</si>
  <si>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</si>
  <si>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</si>
  <si>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</si>
  <si>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</si>
  <si>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</si>
  <si>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</si>
  <si>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</si>
  <si>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</si>
  <si>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</si>
  <si>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</si>
  <si>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</si>
  <si>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</si>
  <si>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</si>
  <si>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</si>
  <si>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</si>
  <si>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</si>
  <si>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</si>
  <si>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</si>
  <si>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</si>
  <si>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</si>
  <si>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</si>
  <si>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</si>
  <si>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</si>
  <si>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</si>
  <si>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</si>
  <si>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</si>
  <si>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</si>
  <si>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</si>
  <si>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</si>
  <si>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</si>
  <si>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</si>
  <si>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</si>
  <si>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</si>
  <si>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</si>
  <si>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</si>
  <si>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</si>
  <si>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</si>
  <si>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</si>
  <si>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</si>
  <si>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</si>
  <si>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</si>
  <si>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</si>
  <si>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</si>
  <si>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</si>
  <si>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</si>
  <si>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</si>
  <si>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</si>
  <si>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</si>
  <si>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</si>
  <si>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</si>
  <si>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</si>
  <si>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</si>
  <si>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</si>
  <si>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</si>
  <si>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</si>
  <si>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</si>
  <si>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</si>
  <si>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</si>
  <si>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</si>
  <si>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</si>
  <si>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</si>
  <si>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</si>
  <si>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</si>
  <si>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</si>
  <si>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</si>
  <si>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</si>
  <si>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</si>
  <si>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</si>
  <si>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</si>
  <si>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</si>
  <si>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</si>
  <si>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</si>
  <si>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</si>
  <si>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</si>
  <si>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</si>
  <si>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</si>
  <si>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</si>
  <si>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</si>
  <si>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</si>
  <si>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</si>
  <si>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</si>
  <si>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</si>
  <si>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</si>
  <si>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</si>
  <si>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</si>
  <si>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</si>
  <si>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</si>
  <si>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</si>
  <si>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</si>
  <si>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</si>
  <si>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</si>
  <si>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</si>
  <si>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</si>
  <si>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</si>
  <si>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</si>
  <si>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</si>
  <si>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</si>
  <si>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</si>
  <si>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</si>
  <si>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</si>
  <si>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</si>
  <si>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</si>
  <si>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</si>
  <si>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</si>
  <si>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</si>
  <si>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</si>
  <si>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</si>
  <si>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</si>
  <si>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</si>
  <si>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</si>
  <si>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</si>
  <si>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</si>
  <si>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</si>
  <si>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</si>
  <si>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</si>
  <si>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</si>
  <si>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</si>
  <si>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</si>
  <si>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</si>
  <si>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</si>
  <si>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</si>
  <si>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</si>
  <si>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</si>
  <si>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</si>
  <si>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</si>
  <si>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</si>
  <si>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</si>
  <si>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</si>
  <si>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</si>
  <si>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</si>
  <si>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</si>
  <si>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</si>
  <si>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</si>
  <si>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</si>
  <si>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</si>
  <si>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</si>
  <si>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</si>
  <si>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</si>
  <si>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</si>
  <si>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</si>
  <si>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</si>
  <si>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</si>
  <si>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</si>
  <si>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</si>
  <si>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</si>
  <si>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</si>
  <si>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</si>
  <si>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</si>
  <si>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</si>
  <si>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</si>
  <si>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</si>
  <si>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</si>
  <si>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</si>
  <si>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</si>
  <si>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</si>
  <si>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</si>
  <si>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</si>
  <si>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</si>
  <si>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</si>
  <si>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</si>
  <si>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</si>
  <si>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</si>
  <si>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</si>
  <si>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</si>
  <si>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</si>
  <si>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</si>
  <si>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</si>
  <si>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</si>
  <si>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</si>
  <si>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</si>
  <si>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</si>
  <si>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</si>
  <si>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</si>
  <si>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</si>
  <si>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</si>
  <si>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</si>
  <si>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</si>
  <si>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</si>
  <si>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</si>
  <si>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</si>
  <si>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</si>
  <si>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</si>
  <si>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</si>
  <si>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</si>
  <si>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</si>
  <si>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</si>
  <si>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</si>
  <si>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</si>
  <si>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</si>
  <si>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</si>
  <si>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</si>
  <si>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</si>
  <si>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</si>
  <si>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</si>
  <si>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</si>
  <si>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</si>
  <si>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</si>
  <si>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</si>
  <si>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</si>
  <si>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</si>
  <si>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</si>
  <si>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</si>
  <si>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</si>
  <si>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</si>
  <si>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</si>
  <si>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</si>
  <si>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</si>
  <si>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</si>
  <si>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</si>
  <si>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</si>
  <si>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</si>
  <si>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</si>
  <si>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</si>
  <si>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</si>
  <si>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</si>
  <si>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</si>
  <si>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</si>
  <si>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</si>
  <si>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</si>
  <si>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</si>
  <si>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</si>
  <si>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</si>
  <si>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</si>
  <si>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</si>
  <si>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</si>
  <si>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</si>
  <si>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</si>
  <si>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</si>
  <si>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</si>
  <si>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</si>
  <si>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</si>
  <si>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</si>
  <si>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</si>
  <si>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</si>
  <si>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</si>
  <si>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</si>
  <si>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</si>
  <si>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</si>
  <si>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</si>
  <si>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</si>
  <si>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</si>
  <si>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</si>
  <si>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</si>
  <si>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</si>
  <si>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</si>
  <si>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</si>
  <si>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</si>
  <si>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</si>
  <si>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</si>
  <si>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</si>
  <si>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</si>
  <si>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</si>
  <si>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</si>
  <si>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</si>
  <si>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</si>
  <si>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</si>
  <si>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</si>
  <si>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</si>
  <si>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</si>
  <si>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</si>
  <si>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</si>
  <si>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</si>
  <si>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</si>
  <si>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</si>
  <si>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</si>
  <si>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</si>
  <si>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</si>
  <si>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</si>
  <si>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</si>
  <si>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</si>
  <si>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</si>
  <si>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</si>
  <si>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</si>
  <si>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</si>
  <si>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</si>
  <si>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</si>
  <si>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</si>
  <si>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</si>
  <si>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</si>
  <si>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</si>
  <si>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</si>
  <si>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</si>
  <si>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</si>
  <si>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</si>
  <si>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</si>
  <si>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</si>
  <si>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</si>
  <si>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</si>
  <si>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</si>
  <si>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</si>
  <si>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</si>
  <si>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</si>
  <si>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</si>
  <si>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</si>
  <si>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</si>
  <si>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</si>
  <si>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</si>
  <si>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</si>
  <si>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</si>
  <si>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</si>
  <si>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</si>
  <si>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</si>
  <si>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</si>
  <si>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</si>
  <si>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</si>
  <si>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</si>
  <si>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</si>
  <si>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</si>
  <si>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</si>
  <si>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</si>
  <si>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</si>
  <si>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</si>
  <si>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</si>
  <si>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</si>
  <si>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</si>
  <si>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</si>
  <si>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</si>
  <si>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</si>
  <si>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</si>
  <si>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</si>
  <si>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</si>
  <si>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</si>
  <si>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</si>
  <si>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</si>
  <si>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</si>
  <si>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</si>
  <si>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</si>
  <si>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</si>
  <si>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</si>
  <si>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</si>
  <si>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</si>
  <si>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</si>
  <si>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</si>
  <si>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</si>
  <si>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</si>
  <si>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</si>
  <si>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</si>
  <si>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</si>
  <si>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</si>
  <si>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</si>
  <si>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</si>
  <si>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</si>
  <si>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</si>
  <si>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</si>
  <si>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</si>
  <si>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</si>
  <si>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</si>
  <si>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</si>
  <si>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</si>
  <si>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</si>
  <si>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</si>
  <si>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</si>
  <si>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</si>
  <si>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</si>
  <si>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</si>
  <si>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</si>
  <si>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</si>
  <si>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</si>
  <si>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</si>
  <si>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</si>
  <si>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</si>
  <si>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</si>
  <si>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</si>
  <si>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</si>
  <si>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</si>
  <si>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</si>
  <si>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</si>
  <si>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</si>
  <si>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</si>
  <si>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</si>
  <si>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</si>
  <si>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</si>
  <si>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</si>
  <si>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</si>
  <si>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</si>
  <si>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</si>
  <si>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</si>
  <si>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</si>
  <si>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</si>
  <si>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</si>
  <si>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</si>
  <si>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</si>
  <si>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</si>
  <si>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</si>
  <si>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</si>
  <si>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</si>
  <si>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</si>
  <si>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</si>
  <si>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</si>
  <si>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</si>
  <si>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</si>
  <si>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</si>
  <si>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</si>
  <si>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</si>
  <si>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</si>
  <si>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</si>
  <si>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</si>
  <si>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</si>
  <si>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</si>
  <si>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</si>
  <si>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</si>
  <si>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</si>
  <si>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</si>
  <si>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</si>
  <si>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</si>
  <si>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</si>
  <si>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</si>
  <si>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</si>
  <si>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</si>
  <si>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</si>
  <si>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</si>
  <si>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</si>
  <si>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</si>
  <si>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</si>
  <si>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</si>
  <si>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</si>
  <si>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</si>
  <si>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</si>
  <si>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</si>
  <si>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</si>
  <si>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</si>
  <si>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</si>
  <si>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</si>
  <si>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</si>
  <si>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</si>
  <si>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</si>
  <si>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</si>
  <si>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</si>
  <si>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</si>
  <si>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</si>
  <si>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</si>
  <si>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</si>
  <si>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</si>
  <si>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</si>
  <si>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</si>
  <si>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</si>
  <si>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</si>
  <si>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</si>
  <si>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</si>
  <si>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</si>
  <si>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</si>
  <si>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</si>
  <si>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</si>
  <si>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</si>
  <si>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</si>
  <si>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</si>
  <si>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</si>
  <si>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</si>
  <si>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</si>
  <si>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</si>
  <si>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</si>
  <si>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</si>
  <si>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</si>
  <si>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</si>
  <si>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</si>
  <si>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</si>
  <si>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</si>
  <si>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</si>
  <si>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</si>
  <si>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</si>
  <si>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</si>
  <si>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</si>
  <si>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</si>
  <si>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</si>
  <si>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</si>
  <si>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</si>
  <si>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</si>
  <si>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</si>
  <si>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</si>
  <si>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</si>
  <si>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</si>
  <si>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</si>
  <si>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</si>
  <si>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</si>
  <si>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</si>
  <si>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</si>
  <si>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</si>
  <si>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</si>
  <si>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</si>
  <si>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</si>
  <si>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</si>
  <si>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</si>
  <si>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</si>
  <si>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</si>
  <si>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</si>
  <si>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</si>
  <si>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</si>
  <si>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</si>
  <si>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</si>
  <si>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</si>
  <si>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</si>
  <si>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</si>
  <si>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</si>
  <si>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</si>
  <si>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</si>
  <si>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</si>
  <si>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</si>
  <si>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</si>
  <si>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</si>
  <si>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</si>
  <si>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</si>
  <si>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</si>
  <si>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</si>
  <si>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</si>
  <si>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</si>
  <si>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</si>
  <si>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</si>
  <si>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</si>
  <si>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</si>
  <si>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</si>
  <si>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</si>
  <si>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</si>
  <si>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</si>
  <si>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</si>
  <si>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</si>
  <si>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</si>
  <si>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</si>
  <si>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</si>
  <si>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</si>
  <si>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</si>
  <si>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</si>
  <si>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</si>
  <si>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</si>
  <si>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</si>
  <si>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</si>
  <si>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</si>
  <si>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</si>
  <si>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</si>
  <si>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</si>
  <si>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</si>
  <si>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</si>
  <si>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</si>
  <si>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</si>
  <si>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</si>
  <si>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</si>
  <si>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</si>
  <si>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</si>
  <si>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</si>
  <si>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</si>
  <si>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</si>
  <si>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</si>
  <si>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</si>
  <si>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</si>
  <si>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</si>
  <si>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</si>
  <si>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</si>
  <si>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</si>
  <si>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</si>
  <si>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</si>
  <si>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</si>
  <si>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</si>
  <si>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</si>
  <si>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</si>
  <si>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</si>
  <si>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</si>
  <si>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</si>
  <si>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</si>
  <si>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</si>
  <si>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</si>
  <si>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</si>
  <si>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</si>
  <si>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</si>
  <si>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</si>
  <si>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</si>
  <si>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</si>
  <si>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</si>
  <si>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</si>
  <si>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</si>
  <si>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</si>
  <si>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</si>
  <si>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</si>
  <si>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</si>
  <si>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</si>
  <si>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</si>
  <si>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</si>
  <si>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</si>
  <si>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</si>
  <si>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</si>
  <si>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</si>
  <si>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</si>
  <si>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</si>
  <si>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</si>
  <si>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</si>
  <si>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</si>
  <si>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</si>
  <si>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</si>
  <si>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</si>
  <si>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</si>
  <si>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</si>
  <si>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</si>
  <si>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</si>
  <si>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</si>
  <si>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</si>
  <si>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</si>
  <si>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</si>
  <si>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</si>
  <si>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</si>
  <si>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</si>
  <si>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</si>
  <si>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</si>
  <si>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</si>
  <si>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</si>
  <si>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</si>
  <si>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</si>
  <si>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</si>
  <si>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</si>
  <si>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</si>
  <si>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</si>
  <si>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</si>
  <si>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</si>
  <si>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</si>
  <si>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</si>
  <si>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</si>
  <si>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</si>
  <si>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</si>
  <si>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</si>
  <si>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</si>
  <si>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</si>
  <si>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</si>
  <si>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</si>
  <si>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</si>
  <si>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</si>
  <si>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</si>
  <si>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</si>
  <si>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</si>
  <si>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</si>
  <si>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</si>
  <si>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</si>
  <si>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</si>
  <si>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</si>
  <si>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</si>
  <si>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</si>
  <si>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</si>
  <si>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</si>
  <si>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</si>
  <si>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</si>
  <si>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</si>
  <si>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</si>
  <si>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</si>
  <si>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</si>
  <si>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</si>
  <si>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</si>
  <si>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</si>
  <si>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</si>
  <si>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</si>
  <si>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</si>
  <si>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</si>
  <si>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</si>
  <si>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</si>
  <si>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</si>
  <si>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</si>
  <si>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</si>
  <si>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</si>
  <si>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</si>
  <si>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</si>
  <si>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</si>
  <si>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</si>
  <si>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</si>
  <si>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</si>
  <si>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</si>
  <si>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</si>
  <si>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</si>
  <si>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</si>
  <si>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</si>
  <si>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</si>
  <si>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</si>
  <si>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</si>
  <si>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</si>
  <si>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</si>
  <si>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</si>
  <si>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</si>
  <si>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</si>
  <si>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</si>
  <si>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</si>
  <si>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</si>
  <si>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</si>
  <si>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</si>
  <si>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</si>
  <si>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</si>
  <si>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</si>
  <si>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</si>
  <si>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</si>
  <si>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</si>
  <si>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</si>
  <si>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</si>
  <si>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</si>
  <si>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</si>
  <si>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</si>
  <si>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</si>
  <si>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</si>
  <si>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</si>
  <si>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</si>
  <si>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</si>
  <si>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</si>
  <si>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</si>
  <si>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</si>
  <si>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</si>
  <si>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</si>
  <si>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</si>
  <si>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</si>
  <si>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</si>
  <si>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</si>
  <si>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</si>
  <si>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</si>
  <si>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</si>
  <si>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</si>
  <si>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</si>
  <si>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</si>
  <si>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</si>
  <si>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</si>
  <si>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</si>
  <si>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</si>
  <si>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</si>
  <si>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</si>
  <si>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</si>
  <si>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</si>
  <si>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</si>
  <si>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</si>
  <si>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</si>
  <si>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</si>
  <si>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</si>
  <si>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</si>
  <si>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</si>
  <si>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</si>
  <si>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</si>
  <si>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</si>
  <si>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</si>
  <si>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</si>
  <si>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</si>
  <si>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</si>
  <si>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</si>
  <si>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</si>
  <si>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</si>
  <si>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</si>
  <si>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</si>
  <si>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</si>
  <si>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</si>
  <si>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</si>
  <si>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</si>
  <si>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</si>
  <si>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</si>
  <si>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</si>
  <si>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</si>
  <si>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</si>
  <si>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</si>
  <si>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</si>
  <si>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</si>
  <si>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</si>
  <si>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</si>
  <si>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</si>
  <si>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</si>
  <si>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</si>
  <si>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</si>
  <si>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</si>
  <si>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</si>
  <si>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</si>
  <si>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</si>
  <si>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</si>
  <si>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</si>
  <si>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</si>
  <si>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</si>
  <si>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</si>
  <si>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</si>
  <si>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</si>
  <si>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</si>
  <si>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</si>
  <si>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</si>
  <si>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</si>
  <si>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</si>
  <si>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</si>
  <si>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</si>
  <si>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</si>
  <si>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</si>
  <si>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</si>
  <si>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</si>
  <si>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</si>
  <si>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</si>
  <si>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</si>
  <si>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</si>
  <si>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</si>
  <si>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</si>
  <si>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</si>
  <si>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</si>
  <si>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</si>
  <si>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</si>
  <si>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</si>
  <si>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</si>
  <si>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</si>
  <si>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</si>
  <si>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</si>
  <si>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</si>
  <si>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</si>
  <si>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</si>
  <si>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</si>
  <si>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</si>
  <si>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</si>
  <si>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</si>
  <si>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</si>
  <si>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</si>
  <si>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</si>
  <si>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</si>
  <si>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</si>
  <si>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</si>
  <si>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</si>
  <si>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</si>
  <si>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</si>
  <si>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</si>
  <si>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</si>
  <si>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</si>
  <si>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</si>
  <si>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</si>
  <si>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</si>
  <si>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</si>
  <si>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</si>
  <si>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</si>
  <si>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</si>
  <si>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</si>
  <si>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</si>
  <si>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</si>
  <si>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</si>
  <si>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</si>
  <si>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</si>
  <si>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</si>
  <si>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</si>
  <si>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</si>
  <si>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</si>
  <si>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</si>
  <si>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</si>
  <si>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</si>
  <si>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</si>
  <si>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</si>
  <si>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</si>
  <si>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</si>
  <si>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</si>
  <si>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</si>
  <si>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</si>
  <si>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</si>
  <si>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</si>
  <si>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</si>
  <si>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</si>
  <si>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</si>
  <si>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</si>
  <si>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</si>
  <si>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</si>
  <si>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</si>
  <si>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</si>
  <si>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</si>
  <si>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</si>
  <si>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</si>
  <si>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</si>
  <si>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</si>
  <si>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</si>
  <si>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</si>
  <si>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</si>
  <si>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</si>
  <si>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</si>
  <si>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</si>
  <si>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</si>
  <si>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</si>
  <si>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</si>
  <si>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</si>
  <si>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</si>
  <si>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</si>
  <si>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</si>
  <si>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</si>
  <si>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</si>
  <si>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</si>
  <si>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</si>
  <si>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</si>
  <si>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</si>
  <si>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</si>
  <si>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</si>
  <si>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</si>
  <si>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</si>
  <si>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</si>
  <si>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</si>
  <si>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</si>
  <si>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</si>
  <si>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</si>
  <si>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</si>
  <si>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</si>
  <si>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</si>
  <si>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</si>
  <si>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</si>
  <si>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</si>
  <si>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</si>
  <si>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</si>
  <si>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</si>
  <si>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</si>
  <si>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</si>
  <si>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</si>
  <si>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</si>
  <si>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</si>
  <si>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</si>
  <si>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</si>
  <si>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</si>
  <si>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</si>
  <si>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</si>
  <si>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</si>
  <si>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</si>
  <si>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</si>
  <si>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</si>
  <si>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</si>
  <si>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</si>
  <si>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</si>
  <si>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</si>
  <si>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</si>
  <si>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</si>
  <si>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</si>
  <si>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</si>
  <si>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</si>
  <si>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</si>
  <si>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</si>
  <si>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</si>
  <si>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</si>
  <si>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</si>
  <si>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</si>
  <si>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</si>
  <si>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</si>
  <si>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</si>
  <si>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</si>
  <si>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</si>
  <si>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</si>
  <si>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</si>
  <si>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</si>
  <si>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</si>
  <si>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</si>
  <si>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</si>
  <si>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</si>
  <si>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</si>
  <si>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</si>
  <si>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</si>
  <si>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</si>
  <si>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</si>
  <si>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</si>
  <si>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</si>
  <si>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</si>
  <si>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</si>
  <si>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</si>
  <si>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</si>
  <si>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</si>
  <si>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</si>
  <si>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</si>
  <si>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</si>
  <si>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</si>
  <si>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</si>
  <si>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</si>
  <si>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</si>
  <si>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</si>
  <si>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</si>
  <si>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</si>
  <si>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</si>
  <si>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</si>
  <si>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</si>
  <si>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</si>
  <si>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</si>
  <si>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</si>
  <si>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</si>
  <si>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</si>
  <si>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</si>
  <si>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</si>
  <si>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</si>
  <si>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</si>
  <si>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</si>
  <si>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</si>
  <si>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</si>
  <si>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</si>
  <si>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</si>
  <si>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</si>
  <si>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</si>
  <si>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</si>
  <si>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</si>
  <si>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</si>
  <si>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</si>
  <si>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</si>
  <si>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</si>
  <si>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</si>
  <si>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</si>
  <si>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</si>
  <si>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</si>
  <si>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</si>
  <si>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</si>
  <si>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</si>
  <si>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</si>
  <si>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</si>
  <si>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</si>
  <si>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</si>
  <si>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</si>
  <si>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</si>
  <si>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</si>
  <si>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</si>
  <si>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</si>
  <si>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</si>
  <si>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</si>
  <si>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</si>
  <si>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</si>
  <si>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</si>
  <si>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</si>
  <si>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</si>
  <si>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</si>
  <si>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</si>
  <si>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</si>
  <si>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</si>
  <si>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</si>
  <si>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</si>
  <si>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</si>
  <si>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</si>
  <si>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</si>
  <si>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</si>
  <si>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</si>
  <si>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</si>
  <si>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</si>
  <si>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</si>
  <si>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</si>
  <si>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</si>
  <si>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</si>
  <si>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</si>
  <si>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</si>
  <si>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</si>
  <si>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</si>
  <si>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</si>
  <si>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</si>
  <si>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</si>
  <si>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</si>
  <si>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</si>
  <si>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</si>
  <si>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</si>
  <si>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</si>
  <si>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</si>
  <si>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</si>
  <si>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</si>
  <si>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</si>
  <si>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</si>
  <si>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</si>
  <si>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</si>
  <si>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</si>
  <si>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</si>
  <si>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</si>
  <si>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</si>
  <si>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</si>
  <si>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</si>
  <si>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</si>
  <si>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</si>
  <si>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</si>
  <si>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</si>
  <si>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</si>
  <si>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</si>
  <si>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</si>
  <si>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</si>
  <si>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</si>
  <si>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</si>
  <si>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</si>
  <si>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</si>
  <si>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</si>
  <si>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</si>
  <si>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</si>
  <si>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</si>
  <si>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</si>
  <si>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</si>
  <si>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</si>
  <si>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</si>
  <si>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</si>
  <si>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</si>
  <si>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</si>
  <si>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</si>
  <si>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</si>
  <si>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</si>
  <si>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</si>
  <si>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</si>
  <si>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</si>
  <si>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</si>
  <si>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</si>
  <si>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</si>
  <si>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</si>
  <si>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</si>
  <si>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</si>
  <si>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</si>
  <si>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</si>
  <si>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</si>
  <si>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</si>
  <si>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</si>
  <si>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</si>
  <si>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</si>
  <si>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</si>
  <si>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</si>
  <si>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</si>
  <si>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</si>
  <si>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</si>
  <si>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</si>
  <si>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</si>
  <si>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</si>
  <si>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</si>
  <si>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</si>
  <si>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</si>
  <si>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</si>
  <si>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</si>
  <si>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</si>
  <si>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</si>
  <si>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</si>
  <si>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</si>
  <si>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</si>
  <si>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</si>
  <si>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</si>
  <si>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</si>
  <si>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</si>
  <si>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</si>
  <si>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</si>
  <si>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</si>
  <si>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</si>
  <si>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</si>
  <si>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</si>
  <si>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</si>
  <si>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</si>
  <si>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</si>
  <si>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</si>
  <si>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</si>
  <si>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</si>
  <si>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</si>
  <si>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</si>
  <si>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</si>
  <si>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</si>
  <si>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</si>
  <si>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</si>
  <si>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</si>
  <si>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</si>
  <si>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</si>
  <si>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</si>
  <si>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</si>
  <si>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</si>
  <si>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</si>
  <si>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</si>
  <si>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</si>
  <si>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</si>
  <si>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</si>
  <si>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</si>
  <si>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</si>
  <si>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</si>
  <si>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</si>
  <si>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</si>
  <si>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</si>
  <si>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</si>
  <si>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</si>
  <si>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</si>
  <si>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</si>
  <si>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</si>
  <si>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</si>
  <si>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</si>
  <si>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</si>
  <si>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</si>
  <si>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</si>
  <si>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</si>
  <si>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</si>
  <si>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</si>
  <si>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</si>
  <si>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</si>
  <si>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</si>
  <si>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</si>
  <si>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</si>
  <si>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</si>
  <si>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</si>
  <si>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</si>
  <si>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</si>
  <si>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</si>
  <si>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</si>
  <si>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</si>
  <si>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</si>
  <si>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</si>
  <si>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</si>
  <si>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</si>
  <si>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</si>
  <si>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</si>
  <si>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</si>
  <si>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</si>
  <si>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</si>
  <si>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</si>
  <si>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</si>
  <si>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</si>
  <si>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</si>
  <si>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</si>
  <si>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</si>
  <si>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</si>
  <si>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</si>
  <si>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</si>
  <si>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</si>
  <si>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</si>
  <si>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</si>
  <si>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</si>
  <si>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</si>
  <si>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</si>
  <si>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</si>
  <si>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</si>
  <si>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</si>
  <si>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</si>
  <si>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</si>
  <si>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</si>
  <si>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</si>
  <si>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</si>
  <si>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</si>
  <si>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</si>
  <si>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</si>
  <si>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</si>
  <si>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</si>
  <si>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</si>
  <si>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</si>
  <si>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</si>
  <si>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</si>
  <si>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</si>
  <si>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</si>
  <si>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</si>
  <si>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</si>
  <si>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</si>
  <si>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</si>
  <si>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</si>
  <si>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</si>
  <si>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</si>
  <si>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</si>
  <si>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</si>
  <si>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</si>
  <si>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</si>
  <si>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</si>
  <si>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</si>
  <si>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</si>
  <si>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</si>
  <si>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</si>
  <si>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</si>
  <si>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</si>
  <si>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</si>
  <si>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</si>
  <si>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</si>
  <si>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</si>
  <si>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</si>
  <si>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</si>
  <si>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</si>
  <si>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</si>
  <si>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</si>
  <si>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</si>
  <si>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</si>
  <si>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</si>
  <si>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</si>
  <si>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</si>
  <si>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</si>
  <si>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</si>
  <si>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</si>
  <si>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</si>
  <si>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</si>
  <si>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</si>
  <si>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</si>
  <si>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</si>
  <si>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</si>
  <si>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</si>
  <si>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</si>
  <si>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</si>
  <si>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</si>
  <si>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</si>
  <si>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</si>
  <si>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</si>
  <si>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</si>
  <si>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</si>
  <si>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</si>
  <si>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</si>
  <si>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</si>
  <si>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</si>
  <si>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</si>
  <si>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</si>
  <si>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</si>
  <si>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</si>
  <si>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</si>
  <si>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</si>
  <si>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</si>
  <si>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</si>
  <si>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</si>
  <si>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</si>
  <si>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</si>
  <si>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</si>
  <si>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</si>
  <si>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</si>
  <si>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</si>
  <si>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</si>
  <si>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</si>
  <si>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</si>
  <si>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</si>
  <si>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</si>
  <si>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</si>
  <si>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</si>
  <si>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</si>
  <si>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</si>
  <si>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</si>
  <si>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</si>
  <si>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</si>
  <si>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</si>
  <si>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</si>
  <si>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</si>
  <si>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</si>
  <si>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</si>
  <si>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</si>
  <si>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</si>
  <si>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</si>
  <si>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</si>
  <si>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</si>
  <si>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</si>
  <si>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</si>
  <si>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</si>
  <si>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</si>
  <si>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</si>
  <si>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</si>
  <si>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</si>
  <si>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</si>
  <si>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</si>
  <si>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</si>
  <si>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</si>
  <si>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</si>
  <si>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</si>
  <si>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</si>
  <si>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</si>
  <si>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</si>
  <si>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</si>
  <si>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</si>
  <si>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</si>
  <si>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</si>
  <si>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</si>
  <si>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</si>
  <si>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</si>
  <si>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</si>
  <si>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</si>
  <si>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</si>
  <si>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</si>
  <si>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</si>
  <si>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</si>
  <si>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</si>
  <si>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</si>
  <si>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</si>
  <si>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</si>
  <si>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</si>
  <si>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</si>
  <si>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</si>
  <si>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</si>
  <si>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</si>
  <si>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</si>
  <si>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</si>
  <si>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</si>
  <si>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</si>
  <si>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</si>
  <si>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</si>
  <si>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</si>
  <si>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</si>
  <si>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</si>
  <si>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</si>
  <si>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</si>
  <si>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</si>
  <si>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</si>
  <si>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</si>
  <si>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</si>
  <si>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</si>
  <si>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</si>
  <si>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</si>
  <si>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</si>
  <si>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</si>
  <si>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</si>
  <si>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</si>
  <si>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</si>
  <si>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</si>
  <si>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</si>
  <si>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</si>
  <si>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</si>
  <si>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</si>
  <si>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</si>
  <si>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</si>
  <si>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</si>
  <si>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</si>
  <si>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</si>
  <si>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</si>
  <si>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</si>
  <si>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</si>
  <si>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</si>
  <si>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</si>
  <si>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</si>
  <si>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</si>
  <si>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</si>
  <si>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</si>
  <si>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</si>
  <si>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</si>
  <si>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</si>
  <si>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</si>
  <si>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</si>
  <si>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</si>
  <si>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</si>
  <si>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</si>
  <si>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</si>
  <si>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</si>
  <si>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</si>
  <si>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</si>
  <si>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</si>
  <si>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</si>
  <si>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</si>
  <si>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</si>
  <si>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</si>
  <si>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</si>
  <si>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</si>
  <si>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</si>
  <si>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</si>
  <si>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</si>
  <si>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</si>
  <si>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</si>
  <si>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</si>
  <si>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</si>
  <si>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</si>
  <si>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</si>
  <si>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</si>
  <si>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</si>
  <si>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</si>
  <si>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</si>
  <si>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</si>
  <si>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</si>
  <si>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</si>
  <si>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</si>
  <si>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</si>
  <si>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</si>
  <si>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</si>
  <si>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</si>
  <si>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</si>
  <si>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</si>
  <si>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</si>
  <si>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</si>
  <si>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</si>
  <si>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</si>
  <si>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</si>
  <si>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</si>
  <si>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</si>
  <si>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</si>
  <si>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</si>
  <si>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</si>
  <si>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</si>
  <si>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</si>
  <si>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</si>
  <si>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</si>
  <si>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</si>
  <si>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</si>
  <si>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</si>
  <si>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</si>
  <si>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</si>
  <si>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</si>
  <si>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</si>
  <si>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</si>
  <si>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</si>
  <si>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</si>
  <si>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</si>
  <si>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</si>
  <si>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</si>
  <si>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</si>
  <si>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</si>
  <si>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</si>
  <si>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</si>
  <si>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</si>
  <si>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</si>
  <si>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</si>
  <si>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</si>
  <si>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</si>
  <si>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</si>
  <si>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</si>
  <si>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</si>
  <si>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</si>
  <si>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</si>
  <si>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</si>
  <si>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</si>
  <si>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</si>
  <si>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</si>
  <si>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</si>
  <si>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</si>
  <si>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</si>
  <si>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</si>
  <si>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</si>
  <si>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</si>
  <si>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</si>
  <si>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</si>
  <si>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</si>
  <si>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</si>
  <si>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</si>
  <si>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</si>
  <si>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</si>
  <si>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</si>
  <si>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</si>
  <si>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</si>
  <si>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</si>
  <si>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</si>
  <si>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</si>
  <si>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</si>
  <si>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</si>
  <si>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</si>
  <si>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</si>
  <si>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</si>
  <si>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</si>
  <si>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</si>
  <si>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</si>
  <si>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</si>
  <si>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</si>
  <si>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</si>
  <si>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</si>
  <si>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</si>
  <si>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</si>
  <si>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</si>
  <si>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</si>
  <si>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</si>
  <si>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</si>
  <si>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</si>
  <si>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</si>
  <si>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</si>
  <si>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</si>
  <si>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</si>
  <si>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</si>
  <si>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</si>
  <si>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</si>
  <si>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</si>
  <si>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</si>
  <si>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</si>
  <si>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</si>
  <si>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</si>
  <si>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</si>
  <si>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</si>
  <si>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</si>
  <si>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</si>
  <si>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</si>
  <si>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</si>
  <si>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</si>
  <si>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</si>
  <si>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</si>
  <si>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</si>
  <si>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</si>
  <si>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</si>
  <si>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</si>
  <si>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</si>
  <si>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</si>
  <si>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</si>
  <si>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</si>
  <si>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</si>
  <si>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</si>
  <si>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</si>
  <si>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</si>
  <si>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</si>
  <si>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</si>
  <si>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</si>
  <si>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</si>
  <si>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</si>
  <si>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</si>
  <si>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</si>
  <si>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</si>
  <si>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</si>
  <si>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</si>
  <si>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</si>
  <si>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</si>
  <si>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</si>
  <si>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</si>
  <si>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</si>
  <si>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</si>
  <si>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</si>
  <si>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</si>
  <si>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</si>
  <si>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</si>
  <si>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</si>
  <si>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</si>
  <si>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</si>
  <si>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</si>
  <si>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</si>
  <si>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</si>
  <si>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</si>
  <si>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</si>
  <si>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</si>
  <si>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</si>
  <si>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</si>
  <si>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</si>
  <si>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</si>
  <si>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</si>
  <si>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</si>
  <si>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</si>
  <si>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</si>
  <si>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</si>
  <si>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</si>
  <si>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</si>
  <si>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</si>
  <si>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</si>
  <si>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</si>
  <si>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</si>
  <si>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</si>
  <si>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</si>
  <si>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</si>
  <si>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</si>
  <si>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</si>
  <si>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</si>
  <si>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</si>
  <si>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</si>
  <si>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</si>
  <si>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</si>
  <si>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</si>
  <si>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</si>
  <si>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</si>
  <si>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</si>
  <si>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</si>
  <si>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</si>
  <si>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</si>
  <si>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</si>
  <si>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</si>
  <si>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</si>
  <si>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</si>
  <si>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</si>
  <si>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</si>
  <si>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</si>
  <si>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</si>
  <si>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</si>
  <si>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</si>
  <si>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</si>
  <si>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</si>
  <si>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</si>
  <si>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</si>
  <si>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</si>
  <si>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</si>
  <si>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</si>
  <si>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</si>
  <si>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</si>
  <si>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</si>
  <si>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</si>
  <si>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</si>
  <si>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</si>
  <si>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</si>
  <si>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</si>
  <si>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</si>
  <si>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</si>
  <si>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</si>
  <si>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</si>
  <si>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</si>
  <si>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</si>
  <si>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</si>
  <si>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</si>
  <si>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</si>
  <si>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</si>
  <si>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</si>
  <si>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</si>
  <si>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</si>
  <si>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</si>
  <si>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</si>
  <si>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</si>
  <si>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</si>
  <si>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</si>
  <si>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</si>
  <si>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</si>
  <si>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</si>
  <si>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</si>
  <si>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</si>
  <si>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</si>
  <si>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</si>
  <si>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</si>
  <si>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</si>
  <si>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</si>
  <si>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</si>
  <si>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</si>
  <si>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</si>
  <si>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</si>
  <si>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</si>
  <si>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</si>
  <si>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</si>
  <si>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</si>
  <si>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</si>
  <si>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</si>
  <si>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</si>
  <si>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</si>
  <si>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</si>
  <si>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</si>
  <si>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</si>
  <si>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</si>
  <si>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</si>
  <si>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</si>
  <si>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</si>
  <si>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</si>
  <si>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</si>
  <si>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</si>
  <si>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</si>
  <si>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</si>
  <si>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</si>
  <si>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</si>
  <si>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</si>
  <si>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</si>
  <si>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</si>
  <si>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</si>
  <si>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</si>
  <si>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</si>
  <si>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</si>
  <si>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</si>
  <si>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</si>
  <si>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</si>
  <si>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</si>
  <si>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</si>
  <si>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</si>
  <si>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</si>
  <si>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</si>
  <si>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</si>
  <si>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</si>
  <si>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</si>
  <si>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</si>
  <si>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</si>
  <si>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</si>
  <si>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</si>
  <si>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</si>
  <si>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</si>
  <si>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</si>
  <si>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挂牌</t>
  </si>
  <si>
    <t>挂牌</t>
    <phoneticPr fontId="30" type="noConversion"/>
  </si>
  <si>
    <t>总价</t>
  </si>
  <si>
    <t>收益比率</t>
  </si>
  <si>
    <t>情况4</t>
  </si>
  <si>
    <t>转让取得</t>
  </si>
  <si>
    <t>非个人房产</t>
  </si>
  <si>
    <t>买卖合同</t>
  </si>
  <si>
    <t>2016年5月1日前购买</t>
  </si>
  <si>
    <t>比较法-办公</t>
  </si>
  <si>
    <t>收益法</t>
  </si>
  <si>
    <t>项目模式</t>
  </si>
  <si>
    <t>挂牌</t>
    <phoneticPr fontId="31" type="noConversion"/>
  </si>
  <si>
    <t>低区</t>
  </si>
  <si>
    <t>低区</t>
    <phoneticPr fontId="31" type="noConversion"/>
  </si>
  <si>
    <t>较好</t>
  </si>
  <si>
    <t>七通</t>
  </si>
  <si>
    <t>一般</t>
  </si>
  <si>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</si>
  <si>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</si>
  <si>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</si>
  <si>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</si>
  <si>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</si>
  <si>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</si>
  <si>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</si>
  <si>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</si>
  <si>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</si>
  <si>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</si>
  <si>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办公</t>
    <phoneticPr fontId="31" type="noConversion"/>
  </si>
  <si>
    <t>30-40</t>
    <phoneticPr fontId="31" type="noConversion"/>
  </si>
  <si>
    <t>40-50</t>
    <phoneticPr fontId="31" type="noConversion"/>
  </si>
  <si>
    <t>中区</t>
  </si>
  <si>
    <t>中区</t>
    <phoneticPr fontId="31" type="noConversion"/>
  </si>
  <si>
    <t>金隅嘉华大厦</t>
    <phoneticPr fontId="3" type="noConversion"/>
  </si>
  <si>
    <t>工业（办公）</t>
  </si>
  <si>
    <t>工业（办公）</t>
    <phoneticPr fontId="31" type="noConversion"/>
  </si>
  <si>
    <t>盈创动力大厦</t>
    <phoneticPr fontId="3" type="noConversion"/>
  </si>
  <si>
    <t>硅谷亮城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</si>
</sst>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43</xdr:row>
      <xdr:rowOff>84793</xdr:rowOff>
    </xdr:to>
    <xdr:pic>
      <xdr:nvPicPr>
        <xdr:cNvPr id="6" name="图片 5">
          <a:extLst>
            <a:ext uri="{FF2B5EF4-FFF2-40B4-BE49-F238E27FC236}">
              <a16:creationId xmlns:a16="http://schemas.microsoft.com/office/drawing/2014/main" xmlns="" id="{C253E1DF-13F6-DF54-58F2-9A4F2E0CC87B}"/>
            </a:ext>
          </a:extLst>
        </xdr:cNvPr>
        <xdr:cNvPicPr>
          <a:picLocks noChangeAspect="1"/>
        </xdr:cNvPicPr>
      </xdr:nvPicPr>
      <xdr:blipFill>
        <a:blip xmlns:r="http://schemas.openxmlformats.org/officeDocument/2006/relationships" r:embed="rId1"/>
        <a:stretch>
          <a:fillRect/>
        </a:stretch>
      </xdr:blipFill>
      <xdr:spPr>
        <a:xfrm>
          <a:off x="0" y="0"/>
          <a:ext cx="4114286" cy="7457143"/>
        </a:xfrm>
        <a:prstGeom prst="rect">
          <a:avLst/>
        </a:prstGeom>
      </xdr:spPr>
    </xdr:pic>
    <xdr:clientData/>
  </xdr:twoCellAnchor>
  <xdr:twoCellAnchor editAs="oneCell">
    <xdr:from>
      <xdr:col>6</xdr:col>
      <xdr:colOff>257175</xdr:colOff>
      <xdr:row>0</xdr:row>
      <xdr:rowOff>0</xdr:rowOff>
    </xdr:from>
    <xdr:to>
      <xdr:col>12</xdr:col>
      <xdr:colOff>209042</xdr:colOff>
      <xdr:row>21</xdr:row>
      <xdr:rowOff>47169</xdr:rowOff>
    </xdr:to>
    <xdr:pic>
      <xdr:nvPicPr>
        <xdr:cNvPr id="7" name="图片 6">
          <a:extLst>
            <a:ext uri="{FF2B5EF4-FFF2-40B4-BE49-F238E27FC236}">
              <a16:creationId xmlns:a16="http://schemas.microsoft.com/office/drawing/2014/main" xmlns="" id="{4A98E39A-A5BF-52DF-0EEE-6946DAEB2E9C}"/>
            </a:ext>
          </a:extLst>
        </xdr:cNvPr>
        <xdr:cNvPicPr>
          <a:picLocks noChangeAspect="1"/>
        </xdr:cNvPicPr>
      </xdr:nvPicPr>
      <xdr:blipFill>
        <a:blip xmlns:r="http://schemas.openxmlformats.org/officeDocument/2006/relationships" r:embed="rId2"/>
        <a:stretch>
          <a:fillRect/>
        </a:stretch>
      </xdr:blipFill>
      <xdr:spPr>
        <a:xfrm>
          <a:off x="4371975" y="0"/>
          <a:ext cx="4066667" cy="3647619"/>
        </a:xfrm>
        <a:prstGeom prst="rect">
          <a:avLst/>
        </a:prstGeom>
      </xdr:spPr>
    </xdr:pic>
    <xdr:clientData/>
  </xdr:twoCellAnchor>
  <xdr:twoCellAnchor editAs="oneCell">
    <xdr:from>
      <xdr:col>12</xdr:col>
      <xdr:colOff>200025</xdr:colOff>
      <xdr:row>0</xdr:row>
      <xdr:rowOff>0</xdr:rowOff>
    </xdr:from>
    <xdr:to>
      <xdr:col>29</xdr:col>
      <xdr:colOff>131901</xdr:colOff>
      <xdr:row>34</xdr:row>
      <xdr:rowOff>56414</xdr:rowOff>
    </xdr:to>
    <xdr:pic>
      <xdr:nvPicPr>
        <xdr:cNvPr id="8" name="图片 7">
          <a:extLst>
            <a:ext uri="{FF2B5EF4-FFF2-40B4-BE49-F238E27FC236}">
              <a16:creationId xmlns:a16="http://schemas.microsoft.com/office/drawing/2014/main" xmlns="" id="{54DA5A82-5BCD-76F9-0BA6-8906DB9E52C4}"/>
            </a:ext>
          </a:extLst>
        </xdr:cNvPr>
        <xdr:cNvPicPr>
          <a:picLocks noChangeAspect="1"/>
        </xdr:cNvPicPr>
      </xdr:nvPicPr>
      <xdr:blipFill>
        <a:blip xmlns:r="http://schemas.openxmlformats.org/officeDocument/2006/relationships" r:embed="rId3"/>
        <a:stretch>
          <a:fillRect/>
        </a:stretch>
      </xdr:blipFill>
      <xdr:spPr>
        <a:xfrm>
          <a:off x="8429625" y="0"/>
          <a:ext cx="11590476" cy="5885714"/>
        </a:xfrm>
        <a:prstGeom prst="rect">
          <a:avLst/>
        </a:prstGeom>
      </xdr:spPr>
    </xdr:pic>
    <xdr:clientData/>
  </xdr:twoCellAnchor>
  <xdr:twoCellAnchor editAs="oneCell">
    <xdr:from>
      <xdr:col>12</xdr:col>
      <xdr:colOff>361950</xdr:colOff>
      <xdr:row>34</xdr:row>
      <xdr:rowOff>161925</xdr:rowOff>
    </xdr:from>
    <xdr:to>
      <xdr:col>29</xdr:col>
      <xdr:colOff>322397</xdr:colOff>
      <xdr:row>69</xdr:row>
      <xdr:rowOff>8794</xdr:rowOff>
    </xdr:to>
    <xdr:pic>
      <xdr:nvPicPr>
        <xdr:cNvPr id="9" name="图片 8">
          <a:extLst>
            <a:ext uri="{FF2B5EF4-FFF2-40B4-BE49-F238E27FC236}">
              <a16:creationId xmlns:a16="http://schemas.microsoft.com/office/drawing/2014/main" xmlns="" id="{E7B1979F-3E38-F2DA-8938-C7F40347B43E}"/>
            </a:ext>
          </a:extLst>
        </xdr:cNvPr>
        <xdr:cNvPicPr>
          <a:picLocks noChangeAspect="1"/>
        </xdr:cNvPicPr>
      </xdr:nvPicPr>
      <xdr:blipFill>
        <a:blip xmlns:r="http://schemas.openxmlformats.org/officeDocument/2006/relationships" r:embed="rId4"/>
        <a:stretch>
          <a:fillRect/>
        </a:stretch>
      </xdr:blipFill>
      <xdr:spPr>
        <a:xfrm>
          <a:off x="8591550" y="5991225"/>
          <a:ext cx="11619047" cy="5847619"/>
        </a:xfrm>
        <a:prstGeom prst="rect">
          <a:avLst/>
        </a:prstGeom>
      </xdr:spPr>
    </xdr:pic>
    <xdr:clientData/>
  </xdr:twoCellAnchor>
  <xdr:twoCellAnchor editAs="oneCell">
    <xdr:from>
      <xdr:col>6</xdr:col>
      <xdr:colOff>438150</xdr:colOff>
      <xdr:row>34</xdr:row>
      <xdr:rowOff>9525</xdr:rowOff>
    </xdr:from>
    <xdr:to>
      <xdr:col>12</xdr:col>
      <xdr:colOff>399540</xdr:colOff>
      <xdr:row>53</xdr:row>
      <xdr:rowOff>132927</xdr:rowOff>
    </xdr:to>
    <xdr:pic>
      <xdr:nvPicPr>
        <xdr:cNvPr id="10" name="图片 9">
          <a:extLst>
            <a:ext uri="{FF2B5EF4-FFF2-40B4-BE49-F238E27FC236}">
              <a16:creationId xmlns:a16="http://schemas.microsoft.com/office/drawing/2014/main" xmlns="" id="{CC0E1BE6-AC82-9DD3-3AC7-4BDB2E9D595B}"/>
            </a:ext>
          </a:extLst>
        </xdr:cNvPr>
        <xdr:cNvPicPr>
          <a:picLocks noChangeAspect="1"/>
        </xdr:cNvPicPr>
      </xdr:nvPicPr>
      <xdr:blipFill>
        <a:blip xmlns:r="http://schemas.openxmlformats.org/officeDocument/2006/relationships" r:embed="rId5"/>
        <a:stretch>
          <a:fillRect/>
        </a:stretch>
      </xdr:blipFill>
      <xdr:spPr>
        <a:xfrm>
          <a:off x="4552950" y="5838825"/>
          <a:ext cx="4076190" cy="3380952"/>
        </a:xfrm>
        <a:prstGeom prst="rect">
          <a:avLst/>
        </a:prstGeom>
      </xdr:spPr>
    </xdr:pic>
    <xdr:clientData/>
  </xdr:twoCellAnchor>
  <xdr:twoCellAnchor editAs="oneCell">
    <xdr:from>
      <xdr:col>12</xdr:col>
      <xdr:colOff>104775</xdr:colOff>
      <xdr:row>69</xdr:row>
      <xdr:rowOff>95250</xdr:rowOff>
    </xdr:from>
    <xdr:to>
      <xdr:col>31</xdr:col>
      <xdr:colOff>198384</xdr:colOff>
      <xdr:row>102</xdr:row>
      <xdr:rowOff>123114</xdr:rowOff>
    </xdr:to>
    <xdr:pic>
      <xdr:nvPicPr>
        <xdr:cNvPr id="11" name="图片 10">
          <a:extLst>
            <a:ext uri="{FF2B5EF4-FFF2-40B4-BE49-F238E27FC236}">
              <a16:creationId xmlns:a16="http://schemas.microsoft.com/office/drawing/2014/main" xmlns="" id="{0FA27BC7-B937-250D-0234-5577DF1F6037}"/>
            </a:ext>
          </a:extLst>
        </xdr:cNvPr>
        <xdr:cNvPicPr>
          <a:picLocks noChangeAspect="1"/>
        </xdr:cNvPicPr>
      </xdr:nvPicPr>
      <xdr:blipFill>
        <a:blip xmlns:r="http://schemas.openxmlformats.org/officeDocument/2006/relationships" r:embed="rId6"/>
        <a:stretch>
          <a:fillRect/>
        </a:stretch>
      </xdr:blipFill>
      <xdr:spPr>
        <a:xfrm>
          <a:off x="8334375" y="11925300"/>
          <a:ext cx="13123809" cy="5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估价对象为北京市房地产，为所有。根据《国有土地使用证》[]，估价对象（分摊）出让国有建设用地使用权面积为0平方米，建筑面积为767.43平方米。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估价对象为北京市房地产,属开发建设的，该项目尚在开发建设中。根据《国有土地使用证》[]，估价对象（分摊）出让国有建设用地使用权面积为0平方米，规划建筑面积为767.43平方米。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2025年6月9日（评估专业人员实地查勘之日）</v>
      </c>
    </row>
    <row r="13" spans="1:2">
      <c r="A13" s="1119" t="s">
        <v>529</v>
      </c>
      <c r="B13" s="1120"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1562</v>
      </c>
    </row>
    <row r="21" spans="1:2">
      <c r="A21" s="1119" t="s">
        <v>537</v>
      </c>
      <c r="B21" s="1120">
        <f ca="1">'预评函-2'!D7</f>
        <v>20354</v>
      </c>
    </row>
    <row r="22" spans="1:2">
      <c r="A22" s="1119" t="s">
        <v>538</v>
      </c>
      <c r="B22" s="1120" t="str">
        <f ca="1">'预评函-2'!D6</f>
        <v>壹仟伍佰陆拾贰万元整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1562</v>
      </c>
    </row>
    <row r="31" spans="1:2">
      <c r="A31" s="1119" t="s">
        <v>576</v>
      </c>
      <c r="B31" s="1120">
        <f ca="1">'预评函-2'!D15</f>
        <v>20354</v>
      </c>
    </row>
    <row r="32" spans="1:2">
      <c r="A32" s="1119" t="s">
        <v>543</v>
      </c>
      <c r="B32" s="1120" t="str">
        <f ca="1">'预评函-2'!D14</f>
        <v>壹仟伍佰陆拾贰万元整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767.43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1067</v>
      </c>
    </row>
    <row r="48" spans="1:2">
      <c r="A48" s="1119" t="s">
        <v>549</v>
      </c>
      <c r="B48" s="1120">
        <f ca="1">'预评函-3'!E4</f>
        <v>13904</v>
      </c>
    </row>
    <row r="49" spans="1:2">
      <c r="A49" s="1119" t="s">
        <v>550</v>
      </c>
      <c r="B49" s="1120" t="str">
        <f ca="1">'预评函-3'!D5</f>
        <v>壹仟零陆拾柒万元整</v>
      </c>
    </row>
    <row r="50" spans="1:2">
      <c r="A50" s="1119" t="s">
        <v>574</v>
      </c>
      <c r="B50" s="1120" t="str">
        <f>'预评函-3'!F2</f>
        <v>在建建筑物价值</v>
      </c>
    </row>
    <row r="51" spans="1:2">
      <c r="A51" s="1119" t="s">
        <v>551</v>
      </c>
      <c r="B51" s="1120">
        <f ca="1">'预评函-3'!F4</f>
        <v>495</v>
      </c>
    </row>
    <row r="52" spans="1:2">
      <c r="A52" s="1119" t="s">
        <v>552</v>
      </c>
      <c r="B52" s="1120">
        <f ca="1">'预评函-3'!G4</f>
        <v>6450</v>
      </c>
    </row>
    <row r="53" spans="1:2">
      <c r="A53" s="1119" t="s">
        <v>580</v>
      </c>
      <c r="B53" s="1120" t="str">
        <f ca="1">'预评函-3'!F5</f>
        <v>肆佰玖拾伍万元整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5" t="s">
        <v>2571</v>
      </c>
      <c r="J2" s="3215"/>
      <c r="K2" s="3215"/>
      <c r="L2" s="3215"/>
      <c r="M2" s="3215"/>
      <c r="N2" s="3215"/>
      <c r="O2" s="3215"/>
      <c r="P2" s="3215"/>
      <c r="Q2" s="3215"/>
      <c r="R2" s="3215"/>
    </row>
    <row r="3" spans="1:18">
      <c r="A3" s="2763" t="s">
        <v>2492</v>
      </c>
      <c r="B3" s="2764">
        <f>项目基本情况!D3</f>
        <v>45817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31.55</v>
      </c>
      <c r="D7" s="2768">
        <f>IF(ISERROR(ROUND(POWER(1+E7,A7-C7)*(POWER(1+E7,C7)-1)/(POWER(1+E7,A7)-1),3)),0,ROUND(POWER(1+E7,A7-C7)*(POWER(1+E7,C7)-1)/(POWER(1+E7,A7)-1),4))</f>
        <v>0.75860000000000005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Q15" sqref="Q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45817</v>
      </c>
      <c r="C3" s="2186" t="s">
        <v>2171</v>
      </c>
      <c r="D3" s="2185">
        <v>45817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26"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27"/>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53132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20.04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3"/>
      <c r="C16" s="3234"/>
      <c r="D16" s="3235"/>
      <c r="E16" s="2222" t="s">
        <v>2194</v>
      </c>
      <c r="F16" s="3236"/>
      <c r="G16" s="3237"/>
      <c r="H16" s="3237"/>
      <c r="I16" s="3238"/>
      <c r="J16" s="2245"/>
      <c r="K16" s="2403"/>
      <c r="L16" s="1670"/>
      <c r="M16" s="1670"/>
      <c r="N16" s="2245"/>
      <c r="O16" s="1670"/>
      <c r="P16" s="2245"/>
      <c r="Q16" s="2245"/>
      <c r="R16" s="2245"/>
    </row>
    <row r="17" spans="1:28">
      <c r="A17" s="305" t="s">
        <v>2195</v>
      </c>
      <c r="B17" s="294" t="s">
        <v>2196</v>
      </c>
      <c r="C17" s="8">
        <f>'数据-汇总表'!E3</f>
        <v>767.43</v>
      </c>
      <c r="D17" s="1256" t="s">
        <v>2197</v>
      </c>
      <c r="E17" s="3239" t="s">
        <v>2198</v>
      </c>
      <c r="F17" s="3240"/>
      <c r="G17" s="3240"/>
      <c r="H17" s="3240"/>
      <c r="I17" s="324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2" t="s">
        <v>2202</v>
      </c>
      <c r="F18" s="3243"/>
      <c r="G18" s="3243"/>
      <c r="H18" s="3243"/>
      <c r="I18" s="324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9" t="s">
        <v>2206</v>
      </c>
      <c r="C20" s="3230"/>
      <c r="D20" s="3231" t="s">
        <v>2207</v>
      </c>
      <c r="E20" s="3232"/>
      <c r="F20" s="2430" t="s">
        <v>1056</v>
      </c>
      <c r="G20" s="2442"/>
      <c r="H20" s="2442"/>
      <c r="I20" s="2442"/>
      <c r="J20" s="2245"/>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8"/>
      <c r="B30" s="294" t="s">
        <v>2218</v>
      </c>
      <c r="C30" s="3219"/>
      <c r="D30" s="3220"/>
      <c r="E30" s="2442"/>
      <c r="F30" s="2442"/>
      <c r="G30" s="2442"/>
      <c r="H30" s="2442"/>
      <c r="I30" s="2442"/>
      <c r="J30" s="2245"/>
      <c r="K30" s="2402"/>
      <c r="L30" s="2399"/>
      <c r="M30" s="2399"/>
      <c r="N30" s="2245"/>
      <c r="O30" s="1670"/>
      <c r="P30" s="2245"/>
      <c r="Q30" s="2245"/>
      <c r="R30" s="2245"/>
      <c r="S30" s="2245"/>
      <c r="T30" s="2245"/>
      <c r="U30" s="2245"/>
      <c r="V30" s="2245"/>
    </row>
    <row r="31" spans="1:28">
      <c r="A31" s="322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5"/>
      <c r="V34" s="2245"/>
    </row>
    <row r="35" spans="1:30">
      <c r="A35" s="2236"/>
      <c r="B35" s="3216" t="s">
        <v>2229</v>
      </c>
      <c r="C35" s="3216"/>
      <c r="D35" s="3216"/>
      <c r="E35" s="32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767.43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767.43</v>
      </c>
      <c r="H5" s="13">
        <f t="shared" ref="H5:AT5" si="0">SUM(H13:H656)</f>
        <v>767.43</v>
      </c>
      <c r="I5" s="13">
        <f t="shared" si="0"/>
        <v>767.43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767.43</v>
      </c>
      <c r="BA5" s="15">
        <f t="shared" si="1"/>
        <v>767.43</v>
      </c>
      <c r="BB5" s="15">
        <f t="shared" si="1"/>
        <v>767.43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460</v>
      </c>
      <c r="D13" s="1513" t="s">
        <v>3407</v>
      </c>
      <c r="E13" s="13">
        <f>IF($C$3="是",ROUND($A$3*G13/$B$3,2),ROUND($A$3*(G13-AT13)/$B$3,2))</f>
        <v>0</v>
      </c>
      <c r="F13" s="29"/>
      <c r="G13" s="30">
        <f>H13+AC13+AT13</f>
        <v>767.43</v>
      </c>
      <c r="H13" s="17">
        <f>SUMIF(I$12:AB$12,"总值",I13:AB13)</f>
        <v>767.43</v>
      </c>
      <c r="I13" s="1514">
        <v>767.43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767.43</v>
      </c>
      <c r="BA13" s="13">
        <f>SUM(BB13:BK13)</f>
        <v>767.43</v>
      </c>
      <c r="BB13" s="13">
        <f>IF($D13="是",I13-J13,0)</f>
        <v>767.43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41" sqref="E4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9"/>
      <c r="G2" s="2432"/>
      <c r="H2" s="2433"/>
      <c r="I2" s="2146" t="s">
        <v>1132</v>
      </c>
      <c r="J2" s="2439"/>
      <c r="K2" s="2439"/>
      <c r="L2" s="2439"/>
      <c r="M2" s="2439"/>
      <c r="N2" s="2440"/>
      <c r="O2" s="2439"/>
      <c r="P2" s="2439"/>
    </row>
    <row r="3" spans="1:16" ht="15.75" thickBot="1">
      <c r="A3" s="3255" t="s">
        <v>1105</v>
      </c>
      <c r="B3" s="3255"/>
      <c r="C3" s="3255"/>
      <c r="D3" s="41">
        <f>'数据-基础表'!AY6</f>
        <v>0</v>
      </c>
      <c r="E3" s="41">
        <f>'数据-基础表'!AZ5</f>
        <v>767.43</v>
      </c>
      <c r="F3" s="2439"/>
      <c r="G3" s="42"/>
      <c r="H3" s="43" t="s">
        <v>1106</v>
      </c>
      <c r="I3" s="802" t="e">
        <f>ROUND('数据-基础表'!B3/'数据-基础表'!A3,2)</f>
        <v>#DIV/0!</v>
      </c>
      <c r="J3" s="2439"/>
      <c r="K3" s="2439"/>
      <c r="L3" s="2439"/>
      <c r="M3" s="2439"/>
      <c r="N3" s="2440"/>
      <c r="O3" s="2439"/>
      <c r="P3" s="2439"/>
    </row>
    <row r="4" spans="1:16" ht="15">
      <c r="A4" s="3256"/>
      <c r="B4" s="3257"/>
      <c r="C4" s="325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9" t="s">
        <v>1110</v>
      </c>
      <c r="C5" s="325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9" t="s">
        <v>1111</v>
      </c>
      <c r="C6" s="3259"/>
      <c r="D6" s="43">
        <f>ROUND($D$3*E6/$E$3,2)</f>
        <v>0</v>
      </c>
      <c r="E6" s="44">
        <f>E3-E5</f>
        <v>767.43</v>
      </c>
      <c r="F6" s="2439"/>
      <c r="G6" s="1529" t="s">
        <v>1112</v>
      </c>
      <c r="H6" s="45" t="s">
        <v>1113</v>
      </c>
      <c r="I6" s="2435" t="e">
        <f>ROUND(F31/D31,2)</f>
        <v>#DIV/0!</v>
      </c>
      <c r="J6" s="2439"/>
      <c r="K6" s="2439"/>
      <c r="L6" s="2439"/>
      <c r="M6" s="2439"/>
      <c r="N6" s="2439"/>
      <c r="O6" s="2439"/>
      <c r="P6" s="2439"/>
    </row>
    <row r="7" spans="1:16" ht="15.75" thickBot="1">
      <c r="A7" s="3251"/>
      <c r="B7" s="3252"/>
      <c r="C7" s="325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767.43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767.43</v>
      </c>
      <c r="F16" s="2439"/>
      <c r="G16" s="2439"/>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767.43</v>
      </c>
      <c r="F19" s="2558">
        <f>'数据-基础表'!I13</f>
        <v>767.43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767.43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767.43</v>
      </c>
      <c r="F27" s="1072">
        <f>IF(SUM(F19:F26)=E8,SUM(F19:F26),"地上面积有误")</f>
        <v>767.43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767.43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767.43</v>
      </c>
      <c r="F31" s="644">
        <f>F27+F30</f>
        <v>767.43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14" sqref="AK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53132</v>
      </c>
      <c r="F6" s="61">
        <f>SUMIF(项目基本情况!C$12:I$12,C6,项目基本情况!C$15:I$15)</f>
        <v>20.04</v>
      </c>
      <c r="G6" s="62">
        <f>IF(ISERROR(ROUND(POWER(1+H6,D6-F6)*(POWER(1+H6,F6)-1)/(POWER(1+H6,D6)-1),3)),0,ROUND(POWER(1+H6,D6-F6)*(POWER(1+H6,F6)-1)/(POWER(1+H6,D6)-1),3))</f>
        <v>0.68300000000000005</v>
      </c>
      <c r="H6" s="691">
        <v>0.05</v>
      </c>
      <c r="I6" s="691">
        <v>5.5E-2</v>
      </c>
      <c r="J6" s="63">
        <v>7.0000000000000007E-2</v>
      </c>
      <c r="K6" s="970">
        <f>SUMIF('数据-汇总表'!C$19:C$33,A6,'数据-汇总表'!E$19:E$33)</f>
        <v>767.43</v>
      </c>
      <c r="L6" s="692">
        <v>4000</v>
      </c>
      <c r="M6" s="64">
        <f t="shared" ref="M6:M14" si="0">ROUND(K6*L6/10000,0)</f>
        <v>307</v>
      </c>
      <c r="N6" s="690">
        <f>ROUND((1-(2025-2001)/60)*0.5+80%*0.5,2)</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67">
        <v>0.02</v>
      </c>
      <c r="W6" s="67">
        <v>0.1</v>
      </c>
      <c r="X6" s="979"/>
      <c r="Y6" s="68">
        <f>N6</f>
        <v>0.7</v>
      </c>
      <c r="Z6" s="69"/>
      <c r="AA6" s="63"/>
      <c r="AB6" s="63"/>
      <c r="AC6" s="979"/>
      <c r="AD6" s="70"/>
      <c r="AE6" s="980">
        <f ca="1">IF(AN6="",0,SUMIF(INDIRECT("'"&amp;AN6&amp;"'"&amp;"!E:E"),$AE$5,INDIRECT("'"&amp;AN6&amp;"'"&amp;"!F:F")))</f>
        <v>20.04</v>
      </c>
      <c r="AF6" s="74"/>
      <c r="AG6" s="130">
        <f>IF(AF6="",0,AE6-AF6)</f>
        <v>0</v>
      </c>
      <c r="AH6" s="71"/>
      <c r="AI6" s="73">
        <v>365</v>
      </c>
      <c r="AJ6" s="74"/>
      <c r="AK6" s="75">
        <v>5.0000000000000001E-3</v>
      </c>
      <c r="AL6" s="76">
        <v>1E-3</v>
      </c>
      <c r="AM6" s="77">
        <v>0.01</v>
      </c>
      <c r="AN6" s="1589" t="s">
        <v>3428</v>
      </c>
      <c r="AO6" s="50">
        <f ca="1">SUMIF(INDIRECT("'"&amp;AN6&amp;"'"&amp;"!A:A"),"总价",INDIRECT("'"&amp;AN6&amp;"'"&amp;"!B:B"))</f>
        <v>1025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767.43</v>
      </c>
      <c r="L16" s="87">
        <f>ROUND(M16*10000/SUM(K6:K14),0)</f>
        <v>4000</v>
      </c>
      <c r="M16" s="87">
        <f>SUM(M6:M14)</f>
        <v>307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2277</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767.43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1562</v>
      </c>
      <c r="C5" s="2300">
        <f ca="1">IF(B5=D14,结果表!H102,ROUND(B5*10000/$B$1,0))</f>
        <v>20354</v>
      </c>
      <c r="D5" s="2300" t="e">
        <f ca="1">ROUND(B5*10000/$B$2,0)</f>
        <v>#DIV/0!</v>
      </c>
      <c r="E5" s="2462"/>
      <c r="F5" s="2463"/>
      <c r="G5" s="2463"/>
      <c r="H5" s="2463"/>
      <c r="I5" s="2463"/>
      <c r="J5" s="2463"/>
      <c r="K5" s="2463"/>
    </row>
    <row r="6" spans="1:11" ht="16.5">
      <c r="A6" s="2300" t="s">
        <v>656</v>
      </c>
      <c r="B6" s="2300">
        <f ca="1">SUM(G14:G23)</f>
        <v>1562</v>
      </c>
      <c r="C6" s="2300">
        <f ca="1">IF(B6=G14,结果表!H108,ROUND(B6*10000/$B$1,0))</f>
        <v>20354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1503</v>
      </c>
      <c r="C8" s="2300" t="str">
        <f ca="1">IF(B8=I14,结果表!H112,ROUND(B8*10000/$B$1,0))</f>
        <v>——</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767.43</v>
      </c>
      <c r="C14" s="2306"/>
      <c r="D14" s="2306">
        <f ca="1">结果表!G19</f>
        <v>1562</v>
      </c>
      <c r="E14" s="2306">
        <f ca="1">ROUND(D14*10000/B14,0)</f>
        <v>20354</v>
      </c>
      <c r="F14" s="2306" t="e">
        <f ca="1">ROUND(D14*10000/C14,0)</f>
        <v>#DIV/0!</v>
      </c>
      <c r="G14" s="2306">
        <f ca="1">D14</f>
        <v>1562</v>
      </c>
      <c r="H14" s="2306"/>
      <c r="I14" s="2306">
        <f ca="1">结果表!Q59</f>
        <v>1503</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Normal="100" zoomScaleSheetLayoutView="100" zoomScalePageLayoutView="80" workbookViewId="0">
      <selection activeCell="M71" sqref="M7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6" t="str">
        <f>项目基本情况!S2</f>
        <v>北京市房地产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4" t="s">
        <v>1265</v>
      </c>
      <c r="B4" s="1625" t="s">
        <v>1266</v>
      </c>
      <c r="C4" s="1626" t="s">
        <v>3427</v>
      </c>
      <c r="D4" s="1626" t="s">
        <v>3428</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263">
        <v>25</v>
      </c>
      <c r="C5" s="3279"/>
      <c r="D5" s="3299"/>
      <c r="E5" s="123" t="s">
        <v>1269</v>
      </c>
      <c r="F5" s="1627"/>
      <c r="G5" s="1627"/>
      <c r="H5" s="1627"/>
      <c r="I5" s="1281"/>
    </row>
    <row r="6" spans="1:12" ht="12.75">
      <c r="A6" s="3276"/>
      <c r="B6" s="3263"/>
      <c r="C6" s="3280"/>
      <c r="D6" s="3299"/>
      <c r="E6" s="123" t="s">
        <v>1270</v>
      </c>
      <c r="F6" s="1627"/>
      <c r="G6" s="1627"/>
      <c r="H6" s="1627"/>
      <c r="I6" s="1281"/>
    </row>
    <row r="7" spans="1:12" ht="12.75">
      <c r="A7" s="3276"/>
      <c r="B7" s="3263"/>
      <c r="C7" s="3281"/>
      <c r="D7" s="3299"/>
      <c r="E7" s="123" t="s">
        <v>1271</v>
      </c>
      <c r="F7" s="1627"/>
      <c r="G7" s="1627"/>
      <c r="H7" s="1627"/>
      <c r="I7" s="1281"/>
    </row>
    <row r="8" spans="1:12" ht="12.75">
      <c r="A8" s="3276" t="s">
        <v>1272</v>
      </c>
      <c r="B8" s="3263">
        <v>15</v>
      </c>
      <c r="C8" s="3279"/>
      <c r="D8" s="3299"/>
      <c r="E8" s="123" t="s">
        <v>1273</v>
      </c>
      <c r="F8" s="1627"/>
      <c r="G8" s="1627"/>
      <c r="H8" s="1627"/>
      <c r="I8" s="1281"/>
    </row>
    <row r="9" spans="1:12" ht="12.75">
      <c r="A9" s="3276"/>
      <c r="B9" s="3263"/>
      <c r="C9" s="3281"/>
      <c r="D9" s="3299"/>
      <c r="E9" s="123" t="s">
        <v>1274</v>
      </c>
      <c r="F9" s="1627"/>
      <c r="G9" s="1627"/>
      <c r="H9" s="1627"/>
      <c r="I9" s="1281"/>
    </row>
    <row r="10" spans="1:12" ht="12.75">
      <c r="A10" s="3276" t="s">
        <v>1275</v>
      </c>
      <c r="B10" s="3263">
        <v>15</v>
      </c>
      <c r="C10" s="3279"/>
      <c r="D10" s="3299"/>
      <c r="E10" s="123" t="s">
        <v>1276</v>
      </c>
      <c r="F10" s="1627"/>
      <c r="G10" s="1627"/>
      <c r="H10" s="1627"/>
      <c r="I10" s="1281"/>
    </row>
    <row r="11" spans="1:12" ht="12.75">
      <c r="A11" s="3276"/>
      <c r="B11" s="3263"/>
      <c r="C11" s="3281"/>
      <c r="D11" s="3299"/>
      <c r="E11" s="123" t="s">
        <v>1277</v>
      </c>
      <c r="F11" s="1627"/>
      <c r="G11" s="1627"/>
      <c r="H11" s="1627"/>
      <c r="I11" s="1281"/>
    </row>
    <row r="12" spans="1:12" ht="12.75">
      <c r="A12" s="3276" t="s">
        <v>1278</v>
      </c>
      <c r="B12" s="3263">
        <v>15</v>
      </c>
      <c r="C12" s="3279"/>
      <c r="D12" s="3299"/>
      <c r="E12" s="123" t="s">
        <v>1279</v>
      </c>
      <c r="F12" s="1627"/>
      <c r="G12" s="1627"/>
      <c r="H12" s="1627"/>
      <c r="I12" s="1281"/>
    </row>
    <row r="13" spans="1:12" ht="12.75">
      <c r="A13" s="3276"/>
      <c r="B13" s="3263"/>
      <c r="C13" s="3281"/>
      <c r="D13" s="3299"/>
      <c r="E13" s="123" t="s">
        <v>1280</v>
      </c>
      <c r="F13" s="1627"/>
      <c r="G13" s="1627"/>
      <c r="H13" s="1627"/>
      <c r="I13" s="1281"/>
    </row>
    <row r="14" spans="1:12" ht="12.75">
      <c r="A14" s="3276" t="s">
        <v>1281</v>
      </c>
      <c r="B14" s="3263">
        <v>30</v>
      </c>
      <c r="C14" s="3279">
        <v>6</v>
      </c>
      <c r="D14" s="3299">
        <v>4</v>
      </c>
      <c r="E14" s="123" t="s">
        <v>1282</v>
      </c>
      <c r="F14" s="1627"/>
      <c r="G14" s="1627"/>
      <c r="H14" s="1627"/>
      <c r="I14" s="1281"/>
    </row>
    <row r="15" spans="1:12" ht="12.75">
      <c r="A15" s="3276"/>
      <c r="B15" s="3263"/>
      <c r="C15" s="3280"/>
      <c r="D15" s="3299"/>
      <c r="E15" s="123" t="s">
        <v>1283</v>
      </c>
      <c r="F15" s="1627"/>
      <c r="G15" s="1627"/>
      <c r="H15" s="1627"/>
      <c r="I15" s="1281"/>
    </row>
    <row r="16" spans="1:12" ht="12.75">
      <c r="A16" s="3276"/>
      <c r="B16" s="3263"/>
      <c r="C16" s="3281"/>
      <c r="D16" s="3299"/>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6" t="s">
        <v>2131</v>
      </c>
      <c r="F18" s="3287"/>
      <c r="G18" s="3287"/>
      <c r="H18" s="3287"/>
      <c r="I18" s="3287"/>
      <c r="K18" s="294" t="s">
        <v>1289</v>
      </c>
      <c r="L18" s="294">
        <f>IF(C1="",'数据-汇总表'!E3,SUMIF(项目类型,C1,'数据-汇总表'!E17:E26)+SUMIF(项目类型,C1,'数据-汇总表'!I17:I26))</f>
        <v>767.43</v>
      </c>
      <c r="M18" s="294">
        <f>IF(C1="",'数据-汇总表'!E3,SUMIF(项目类型,C1,'数据-汇总表'!E17:E26))</f>
        <v>767.43</v>
      </c>
    </row>
    <row r="19" spans="1:36" ht="15">
      <c r="A19" s="1630" t="s">
        <v>1290</v>
      </c>
      <c r="B19" s="1631" t="s">
        <v>1291</v>
      </c>
      <c r="C19" s="126">
        <f ca="1">SUMIF(INDIRECT("'"&amp;C4&amp;"'"&amp;"!A:A"),结果表!B19,INDIRECT("'"&amp;C4&amp;"'"&amp;"!B:B"))</f>
        <v>1920</v>
      </c>
      <c r="D19" s="127">
        <f ca="1">SUMIF(INDIRECT("'"&amp;D4&amp;"'"&amp;"!A:A"),结果表!B19,INDIRECT("'"&amp;D4&amp;"'"&amp;"!B:B"))</f>
        <v>1025</v>
      </c>
      <c r="E19" s="1630" t="s">
        <v>1292</v>
      </c>
      <c r="F19" s="1631" t="s">
        <v>1291</v>
      </c>
      <c r="G19" s="128">
        <f ca="1">ROUND(C19*$C$18+D19*$D$18,0)</f>
        <v>1562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25024</v>
      </c>
      <c r="D20" s="130">
        <f ca="1">SUMIF(INDIRECT("'"&amp;D4&amp;"'"&amp;"!A:A"),结果表!B20,INDIRECT("'"&amp;D4&amp;"'"&amp;"!B:B"))</f>
        <v>13356</v>
      </c>
      <c r="E20" s="1633"/>
      <c r="F20" s="43" t="s">
        <v>1295</v>
      </c>
      <c r="G20" s="131">
        <f ca="1">ROUND(C20*$C$18+D20*$D$18,0)</f>
        <v>20357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0.87317073170731718</v>
      </c>
      <c r="E22" s="121"/>
      <c r="F22" s="121"/>
      <c r="G22" s="121"/>
      <c r="H22" s="121"/>
      <c r="I22" s="121"/>
    </row>
    <row r="23" spans="1:36" ht="13.5" thickBot="1">
      <c r="A23" s="646"/>
      <c r="B23" s="646"/>
      <c r="C23" s="646"/>
      <c r="D23" s="646"/>
      <c r="E23" s="121"/>
      <c r="F23" s="121"/>
      <c r="G23" s="121"/>
      <c r="H23" s="121"/>
      <c r="I23" s="121"/>
    </row>
    <row r="24" spans="1:36" ht="14.25">
      <c r="A24" s="3270" t="s">
        <v>1299</v>
      </c>
      <c r="B24" s="1631" t="s">
        <v>1291</v>
      </c>
      <c r="C24" s="128">
        <f>IF(B30=0,0,D30)</f>
        <v>0</v>
      </c>
      <c r="D24" s="1637"/>
      <c r="E24" s="121"/>
      <c r="F24" s="121"/>
      <c r="G24" s="121"/>
      <c r="H24" s="121"/>
      <c r="I24" s="121"/>
    </row>
    <row r="25" spans="1:36" ht="14.25">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1562</v>
      </c>
      <c r="D32" s="1641" t="s">
        <v>3420</v>
      </c>
      <c r="E32" s="121"/>
      <c r="F32" s="121"/>
      <c r="G32" s="121"/>
      <c r="H32" s="121"/>
      <c r="I32" s="121"/>
    </row>
    <row r="33" spans="1:15" ht="15">
      <c r="A33" s="740" t="s">
        <v>1306</v>
      </c>
      <c r="B33" s="123"/>
      <c r="C33" s="1642" t="s">
        <v>3421</v>
      </c>
      <c r="D33" s="1643" t="s">
        <v>3410</v>
      </c>
      <c r="E33" s="1644" t="s">
        <v>1307</v>
      </c>
      <c r="F33" s="1645" t="str">
        <f>IF(D32="楼面单价","取值（单价）","取值（总价）")</f>
        <v>取值（总价）</v>
      </c>
      <c r="G33" s="121"/>
      <c r="H33" s="121"/>
      <c r="I33" s="121"/>
    </row>
    <row r="34" spans="1:15" ht="15">
      <c r="A34" s="1646"/>
      <c r="B34" s="1647" t="s">
        <v>1308</v>
      </c>
      <c r="C34" s="140">
        <f ca="1">IF(C33="自定义",F34,C32-C35)</f>
        <v>1067</v>
      </c>
      <c r="D34" s="808">
        <f ca="1">IF(C33="自定义",ROUND(C34/C32,3),IF(C33="收益比率",SUMIF(INDIRECT("'"&amp;D33&amp;"'"&amp;"!b:b"),"土地收益比率",INDIRECT("'"&amp;D33&amp;"'"&amp;"!c:c")),SUMIF(INDIRECT("'"&amp;D33&amp;"'"&amp;"!b:b"),"土地成本比率",INDIRECT("'"&amp;D33&amp;"'"&amp;"!c:c"))))</f>
        <v>0.68300000000000005</v>
      </c>
      <c r="E34" s="1648" t="s">
        <v>1309</v>
      </c>
      <c r="F34" s="1243"/>
      <c r="G34" s="121"/>
      <c r="H34" s="121"/>
      <c r="I34" s="121"/>
    </row>
    <row r="35" spans="1:15" ht="15.75" thickBot="1">
      <c r="A35" s="1649"/>
      <c r="B35" s="1650" t="s">
        <v>1310</v>
      </c>
      <c r="C35" s="1090">
        <f ca="1">IF(C33="自定义",F35,ROUND(C32*D35,0))</f>
        <v>495</v>
      </c>
      <c r="D35" s="1091">
        <f ca="1">IF(C33="自定义",ROUND(C35/C32,3),IF(C33="收益比率",SUMIF(INDIRECT("'"&amp;D33&amp;"'"&amp;"!b:b"),"建筑物收益比率",INDIRECT("'"&amp;D33&amp;"'"&amp;"!c:c")),SUMIF(INDIRECT("'"&amp;D33&amp;"'"&amp;"!b:b"),"建筑物成本比率",INDIRECT("'"&amp;D33&amp;"'"&amp;"!c:c"))))</f>
        <v>0.317</v>
      </c>
      <c r="E35" s="1651" t="s">
        <v>1311</v>
      </c>
      <c r="F35" s="146"/>
      <c r="G35" s="121"/>
      <c r="H35" s="121"/>
      <c r="I35" s="121"/>
    </row>
    <row r="36" spans="1:15" ht="15.75" thickBot="1">
      <c r="A36" s="3290" t="s">
        <v>1312</v>
      </c>
      <c r="B36" s="1652" t="s">
        <v>1313</v>
      </c>
      <c r="C36" s="137"/>
      <c r="D36" s="1653"/>
      <c r="E36" s="1567"/>
      <c r="F36" s="1654"/>
      <c r="G36" s="121"/>
      <c r="H36" s="121"/>
      <c r="I36" s="121"/>
    </row>
    <row r="37" spans="1:15" ht="15.75" thickBot="1">
      <c r="A37" s="3291"/>
      <c r="B37" s="1555" t="s">
        <v>1314</v>
      </c>
      <c r="C37" s="139"/>
      <c r="D37" s="1071"/>
      <c r="E37" s="1071"/>
      <c r="F37" s="1654"/>
      <c r="G37" s="121"/>
      <c r="H37" s="121"/>
      <c r="I37" s="121"/>
    </row>
    <row r="38" spans="1:15" ht="15.75" thickBot="1">
      <c r="A38" s="32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f ca="1">ROUND(H101*F45,0)</f>
        <v>1562</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10">
        <v>1</v>
      </c>
      <c r="K46" s="3326" t="s">
        <v>1331</v>
      </c>
      <c r="L46" s="3326"/>
      <c r="M46" s="3346"/>
      <c r="N46" s="3346"/>
      <c r="O46" s="3346"/>
    </row>
    <row r="47" spans="1:15" ht="12" customHeight="1">
      <c r="A47" s="152" t="s">
        <v>1332</v>
      </c>
      <c r="B47" s="153"/>
      <c r="C47" s="154"/>
      <c r="D47" s="1024" t="s">
        <v>1333</v>
      </c>
      <c r="E47" s="294" t="s">
        <v>1334</v>
      </c>
      <c r="F47" s="155" t="s">
        <v>1335</v>
      </c>
      <c r="G47" s="2333" t="s">
        <v>1336</v>
      </c>
      <c r="H47" s="2334"/>
      <c r="I47" s="151"/>
      <c r="J47" s="2310">
        <v>2</v>
      </c>
      <c r="K47" s="3326" t="s">
        <v>1337</v>
      </c>
      <c r="L47" s="3326"/>
      <c r="M47" s="3347">
        <f>'数据-取费表'!B2</f>
        <v>45817</v>
      </c>
      <c r="N47" s="3347"/>
      <c r="O47" s="3347"/>
    </row>
    <row r="48" spans="1:15" ht="25.5">
      <c r="A48" s="3295" t="s">
        <v>1338</v>
      </c>
      <c r="B48" s="3278"/>
      <c r="C48" s="3278"/>
      <c r="D48" s="12">
        <f ca="1">IF(H48="情况1",0,IF(H48="情况2",D52,IF(H48="情况3",D53,IF(H48="情况4",D54))))</f>
        <v>58</v>
      </c>
      <c r="E48" s="1256" t="str">
        <f>IF(H48="情况4","(销售额-原购置价)×税（费）率","销售额×税（费）率")</f>
        <v>(销售额-原购置价)×税（费）率</v>
      </c>
      <c r="F48" s="2335">
        <f>IF(H48="情况1","免征",'数据-取费表'!B41)</f>
        <v>5.6000000000000001E-2</v>
      </c>
      <c r="G48" s="2336" t="s">
        <v>1339</v>
      </c>
      <c r="H48" s="2337" t="s">
        <v>3422</v>
      </c>
      <c r="I48" s="1668"/>
      <c r="J48" s="2310">
        <v>3</v>
      </c>
      <c r="K48" s="3326" t="s">
        <v>1340</v>
      </c>
      <c r="L48" s="3326"/>
      <c r="M48" s="3348">
        <f ca="1">H101</f>
        <v>1562</v>
      </c>
      <c r="N48" s="3348"/>
      <c r="O48" s="3348"/>
    </row>
    <row r="49" spans="1:35" ht="25.5" customHeight="1">
      <c r="A49" s="2152" t="s">
        <v>1341</v>
      </c>
      <c r="B49" s="3262" t="s">
        <v>1342</v>
      </c>
      <c r="C49" s="3262"/>
      <c r="D49" s="1478">
        <v>0</v>
      </c>
      <c r="E49" s="316" t="s">
        <v>1343</v>
      </c>
      <c r="F49" s="2233" t="s">
        <v>28</v>
      </c>
      <c r="G49" s="3332"/>
      <c r="H49" s="2134" t="s">
        <v>2134</v>
      </c>
      <c r="I49" s="2135"/>
      <c r="J49" s="2310">
        <v>4</v>
      </c>
      <c r="K49" s="3326" t="str">
        <f>IF(项目基本情况!E8="房地产抵押价值","房地产抵押价值","抵押担保权已注销时的房地产抵押价值")</f>
        <v>房地产抵押价值</v>
      </c>
      <c r="L49" s="3326"/>
      <c r="M49" s="3348">
        <f ca="1">IF(项目基本情况!E8="房地产抵押价值",H107,H109)</f>
        <v>1562</v>
      </c>
      <c r="N49" s="3348"/>
      <c r="O49" s="3348"/>
      <c r="Q49" s="3165">
        <f ca="1">M49</f>
        <v>1562</v>
      </c>
    </row>
    <row r="50" spans="1:35" ht="25.5" customHeight="1">
      <c r="A50" s="2338"/>
      <c r="B50" s="3262" t="s">
        <v>1344</v>
      </c>
      <c r="C50" s="3262"/>
      <c r="D50" s="2189"/>
      <c r="E50" s="323"/>
      <c r="F50" s="2233"/>
      <c r="G50" s="3333"/>
      <c r="H50" s="2136" t="s">
        <v>2135</v>
      </c>
      <c r="I50" s="2135"/>
      <c r="J50" s="3345" t="s">
        <v>1345</v>
      </c>
      <c r="K50" s="3345"/>
      <c r="L50" s="3345"/>
      <c r="M50" s="3345"/>
      <c r="N50" s="3345"/>
      <c r="O50" s="3345"/>
      <c r="Q50" s="3165"/>
    </row>
    <row r="51" spans="1:35" ht="20.45" customHeight="1">
      <c r="A51" s="2339"/>
      <c r="B51" s="3262" t="s">
        <v>1346</v>
      </c>
      <c r="C51" s="3262"/>
      <c r="D51" s="1024"/>
      <c r="E51" s="319"/>
      <c r="F51" s="2233"/>
      <c r="G51" s="3334"/>
      <c r="H51" s="2136" t="s">
        <v>2136</v>
      </c>
      <c r="I51" s="2135"/>
      <c r="J51" s="2311" t="s">
        <v>1347</v>
      </c>
      <c r="K51" s="3326" t="s">
        <v>1348</v>
      </c>
      <c r="L51" s="3326"/>
      <c r="M51" s="2311" t="s">
        <v>1349</v>
      </c>
      <c r="N51" s="2311" t="s">
        <v>1350</v>
      </c>
      <c r="O51" s="2311" t="s">
        <v>1351</v>
      </c>
      <c r="Q51" s="3165"/>
    </row>
    <row r="52" spans="1:35" ht="24" customHeight="1">
      <c r="A52" s="2153" t="s">
        <v>1352</v>
      </c>
      <c r="B52" s="3262" t="s">
        <v>1353</v>
      </c>
      <c r="C52" s="3262"/>
      <c r="D52" s="1024">
        <f ca="1">ROUND(D45*'数据-取费表'!B41/(1+'数据-取费表'!C42),0)</f>
        <v>83</v>
      </c>
      <c r="E52" s="1256" t="s">
        <v>1354</v>
      </c>
      <c r="F52" s="2340">
        <f>'数据-取费表'!B41</f>
        <v>5.6000000000000001E-2</v>
      </c>
      <c r="G52" s="2341"/>
      <c r="H52" s="2331"/>
      <c r="I52" s="1669"/>
      <c r="J52" s="2310">
        <v>1</v>
      </c>
      <c r="K52" s="3327" t="s">
        <v>1355</v>
      </c>
      <c r="L52" s="3327"/>
      <c r="M52" s="2312">
        <f ca="1">D48</f>
        <v>58</v>
      </c>
      <c r="N52" s="2310" t="str">
        <f>E48</f>
        <v>(销售额-原购置价)×税（费）率</v>
      </c>
      <c r="O52" s="2313">
        <f>F48</f>
        <v>5.6000000000000001E-2</v>
      </c>
      <c r="Q52" s="3165">
        <f ca="1">M52</f>
        <v>58</v>
      </c>
    </row>
    <row r="53" spans="1:35" ht="12" customHeight="1">
      <c r="A53" s="2153" t="s">
        <v>1356</v>
      </c>
      <c r="B53" s="3288" t="s">
        <v>2282</v>
      </c>
      <c r="C53" s="3289"/>
      <c r="D53" s="1024">
        <f ca="1">ROUND(D45*'数据-取费表'!B41/(1+'数据-取费表'!C42),0)</f>
        <v>83</v>
      </c>
      <c r="E53" s="1256" t="s">
        <v>1354</v>
      </c>
      <c r="F53" s="2340">
        <f>'数据-取费表'!B41</f>
        <v>5.6000000000000001E-2</v>
      </c>
      <c r="G53" s="2341"/>
      <c r="H53" s="2331"/>
      <c r="I53" s="1669"/>
      <c r="J53" s="2310">
        <v>2</v>
      </c>
      <c r="K53" s="3327" t="s">
        <v>1357</v>
      </c>
      <c r="L53" s="3327"/>
      <c r="M53" s="2312">
        <f t="shared" ref="M53:O54" ca="1" si="0">D55</f>
        <v>1</v>
      </c>
      <c r="N53" s="2310" t="str">
        <f t="shared" si="0"/>
        <v>销售额×税（费）率</v>
      </c>
      <c r="O53" s="2313">
        <f t="shared" si="0"/>
        <v>5.0000000000000001E-4</v>
      </c>
      <c r="Q53" s="3165">
        <f ca="1">M53</f>
        <v>1</v>
      </c>
    </row>
    <row r="54" spans="1:35" ht="12" customHeight="1">
      <c r="A54" s="2153" t="s">
        <v>1358</v>
      </c>
      <c r="B54" s="3288" t="s">
        <v>2283</v>
      </c>
      <c r="C54" s="3289"/>
      <c r="D54" s="1024">
        <f ca="1">C68</f>
        <v>58</v>
      </c>
      <c r="E54" s="319" t="s">
        <v>1359</v>
      </c>
      <c r="F54" s="2340">
        <f>'数据-取费表'!B41</f>
        <v>5.6000000000000001E-2</v>
      </c>
      <c r="G54" s="2341"/>
      <c r="H54" s="2342"/>
      <c r="I54" s="1669"/>
      <c r="J54" s="2310">
        <v>3</v>
      </c>
      <c r="K54" s="3327" t="s">
        <v>1360</v>
      </c>
      <c r="L54" s="3327"/>
      <c r="M54" s="2312">
        <f t="shared" ca="1" si="0"/>
        <v>444</v>
      </c>
      <c r="N54" s="2310" t="str">
        <f t="shared" si="0"/>
        <v>增值额×税（费）率</v>
      </c>
      <c r="O54" s="2314" t="str">
        <f t="shared" si="0"/>
        <v>——</v>
      </c>
      <c r="Q54" s="3165">
        <v>0</v>
      </c>
    </row>
    <row r="55" spans="1:35" ht="24" customHeight="1">
      <c r="A55" s="3277" t="s">
        <v>1361</v>
      </c>
      <c r="B55" s="3278"/>
      <c r="C55" s="3278"/>
      <c r="D55" s="12">
        <f ca="1">IF(H55="个人住宅",0,ROUND(D45*I55,0))</f>
        <v>1</v>
      </c>
      <c r="E55" s="1256" t="s">
        <v>1362</v>
      </c>
      <c r="F55" s="2340">
        <f>IF(H55="正常",I55,"免征")</f>
        <v>5.0000000000000001E-4</v>
      </c>
      <c r="G55" s="2341"/>
      <c r="H55" s="2337" t="s">
        <v>3417</v>
      </c>
      <c r="I55" s="157">
        <f>'数据-取费表'!B49</f>
        <v>5.0000000000000001E-4</v>
      </c>
      <c r="J55" s="2310" t="str">
        <f>IF(H59="非个人房产","",4)</f>
        <v/>
      </c>
      <c r="K55" s="3327" t="str">
        <f>IF(H59="非个人房产","——","个人所得税")</f>
        <v>——</v>
      </c>
      <c r="L55" s="3327"/>
      <c r="M55" s="2315" t="str">
        <f>D59</f>
        <v>——</v>
      </c>
      <c r="N55" s="1883" t="str">
        <f>E59</f>
        <v>——</v>
      </c>
      <c r="O55" s="2316" t="str">
        <f>F59</f>
        <v>——</v>
      </c>
      <c r="Q55" s="3165"/>
    </row>
    <row r="56" spans="1:35" ht="24.75">
      <c r="A56" s="3277" t="s">
        <v>1363</v>
      </c>
      <c r="B56" s="3278"/>
      <c r="C56" s="3278"/>
      <c r="D56" s="12">
        <f ca="1">IF(H56="个人住宅",D57,D58)</f>
        <v>444</v>
      </c>
      <c r="E56" s="1256" t="s">
        <v>1364</v>
      </c>
      <c r="F56" s="2340" t="str">
        <f>IF(H56="正常",F58,"免征")</f>
        <v>——</v>
      </c>
      <c r="G56" s="2343" t="s">
        <v>1365</v>
      </c>
      <c r="H56" s="2344" t="s">
        <v>3417</v>
      </c>
      <c r="I56" s="1670"/>
      <c r="J56" s="2310" t="str">
        <f>IF(项目基本情况!K6="上海银行",IF(J55="",4,J55+1),"")</f>
        <v/>
      </c>
      <c r="K56" s="3350" t="str">
        <f>IF(项目基本情况!K6="上海银行","其他处置费用","")</f>
        <v/>
      </c>
      <c r="L56" s="3351"/>
      <c r="M56" s="2312" t="str">
        <f>IF(项目基本情况!K6="上海银行",M69,"")</f>
        <v/>
      </c>
      <c r="N56" s="3350" t="str">
        <f>IF(项目基本情况!K6="上海银行","包含处置中涉及的律师、诉讼、拍卖、评估等费用","")</f>
        <v/>
      </c>
      <c r="O56" s="3353"/>
      <c r="Q56" s="3165"/>
    </row>
    <row r="57" spans="1:35" ht="12.75">
      <c r="A57" s="2153" t="s">
        <v>1341</v>
      </c>
      <c r="B57" s="3288" t="s">
        <v>1366</v>
      </c>
      <c r="C57" s="3289"/>
      <c r="D57" s="1478">
        <v>0</v>
      </c>
      <c r="E57" s="316" t="s">
        <v>1343</v>
      </c>
      <c r="F57" s="294"/>
      <c r="G57" s="2341"/>
      <c r="H57" s="2345"/>
      <c r="I57" s="1670"/>
      <c r="J57" s="3327">
        <f>IF(AND(J55="",J56=""),4,IF(项目基本情况!K6="上海银行",结果表!J56+1,结果表!J55+1))</f>
        <v>4</v>
      </c>
      <c r="K57" s="3327" t="s">
        <v>1367</v>
      </c>
      <c r="L57" s="2317" t="s">
        <v>1368</v>
      </c>
      <c r="M57" s="2318"/>
      <c r="N57" s="2319">
        <f ca="1">SUMIF(M52:M56,"&lt;9e307")</f>
        <v>503</v>
      </c>
      <c r="O57" s="2320"/>
      <c r="P57" s="2465">
        <f ca="1">N57/M49</f>
        <v>0.32202304737516008</v>
      </c>
      <c r="Q57" s="3165">
        <f ca="1">Q52+Q53+Q54</f>
        <v>59</v>
      </c>
    </row>
    <row r="58" spans="1:35" ht="24.75">
      <c r="A58" s="2153" t="s">
        <v>1352</v>
      </c>
      <c r="B58" s="3288" t="s">
        <v>1369</v>
      </c>
      <c r="C58" s="3262"/>
      <c r="D58" s="12">
        <f ca="1">IF(H58="转让取得",C81,C97)</f>
        <v>444</v>
      </c>
      <c r="E58" s="1256" t="s">
        <v>1364</v>
      </c>
      <c r="F58" s="294" t="s">
        <v>28</v>
      </c>
      <c r="G58" s="2341"/>
      <c r="H58" s="2344" t="s">
        <v>3423</v>
      </c>
      <c r="I58" s="1670"/>
      <c r="J58" s="3327"/>
      <c r="K58" s="3327"/>
      <c r="L58" s="2317" t="s">
        <v>1370</v>
      </c>
      <c r="M58" s="2321"/>
      <c r="N58" s="2322" t="str">
        <f ca="1">NUMBERSTRING(INT(N57*10000),2)&amp;"元整"</f>
        <v>伍佰零叁万元整</v>
      </c>
      <c r="O58" s="2323"/>
      <c r="Q58" s="3165"/>
    </row>
    <row r="59" spans="1:35" ht="24.75" thickBot="1">
      <c r="A59" s="3330" t="s">
        <v>1371</v>
      </c>
      <c r="B59" s="3331"/>
      <c r="C59" s="333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3424</v>
      </c>
      <c r="I59" s="2137" t="s">
        <v>2137</v>
      </c>
      <c r="J59" s="3328">
        <f>J57+1</f>
        <v>5</v>
      </c>
      <c r="K59" s="3327" t="s">
        <v>1372</v>
      </c>
      <c r="L59" s="2310" t="s">
        <v>1368</v>
      </c>
      <c r="M59" s="2324"/>
      <c r="N59" s="2325">
        <f ca="1">M49-N57</f>
        <v>1059</v>
      </c>
      <c r="O59" s="2326"/>
      <c r="Q59" s="3165">
        <f ca="1">Q49-Q57</f>
        <v>1503</v>
      </c>
    </row>
    <row r="60" spans="1:35" ht="12" customHeight="1">
      <c r="A60" s="1671"/>
      <c r="B60" s="646"/>
      <c r="C60" s="646"/>
      <c r="D60" s="646"/>
      <c r="E60" s="1466"/>
      <c r="F60" s="1670"/>
      <c r="G60" s="1670"/>
      <c r="H60" s="151"/>
      <c r="I60" s="121"/>
      <c r="J60" s="3329"/>
      <c r="K60" s="3327"/>
      <c r="L60" s="2317" t="s">
        <v>1370</v>
      </c>
      <c r="M60" s="2321"/>
      <c r="N60" s="2322" t="str">
        <f ca="1">NUMBERSTRING(INT(N59*10000),2)&amp;"元整"</f>
        <v>壹仟零伍拾玖万元整</v>
      </c>
      <c r="O60" s="2323"/>
    </row>
    <row r="61" spans="1:35" ht="13.5" thickBot="1">
      <c r="A61" s="3275" t="s">
        <v>1373</v>
      </c>
      <c r="B61" s="3275"/>
      <c r="C61" s="3275"/>
      <c r="D61" s="3275"/>
      <c r="E61" s="3275"/>
      <c r="F61" s="1670"/>
      <c r="G61" s="1670"/>
      <c r="H61" s="151"/>
      <c r="I61" s="121"/>
      <c r="J61" s="2310">
        <f>J59+1</f>
        <v>6</v>
      </c>
      <c r="K61" s="3327" t="s">
        <v>1374</v>
      </c>
      <c r="L61" s="3327"/>
      <c r="M61" s="2327"/>
      <c r="N61" s="2328">
        <f ca="1">ROUND(N59*10000/'数据-汇总表'!E3,0)</f>
        <v>13799</v>
      </c>
      <c r="O61" s="2329"/>
    </row>
    <row r="62" spans="1:35" ht="12.75">
      <c r="A62" s="3293" t="s">
        <v>1375</v>
      </c>
      <c r="B62" s="3294"/>
      <c r="C62" s="1865"/>
      <c r="D62" s="1865" t="s">
        <v>1376</v>
      </c>
      <c r="E62" s="158" t="s">
        <v>1377</v>
      </c>
      <c r="F62" s="1670"/>
      <c r="G62" s="1670"/>
      <c r="H62" s="151"/>
      <c r="I62" s="121"/>
    </row>
    <row r="63" spans="1:35" ht="12.75">
      <c r="A63" s="165" t="s">
        <v>330</v>
      </c>
      <c r="B63" s="159" t="s">
        <v>1378</v>
      </c>
      <c r="C63" s="2350">
        <f ca="1">ROUND((C64+C65)/(1+'数据-取费表'!C42),0)</f>
        <v>1488</v>
      </c>
      <c r="D63" s="159"/>
      <c r="E63" s="160"/>
      <c r="F63" s="1670"/>
      <c r="G63" s="1670"/>
      <c r="H63" s="151"/>
      <c r="I63" s="121"/>
      <c r="J63" s="3352" t="s">
        <v>1379</v>
      </c>
      <c r="K63" s="1245" t="s">
        <v>1380</v>
      </c>
      <c r="L63" s="1245">
        <f ca="1">IF(M49&gt;10000,M49*0.5%,IF(AND(M49&gt;1000,M49&lt;=10000),M49*1%,IF(AND(M49&gt;100,M49&lt;=1000),M49*3%,IF(AND(M49&gt;10,M49&lt;=100),M49*5%,M49*8%))))</f>
        <v>15.620000000000001</v>
      </c>
      <c r="M63" s="294">
        <f ca="1">ROUND(L63,1)</f>
        <v>15.6</v>
      </c>
      <c r="N63" s="2330"/>
      <c r="Z63" s="1623"/>
      <c r="AI63" s="1561"/>
    </row>
    <row r="64" spans="1:35" ht="14.25" customHeight="1">
      <c r="A64" s="161" t="s">
        <v>325</v>
      </c>
      <c r="B64" s="162" t="s">
        <v>1381</v>
      </c>
      <c r="C64" s="2351">
        <f ca="1">D45</f>
        <v>1562</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9.3719999999999999</v>
      </c>
      <c r="M64" s="294">
        <f t="shared" ref="M64:M65" ca="1" si="1">ROUND(L64,1)</f>
        <v>9.4</v>
      </c>
      <c r="N64" s="2331" t="s">
        <v>1383</v>
      </c>
      <c r="Z64" s="1623"/>
      <c r="AI64" s="1561"/>
    </row>
    <row r="65" spans="1:35" ht="14.25" customHeight="1">
      <c r="A65" s="161" t="s">
        <v>326</v>
      </c>
      <c r="B65" s="162" t="s">
        <v>1384</v>
      </c>
      <c r="C65" s="2352"/>
      <c r="D65" s="162"/>
      <c r="E65" s="164"/>
      <c r="F65" s="1670"/>
      <c r="G65" s="1670"/>
      <c r="H65" s="151"/>
      <c r="I65" s="121"/>
      <c r="J65" s="3352"/>
      <c r="K65" s="1245" t="s">
        <v>1385</v>
      </c>
      <c r="L65" s="1245">
        <f ca="1">IF(M49&gt;1000,M49*0.1%,IF(AND(M49&gt;500,M49&lt;=1000),M49*0.5%,IF(AND(M49&gt;50,M49&lt;=500),M49*1%,IF(AND(M49&gt;1,M49&lt;=50),M49*1.5%))))</f>
        <v>1.5620000000000001</v>
      </c>
      <c r="M65" s="294">
        <f t="shared" ca="1" si="1"/>
        <v>1.6</v>
      </c>
      <c r="N65" s="2331" t="s">
        <v>1383</v>
      </c>
      <c r="Z65" s="1623"/>
      <c r="AI65" s="1561"/>
    </row>
    <row r="66" spans="1:35" ht="14.25" customHeight="1">
      <c r="A66" s="165" t="s">
        <v>327</v>
      </c>
      <c r="B66" s="166" t="s">
        <v>1386</v>
      </c>
      <c r="C66" s="2353">
        <f>C75</f>
        <v>449</v>
      </c>
      <c r="D66" s="166" t="s">
        <v>26</v>
      </c>
      <c r="E66" s="1251" t="s">
        <v>671</v>
      </c>
      <c r="F66" s="1670"/>
      <c r="G66" s="1670"/>
      <c r="H66" s="151"/>
      <c r="I66" s="121"/>
      <c r="J66" s="3352"/>
      <c r="K66" s="1245" t="s">
        <v>1387</v>
      </c>
      <c r="L66" s="1245">
        <f ca="1">M49*0.5%</f>
        <v>7.8100000000000005</v>
      </c>
      <c r="M66" s="294">
        <f ca="1">IF(L66&gt;0.5,0.5,ROUND(L66,0))</f>
        <v>0.5</v>
      </c>
      <c r="N66" s="2331" t="s">
        <v>1388</v>
      </c>
      <c r="Z66" s="1623"/>
      <c r="AI66" s="1561"/>
    </row>
    <row r="67" spans="1:35" ht="14.25" customHeight="1">
      <c r="A67" s="165" t="s">
        <v>328</v>
      </c>
      <c r="B67" s="166" t="s">
        <v>1389</v>
      </c>
      <c r="C67" s="2354">
        <f ca="1">C63-C66</f>
        <v>1039</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3.593</v>
      </c>
      <c r="M67" s="294">
        <f ca="1">ROUND(L67*0.9,1)</f>
        <v>3.2</v>
      </c>
      <c r="N67" s="2330"/>
      <c r="Z67" s="1623"/>
      <c r="AI67" s="1561"/>
    </row>
    <row r="68" spans="1:35" ht="14.25" customHeight="1" thickBot="1">
      <c r="A68" s="168" t="s">
        <v>329</v>
      </c>
      <c r="B68" s="169" t="s">
        <v>1391</v>
      </c>
      <c r="C68" s="2355">
        <f ca="1">IF(C67&lt;=0,0,ROUND(C67*D68,0))</f>
        <v>58</v>
      </c>
      <c r="D68" s="2356">
        <f>'数据-取费表'!B41</f>
        <v>5.6000000000000001E-2</v>
      </c>
      <c r="E68" s="170"/>
      <c r="F68" s="1670"/>
      <c r="G68" s="1670"/>
      <c r="H68" s="151"/>
      <c r="I68" s="121"/>
      <c r="J68" s="3352"/>
      <c r="K68" s="1245" t="s">
        <v>1392</v>
      </c>
      <c r="L68" s="1245">
        <f ca="1">IF(M49&gt;10000,M49*0.5%,IF(AND(M49&gt;5000,M49&lt;=10000),M49*1%,IF(AND(M49&gt;1000,M49&lt;=5000),M49*2%,IF(AND(M49&gt;200,M49&lt;=1000),M49*3%,M49*5%))))</f>
        <v>31.240000000000002</v>
      </c>
      <c r="M68" s="294">
        <f ca="1">ROUND(L68,1)</f>
        <v>31.2</v>
      </c>
      <c r="N68" s="2330"/>
      <c r="Z68" s="1623"/>
      <c r="AI68" s="1561"/>
    </row>
    <row r="69" spans="1:35" ht="16.5" customHeight="1">
      <c r="A69" s="1672"/>
      <c r="B69" s="1673"/>
      <c r="C69" s="1674"/>
      <c r="D69" s="1675"/>
      <c r="E69" s="1676"/>
      <c r="F69" s="1466"/>
      <c r="G69" s="1466"/>
      <c r="H69" s="1467"/>
      <c r="I69" s="646"/>
      <c r="J69" s="3352"/>
      <c r="K69" s="1245" t="s">
        <v>1393</v>
      </c>
      <c r="L69" s="1245"/>
      <c r="M69" s="294">
        <f ca="1">ROUND(SUM(M63:M68),0)</f>
        <v>62</v>
      </c>
      <c r="N69" s="2332">
        <f ca="1">M69/M49</f>
        <v>3.9692701664532648E-2</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1488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472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463</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f>ROUND(4490199.51/10000,0)</f>
        <v>449</v>
      </c>
      <c r="D75" s="162" t="s">
        <v>26</v>
      </c>
      <c r="E75" s="176" t="s">
        <v>1399</v>
      </c>
      <c r="F75" s="2358" t="s">
        <v>3425</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3426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1016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2.152542372881356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444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1488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4" t="s">
        <v>2129</v>
      </c>
      <c r="H90" s="335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2" t="s">
        <v>1422</v>
      </c>
      <c r="F92" s="3273"/>
      <c r="G92" s="3273"/>
      <c r="H92" s="328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1479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884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1" t="str">
        <f>C4</f>
        <v>比较法-办公</v>
      </c>
      <c r="D101" s="2372" t="str">
        <f>D4</f>
        <v>收益法</v>
      </c>
      <c r="E101" s="3349" t="s">
        <v>1431</v>
      </c>
      <c r="F101" s="3306"/>
      <c r="G101" s="1687" t="s">
        <v>1432</v>
      </c>
      <c r="H101" s="2381">
        <f ca="1">H118</f>
        <v>1562</v>
      </c>
      <c r="I101" s="121"/>
    </row>
    <row r="102" spans="1:35" ht="18.75" customHeight="1">
      <c r="A102" s="3308" t="s">
        <v>1433</v>
      </c>
      <c r="B102" s="2370" t="s">
        <v>1432</v>
      </c>
      <c r="C102" s="2371">
        <f ca="1">IF(D32="楼面单价",ROUND(C19,0),C19)</f>
        <v>1920</v>
      </c>
      <c r="D102" s="2372">
        <f ca="1">IF(D32="楼面单价",ROUND(D19,0),D19)</f>
        <v>1025</v>
      </c>
      <c r="E102" s="3349"/>
      <c r="F102" s="3306"/>
      <c r="G102" s="1687" t="s">
        <v>1434</v>
      </c>
      <c r="H102" s="2341">
        <f ca="1">I118</f>
        <v>20354</v>
      </c>
      <c r="I102" s="121"/>
    </row>
    <row r="103" spans="1:35" ht="42.75" customHeight="1">
      <c r="A103" s="3308"/>
      <c r="B103" s="2370" t="s">
        <v>1434</v>
      </c>
      <c r="C103" s="2373">
        <f ca="1">C20</f>
        <v>25024</v>
      </c>
      <c r="D103" s="2374">
        <f ca="1">D20</f>
        <v>13356</v>
      </c>
      <c r="E103" s="3343" t="s">
        <v>1435</v>
      </c>
      <c r="F103" s="3344"/>
      <c r="G103" s="1688" t="s">
        <v>1436</v>
      </c>
      <c r="H103" s="2381">
        <f>IF(D36="正常操作",H104+H105+H106,H105+H106)</f>
        <v>0</v>
      </c>
      <c r="I103" s="121"/>
    </row>
    <row r="104" spans="1:35" ht="18.75" customHeight="1">
      <c r="A104" s="3308" t="s">
        <v>1437</v>
      </c>
      <c r="B104" s="2375" t="s">
        <v>1432</v>
      </c>
      <c r="C104" s="2376">
        <f ca="1">H118</f>
        <v>1562</v>
      </c>
      <c r="D104" s="2377"/>
      <c r="E104" s="1555" t="s">
        <v>1438</v>
      </c>
      <c r="F104" s="1548"/>
      <c r="G104" s="1688" t="s">
        <v>1436</v>
      </c>
      <c r="H104" s="2382">
        <f>IF(D36="同一抵押权人同一抵押物续贷",C36&amp;"（续贷，未扣减，详见特别提示）",C36)</f>
        <v>0</v>
      </c>
      <c r="I104" s="121"/>
    </row>
    <row r="105" spans="1:35" ht="18.75" customHeight="1" thickBot="1">
      <c r="A105" s="3309"/>
      <c r="B105" s="2378" t="s">
        <v>1434</v>
      </c>
      <c r="C105" s="2379">
        <f ca="1">I118</f>
        <v>20354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5" t="str">
        <f>IF(项目基本情况!E8="已注销","——","3.房地产抵押价值")</f>
        <v>3.房地产抵押价值</v>
      </c>
      <c r="F107" s="3306"/>
      <c r="G107" s="1687" t="s">
        <v>1432</v>
      </c>
      <c r="H107" s="2381">
        <f ca="1">IF(E107="——","——",H101-H103)</f>
        <v>1562</v>
      </c>
      <c r="I107" s="121"/>
    </row>
    <row r="108" spans="1:35" ht="18.75" customHeight="1">
      <c r="A108" s="121"/>
      <c r="B108" s="121"/>
      <c r="C108" s="121"/>
      <c r="D108" s="121"/>
      <c r="E108" s="3305"/>
      <c r="F108" s="3306"/>
      <c r="G108" s="1687" t="s">
        <v>1434</v>
      </c>
      <c r="H108" s="2341">
        <f ca="1">IF(H107=H101,H102,ROUND(H107*10000/'数据-汇总表'!E3,0))</f>
        <v>20354</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4" t="str">
        <f>IF(E109="——","——",H101-H105-H106)</f>
        <v>——</v>
      </c>
      <c r="I109" s="121"/>
    </row>
    <row r="110" spans="1:35" ht="18.75" customHeight="1">
      <c r="A110" s="121"/>
      <c r="B110" s="121"/>
      <c r="C110" s="121"/>
      <c r="D110" s="121"/>
      <c r="E110" s="3305"/>
      <c r="F110" s="3306"/>
      <c r="G110" s="1687" t="s">
        <v>1434</v>
      </c>
      <c r="H110" s="2341"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81" t="str">
        <f>IF(E111="——","——",N59)</f>
        <v>——</v>
      </c>
      <c r="I111" s="121"/>
    </row>
    <row r="112" spans="1:35" ht="18.75" customHeight="1" thickBot="1">
      <c r="A112" s="121"/>
      <c r="B112" s="121"/>
      <c r="C112" s="121"/>
      <c r="D112" s="121"/>
      <c r="E112" s="3338"/>
      <c r="F112" s="3339"/>
      <c r="G112" s="1690" t="s">
        <v>1434</v>
      </c>
      <c r="H112" s="2385"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767.43</v>
      </c>
      <c r="C118" s="2150">
        <f>M19</f>
        <v>0</v>
      </c>
      <c r="D118" s="2150">
        <f ca="1">ROUND(IF(D32="总价",C34,E118*B118/10000),0)</f>
        <v>1067</v>
      </c>
      <c r="E118" s="2150">
        <f ca="1">ROUND(IF(C33="自定义",IF(D32="楼面单价",C34,D118*10000/B118),I118-G118),0)</f>
        <v>13904</v>
      </c>
      <c r="F118" s="2150">
        <f ca="1">ROUND(IF(D32="总价",C35,G118*B118/10000),0)</f>
        <v>495</v>
      </c>
      <c r="G118" s="2150">
        <f ca="1">ROUND(IF(D32="楼面单价",C35,F118*10000/B118),0)</f>
        <v>6450</v>
      </c>
      <c r="H118" s="2150">
        <f ca="1">ROUND(IF(D32="总价",C32,I118*B118/10000),0)</f>
        <v>1562</v>
      </c>
      <c r="I118" s="2150">
        <f ca="1">ROUND(IF(D32="楼面单价",C32,H118*10000/B118),0)</f>
        <v>20354</v>
      </c>
    </row>
    <row r="119" spans="1:27" ht="18.75" customHeight="1">
      <c r="A119" s="3276" t="s">
        <v>1452</v>
      </c>
      <c r="B119" s="3276"/>
      <c r="C119" s="3276"/>
      <c r="D119" s="3316" t="str">
        <f ca="1">NUMBERSTRING(INT(D118*10000),2)&amp;"元整"</f>
        <v>壹仟零陆拾柒万元整</v>
      </c>
      <c r="E119" s="3318"/>
      <c r="F119" s="3316" t="str">
        <f ca="1">NUMBERSTRING(INT(F118*10000),2)&amp;"元整"</f>
        <v>肆佰玖拾伍万元整</v>
      </c>
      <c r="G119" s="3318"/>
      <c r="H119" s="3316" t="str">
        <f ca="1">NUMBERSTRING(INT(H118*10000),2)&amp;"元整"</f>
        <v>壹仟伍佰陆拾贰万元整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1562</v>
      </c>
      <c r="E122" s="3341"/>
      <c r="F122" s="3341"/>
      <c r="G122" s="3341"/>
      <c r="H122" s="3341"/>
      <c r="I122" s="3342"/>
      <c r="AA122" s="684"/>
    </row>
    <row r="123" spans="1:27" ht="18.75" customHeight="1">
      <c r="A123" s="3276" t="s">
        <v>1452</v>
      </c>
      <c r="B123" s="3276"/>
      <c r="C123" s="3276"/>
      <c r="D123" s="3316" t="str">
        <f ca="1">NUMBERSTRING(INT(D122*10000),2)&amp;"元整"</f>
        <v>壹仟伍佰陆拾贰万元整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4391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767.43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767.43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767.43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8.9999999999999998E-4</v>
      </c>
      <c r="D44" s="230"/>
      <c r="E44" s="230"/>
      <c r="F44" s="231"/>
      <c r="G44" s="3358"/>
    </row>
    <row r="45" spans="1:7" s="206" customFormat="1" ht="13.5" customHeight="1">
      <c r="A45" s="247" t="s">
        <v>1547</v>
      </c>
      <c r="B45" s="236" t="s">
        <v>1513</v>
      </c>
      <c r="C45" s="237">
        <f ca="1">C46</f>
        <v>53</v>
      </c>
      <c r="D45" s="227">
        <f ca="1">C47</f>
        <v>4.4999999999999997E-3</v>
      </c>
      <c r="E45" s="228" t="s">
        <v>1539</v>
      </c>
      <c r="F45" s="238">
        <f ca="1">F27</f>
        <v>0.15</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453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317</v>
      </c>
      <c r="D51" s="224"/>
      <c r="E51" s="224"/>
      <c r="F51" s="256"/>
      <c r="G51" s="226" t="s">
        <v>1560</v>
      </c>
    </row>
    <row r="52" spans="1:7" s="200" customFormat="1" ht="16.5" thickBot="1">
      <c r="A52" s="257" t="s">
        <v>1561</v>
      </c>
      <c r="B52" s="258"/>
      <c r="C52" s="259">
        <f ca="1">C31+C51</f>
        <v>337</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 sqref="F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359.44400000000002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153486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153486</v>
      </c>
      <c r="D10" s="795">
        <f ca="1">IF(B1="",'数据-汇总表'!E6,IF(INDIRECT("'数据-取费表'!c"&amp;$G$1)="住宅",INDIRECT("'数据-取费表'!s"&amp;$G$1),INDIRECT("'数据-取费表'!k"&amp;$G$1)+INDIRECT("'数据-取费表'!s"&amp;$G$1)))</f>
        <v>767.43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153486</v>
      </c>
      <c r="D19" s="204">
        <f ca="1">D9+D10</f>
        <v>767.43</v>
      </c>
      <c r="E19" s="203">
        <f>'数据-取费表'!B31</f>
        <v>200</v>
      </c>
      <c r="F19" s="223"/>
      <c r="G19" s="1714"/>
    </row>
    <row r="20" spans="1:7" s="206" customFormat="1" ht="13.5" customHeight="1">
      <c r="A20" s="247" t="s">
        <v>1574</v>
      </c>
      <c r="B20" s="202" t="s">
        <v>1575</v>
      </c>
      <c r="C20" s="224">
        <f ca="1">ROUND((C5+C19)*F20,0)</f>
        <v>6139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18878</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9347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9347</v>
      </c>
      <c r="D24" s="230"/>
      <c r="E24" s="230"/>
      <c r="F24" s="231"/>
      <c r="G24" s="232" t="s">
        <v>1586</v>
      </c>
    </row>
    <row r="25" spans="1:7" s="206" customFormat="1" ht="24">
      <c r="A25" s="734" t="s">
        <v>1476</v>
      </c>
      <c r="B25" s="207" t="s">
        <v>1587</v>
      </c>
      <c r="C25" s="230">
        <f ca="1">ROUND(IF('数据-取费表'!B22&lt;=1,C20*F22*'数据-取费表'!B22/2,C20*(POWER((1+F22),'数据-取费表'!B22/2)-1)),0)</f>
        <v>184</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46967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46967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415841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3438086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3069720</v>
      </c>
      <c r="D34" s="209"/>
      <c r="E34" s="212"/>
      <c r="F34" s="249"/>
      <c r="G34" s="211"/>
    </row>
    <row r="35" spans="1:7" ht="13.5" customHeight="1">
      <c r="A35" s="734" t="s">
        <v>351</v>
      </c>
      <c r="B35" s="207" t="s">
        <v>1527</v>
      </c>
      <c r="C35" s="212">
        <f ca="1">ROUND(C34*F35,0)</f>
        <v>153486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153486</v>
      </c>
      <c r="D37" s="209">
        <f ca="1">D19</f>
        <v>767.43</v>
      </c>
      <c r="E37" s="241">
        <f>'数据-取费表'!B35</f>
        <v>200</v>
      </c>
      <c r="F37" s="251"/>
      <c r="G37" s="253"/>
    </row>
    <row r="38" spans="1:7" ht="13.5" customHeight="1">
      <c r="A38" s="734" t="s">
        <v>354</v>
      </c>
      <c r="B38" s="207" t="s">
        <v>1533</v>
      </c>
      <c r="C38" s="212">
        <f ca="1">ROUND(C34*F38,0)</f>
        <v>61394</v>
      </c>
      <c r="D38" s="212"/>
      <c r="E38" s="212"/>
      <c r="F38" s="251">
        <f>'数据-取费表'!B36</f>
        <v>0.02</v>
      </c>
      <c r="G38" s="211" t="s">
        <v>1528</v>
      </c>
    </row>
    <row r="39" spans="1:7" s="206" customFormat="1" ht="13.5" customHeight="1">
      <c r="A39" s="247" t="s">
        <v>1534</v>
      </c>
      <c r="B39" s="202" t="s">
        <v>1535</v>
      </c>
      <c r="C39" s="224">
        <f ca="1">ROUND(C33*F20,0)</f>
        <v>68762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105206</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103143</v>
      </c>
      <c r="D42" s="230"/>
      <c r="E42" s="230"/>
      <c r="F42" s="231"/>
      <c r="G42" s="3356" t="s">
        <v>1591</v>
      </c>
    </row>
    <row r="43" spans="1:7" ht="13.5" customHeight="1">
      <c r="A43" s="734" t="s">
        <v>347</v>
      </c>
      <c r="B43" s="207" t="s">
        <v>1545</v>
      </c>
      <c r="C43" s="230">
        <f ca="1">ROUND(IF('数据-取费表'!B22&lt;=1,C39*F22*'数据-取费表'!B20/2,C39*(POWER((1+F22),'数据-取费表'!B20/2)-1)),0)</f>
        <v>2063</v>
      </c>
      <c r="D43" s="230"/>
      <c r="E43" s="230"/>
      <c r="F43" s="231"/>
      <c r="G43" s="3357"/>
    </row>
    <row r="44" spans="1:7" ht="13.5" customHeight="1">
      <c r="A44" s="734" t="s">
        <v>348</v>
      </c>
      <c r="B44" s="207" t="s">
        <v>1546</v>
      </c>
      <c r="C44" s="230">
        <f ca="1">ROUND(IF('数据-取费表'!B22&lt;=1,C40*F22*'数据-取费表'!B20/2,C40*(POWER((1+F22),'数据-取费表'!B20/2)-1)),4)</f>
        <v>8.9999999999999998E-4</v>
      </c>
      <c r="D44" s="230"/>
      <c r="E44" s="230"/>
      <c r="F44" s="231"/>
      <c r="G44" s="3358"/>
    </row>
    <row r="45" spans="1:7" s="206" customFormat="1" ht="13.5" customHeight="1">
      <c r="A45" s="247" t="s">
        <v>1547</v>
      </c>
      <c r="B45" s="236" t="s">
        <v>1513</v>
      </c>
      <c r="C45" s="237">
        <f ca="1">C46</f>
        <v>526027</v>
      </c>
      <c r="D45" s="227">
        <f ca="1">C47</f>
        <v>4.4999999999999997E-3</v>
      </c>
      <c r="E45" s="228" t="s">
        <v>1539</v>
      </c>
      <c r="F45" s="238">
        <f ca="1">F27</f>
        <v>0.15</v>
      </c>
      <c r="G45" s="239" t="s">
        <v>1548</v>
      </c>
    </row>
    <row r="46" spans="1:7" s="206" customFormat="1" ht="13.5" customHeight="1">
      <c r="A46" s="734" t="s">
        <v>346</v>
      </c>
      <c r="B46" s="240" t="s">
        <v>1549</v>
      </c>
      <c r="C46" s="241">
        <f ca="1">ROUND((C33+C39)*F27,0)</f>
        <v>526027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4540855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3178599</v>
      </c>
      <c r="D51" s="224"/>
      <c r="E51" s="224"/>
      <c r="F51" s="256"/>
      <c r="G51" s="226" t="s">
        <v>1560</v>
      </c>
    </row>
    <row r="52" spans="1:7" s="200" customFormat="1" ht="16.5" thickBot="1">
      <c r="A52" s="257" t="s">
        <v>1561</v>
      </c>
      <c r="B52" s="258"/>
      <c r="C52" s="259">
        <f ca="1">C31+C51</f>
        <v>3594440</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51" sqref="N5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767.43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767.43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767.43</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366"/>
      <c r="B4" s="3367"/>
      <c r="C4" s="3367"/>
      <c r="D4" s="3368"/>
      <c r="E4" s="3368"/>
      <c r="F4" s="3368"/>
      <c r="G4" s="3368"/>
      <c r="H4" s="3368"/>
      <c r="I4" s="3368"/>
      <c r="J4" s="33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3" t="s">
        <v>1960</v>
      </c>
      <c r="X8" s="33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65"/>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0" t="s">
        <v>3245</v>
      </c>
      <c r="B20" s="159" t="s">
        <v>1994</v>
      </c>
      <c r="C20" s="3032" t="e">
        <f>ROUND(IF(F21="与级别开发程度一致",0,(G21-E21)/C21),0)</f>
        <v>#DIV/0!</v>
      </c>
      <c r="D20" s="3047" t="s">
        <v>1998</v>
      </c>
      <c r="E20" s="3048"/>
      <c r="F20" s="3376" t="s">
        <v>1995</v>
      </c>
      <c r="G20" s="33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45817</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5"/>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2" t="s">
        <v>3285</v>
      </c>
      <c r="B103" s="3372"/>
      <c r="C103" s="3372"/>
      <c r="D103" s="3372"/>
      <c r="E103" s="3372"/>
      <c r="F103" s="3372"/>
      <c r="G103" s="3372"/>
      <c r="H103" s="3372"/>
      <c r="I103" s="3372"/>
      <c r="J103" s="3372"/>
      <c r="K103" s="1667"/>
      <c r="L103" s="1667"/>
      <c r="M103" s="1667"/>
      <c r="N103" s="1667"/>
    </row>
    <row r="104" spans="1:14">
      <c r="A104" s="3373" t="s">
        <v>3286</v>
      </c>
      <c r="B104" s="3373" t="s">
        <v>3287</v>
      </c>
      <c r="C104" s="3091" t="s">
        <v>3288</v>
      </c>
      <c r="D104" s="3092"/>
      <c r="E104" s="3092"/>
      <c r="F104" s="3092"/>
      <c r="G104" s="3092"/>
      <c r="H104" s="3092"/>
      <c r="I104" s="3092"/>
      <c r="J104" s="3093"/>
      <c r="K104" s="3094"/>
      <c r="L104" s="3094"/>
      <c r="M104" s="3094"/>
      <c r="N104" s="3094"/>
    </row>
    <row r="105" spans="1:14">
      <c r="A105" s="3373"/>
      <c r="B105" s="3373"/>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9"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0"/>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2" t="s">
        <v>3302</v>
      </c>
      <c r="B113" s="3362"/>
      <c r="C113" s="3362"/>
      <c r="D113" s="3362"/>
      <c r="E113" s="3362"/>
      <c r="F113" s="3362"/>
      <c r="G113" s="3362"/>
      <c r="H113" s="3362"/>
      <c r="I113" s="3362"/>
      <c r="J113" s="33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21</v>
      </c>
      <c r="E1" s="3125" t="s">
        <v>3415</v>
      </c>
      <c r="F1" s="1735" t="s">
        <v>3416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2235.2166000000002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29126</v>
      </c>
      <c r="C3" s="344" t="s">
        <v>1768</v>
      </c>
      <c r="D3" s="343">
        <f>IF(D1="",'数据-汇总表'!E3,SUMIF('数据-汇总表'!$C19:$C33,D1,'数据-汇总表'!$E19:$E33))</f>
        <v>767.43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406" t="s">
        <v>1771</v>
      </c>
      <c r="S4" s="3407"/>
      <c r="T4" s="3406" t="s">
        <v>1772</v>
      </c>
      <c r="U4" s="3407"/>
      <c r="V4" s="3379" t="s">
        <v>1773</v>
      </c>
      <c r="W4" s="3379"/>
      <c r="X4" s="1265"/>
      <c r="Y4" s="3406" t="s">
        <v>1775</v>
      </c>
      <c r="Z4" s="3407"/>
      <c r="AA4" s="3393" t="s">
        <v>1771</v>
      </c>
      <c r="AB4" s="3379" t="s">
        <v>1772</v>
      </c>
      <c r="AC4" s="3393" t="s">
        <v>1773</v>
      </c>
    </row>
    <row r="5" spans="1:29" ht="15">
      <c r="A5" s="348"/>
      <c r="B5" s="349"/>
      <c r="C5" s="3414" t="s">
        <v>1673</v>
      </c>
      <c r="D5" s="3415"/>
      <c r="E5" s="3421" t="s">
        <v>1674</v>
      </c>
      <c r="F5" s="3422"/>
      <c r="G5" s="3414" t="s">
        <v>1675</v>
      </c>
      <c r="H5" s="3415"/>
      <c r="I5" s="3414" t="s">
        <v>1676</v>
      </c>
      <c r="J5" s="3415"/>
      <c r="K5" s="537"/>
      <c r="L5" s="2487"/>
      <c r="M5" s="2488"/>
      <c r="N5" s="2488"/>
      <c r="O5" s="2488"/>
      <c r="P5" s="3402"/>
      <c r="Q5" s="3403"/>
      <c r="R5" s="3408"/>
      <c r="S5" s="3409"/>
      <c r="T5" s="3408"/>
      <c r="U5" s="3409"/>
      <c r="V5" s="3379"/>
      <c r="W5" s="3379"/>
      <c r="X5" s="1265"/>
      <c r="Y5" s="3408"/>
      <c r="Z5" s="3409"/>
      <c r="AA5" s="3394"/>
      <c r="AB5" s="3379"/>
      <c r="AC5" s="3394"/>
    </row>
    <row r="6" spans="1:29" ht="15.75" thickBot="1">
      <c r="A6" s="350"/>
      <c r="B6" s="351"/>
      <c r="C6" s="3412" t="s">
        <v>1677</v>
      </c>
      <c r="D6" s="3413"/>
      <c r="E6" s="3419" t="s">
        <v>1677</v>
      </c>
      <c r="F6" s="3420"/>
      <c r="G6" s="3412" t="s">
        <v>1677</v>
      </c>
      <c r="H6" s="3413"/>
      <c r="I6" s="3412" t="s">
        <v>1677</v>
      </c>
      <c r="J6" s="3413"/>
      <c r="K6" s="537" t="s">
        <v>1678</v>
      </c>
      <c r="L6" s="2487"/>
      <c r="M6" s="2488"/>
      <c r="N6" s="2488"/>
      <c r="O6" s="2488"/>
      <c r="P6" s="3404"/>
      <c r="Q6" s="3405"/>
      <c r="R6" s="3408"/>
      <c r="S6" s="3409"/>
      <c r="T6" s="3410"/>
      <c r="U6" s="3411"/>
      <c r="V6" s="3379"/>
      <c r="W6" s="3379"/>
      <c r="X6" s="1265"/>
      <c r="Y6" s="3410"/>
      <c r="Z6" s="3411"/>
      <c r="AA6" s="3395"/>
      <c r="AB6" s="3379"/>
      <c r="AC6" s="3395"/>
    </row>
    <row r="7" spans="1:29" s="102" customFormat="1" ht="15.75" thickBot="1">
      <c r="A7" s="352" t="s">
        <v>1679</v>
      </c>
      <c r="B7" s="353"/>
      <c r="C7" s="354">
        <f>'数据-取费表'!B2</f>
        <v>45817</v>
      </c>
      <c r="D7" s="355">
        <v>100</v>
      </c>
      <c r="E7" s="356">
        <f>C7</f>
        <v>45817</v>
      </c>
      <c r="F7" s="357">
        <f>SUMIF(58:58,YEAR(E7)&amp;"-"&amp;MONTH(E7),59:59)</f>
        <v>100</v>
      </c>
      <c r="G7" s="356">
        <f>E7</f>
        <v>45817</v>
      </c>
      <c r="H7" s="355">
        <f>SUMIF(58:58,YEAR(G7)&amp;"-"&amp;MONTH(G7),59:59)</f>
        <v>100</v>
      </c>
      <c r="I7" s="356">
        <f>G7</f>
        <v>45817</v>
      </c>
      <c r="J7" s="355">
        <f>SUMIF(58:58,YEAR(I7)&amp;"-"&amp;MONTH(I7),59:59)</f>
        <v>100</v>
      </c>
      <c r="K7" s="38"/>
      <c r="L7" s="2489"/>
      <c r="M7" s="2440"/>
      <c r="N7" s="2440"/>
      <c r="O7" s="2440"/>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75" thickBot="1">
      <c r="A8" s="352" t="s">
        <v>1681</v>
      </c>
      <c r="B8" s="353"/>
      <c r="C8" s="358" t="s">
        <v>3417</v>
      </c>
      <c r="D8" s="355">
        <v>100</v>
      </c>
      <c r="E8" s="3164" t="s">
        <v>3419</v>
      </c>
      <c r="F8" s="357">
        <f>SUMIF(61:61,E8,62:62)-SUMIF(61:61,C8,62:62)+100</f>
        <v>103</v>
      </c>
      <c r="G8" s="3164" t="s">
        <v>3419</v>
      </c>
      <c r="H8" s="355">
        <f>SUMIF(61:61,G8,62:62)-SUMIF(61:61,C8,62:62)+100</f>
        <v>103</v>
      </c>
      <c r="I8" s="3164" t="s">
        <v>3419</v>
      </c>
      <c r="J8" s="355">
        <f>SUMIF(61:61,I8,62:62)-SUMIF(61:61,C8,62:62)+100</f>
        <v>103</v>
      </c>
      <c r="K8" s="38"/>
      <c r="L8" s="2489"/>
      <c r="M8" s="2440"/>
      <c r="N8" s="2440"/>
      <c r="O8" s="2440"/>
      <c r="P8" s="3416" t="s">
        <v>1683</v>
      </c>
      <c r="Q8" s="3417"/>
      <c r="R8" s="664" t="s">
        <v>14</v>
      </c>
      <c r="S8" s="665">
        <f t="shared" si="0"/>
        <v>103</v>
      </c>
      <c r="T8" s="664" t="s">
        <v>14</v>
      </c>
      <c r="U8" s="665">
        <f t="shared" si="1"/>
        <v>103</v>
      </c>
      <c r="V8" s="664" t="s">
        <v>14</v>
      </c>
      <c r="W8" s="665">
        <f t="shared" si="2"/>
        <v>103</v>
      </c>
      <c r="X8" s="666"/>
      <c r="Y8" s="3416" t="s">
        <v>1683</v>
      </c>
      <c r="Z8" s="3417"/>
      <c r="AA8" s="50">
        <f t="shared" ref="AA8:AA46" si="3">D8/F8</f>
        <v>0.970873786407767</v>
      </c>
      <c r="AB8" s="50">
        <f t="shared" ref="AB8:AB46" si="4">D8/H8</f>
        <v>0.970873786407767</v>
      </c>
      <c r="AC8" s="50">
        <f t="shared" ref="AC8:AC46" si="5">D8/J8</f>
        <v>0.970873786407767</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2"/>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2"/>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3" t="s">
        <v>1691</v>
      </c>
      <c r="Q15" s="1263" t="str">
        <f t="shared" si="6"/>
        <v>商业繁华度</v>
      </c>
      <c r="R15" s="667" t="s">
        <v>14</v>
      </c>
      <c r="S15" s="668">
        <f t="shared" si="0"/>
        <v>100</v>
      </c>
      <c r="T15" s="667" t="s">
        <v>14</v>
      </c>
      <c r="U15" s="668">
        <f t="shared" si="1"/>
        <v>100</v>
      </c>
      <c r="V15" s="667" t="s">
        <v>14</v>
      </c>
      <c r="W15" s="668">
        <f t="shared" si="2"/>
        <v>100</v>
      </c>
      <c r="X15" s="1265"/>
      <c r="Y15" s="338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4"/>
      <c r="Q16" s="1263"/>
      <c r="R16" s="667"/>
      <c r="S16" s="668"/>
      <c r="T16" s="667"/>
      <c r="U16" s="668"/>
      <c r="V16" s="667"/>
      <c r="W16" s="668"/>
      <c r="X16" s="1265"/>
      <c r="Y16" s="3386"/>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4"/>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4"/>
      <c r="Q18" s="1263"/>
      <c r="R18" s="667"/>
      <c r="S18" s="668"/>
      <c r="T18" s="667"/>
      <c r="U18" s="668"/>
      <c r="V18" s="667"/>
      <c r="W18" s="668"/>
      <c r="X18" s="1265"/>
      <c r="Y18" s="3386"/>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4"/>
      <c r="Q20" s="1263"/>
      <c r="R20" s="667"/>
      <c r="S20" s="668"/>
      <c r="T20" s="667"/>
      <c r="U20" s="668"/>
      <c r="V20" s="667"/>
      <c r="W20" s="668"/>
      <c r="X20" s="1265"/>
      <c r="Y20" s="3386"/>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4"/>
      <c r="Q22" s="1263"/>
      <c r="R22" s="667"/>
      <c r="S22" s="668"/>
      <c r="T22" s="667"/>
      <c r="U22" s="668"/>
      <c r="V22" s="667"/>
      <c r="W22" s="668"/>
      <c r="X22" s="1265"/>
      <c r="Y22" s="3386"/>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4"/>
      <c r="Q23" s="1263" t="str">
        <f>B23</f>
        <v>自然及人文环境</v>
      </c>
      <c r="R23" s="667" t="s">
        <v>14</v>
      </c>
      <c r="S23" s="668">
        <f>F23</f>
        <v>100</v>
      </c>
      <c r="T23" s="667" t="s">
        <v>14</v>
      </c>
      <c r="U23" s="668">
        <f>H23</f>
        <v>100</v>
      </c>
      <c r="V23" s="667" t="s">
        <v>14</v>
      </c>
      <c r="W23" s="668">
        <f>J23</f>
        <v>100</v>
      </c>
      <c r="X23" s="1265"/>
      <c r="Y23" s="338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4"/>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4"/>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4"/>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4"/>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4"/>
      <c r="Q29" s="1263">
        <f t="shared" si="11"/>
        <v>111</v>
      </c>
      <c r="R29" s="667" t="s">
        <v>14</v>
      </c>
      <c r="S29" s="668">
        <f t="shared" si="12"/>
        <v>100</v>
      </c>
      <c r="T29" s="667" t="s">
        <v>14</v>
      </c>
      <c r="U29" s="668">
        <f t="shared" si="13"/>
        <v>100</v>
      </c>
      <c r="V29" s="667" t="s">
        <v>14</v>
      </c>
      <c r="W29" s="668">
        <f t="shared" si="14"/>
        <v>100</v>
      </c>
      <c r="X29" s="1265"/>
      <c r="Y29" s="338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88"/>
      <c r="Q33" s="531" t="str">
        <f t="shared" si="11"/>
        <v>项目建筑规模</v>
      </c>
      <c r="R33" s="669" t="s">
        <v>14</v>
      </c>
      <c r="S33" s="670">
        <f t="shared" si="12"/>
        <v>100</v>
      </c>
      <c r="T33" s="669" t="s">
        <v>14</v>
      </c>
      <c r="U33" s="670">
        <f t="shared" si="13"/>
        <v>100</v>
      </c>
      <c r="V33" s="669" t="s">
        <v>14</v>
      </c>
      <c r="W33" s="670">
        <f t="shared" si="14"/>
        <v>100</v>
      </c>
      <c r="X33" s="671"/>
      <c r="Y33" s="3390"/>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388"/>
      <c r="Q36" s="1263" t="str">
        <f t="shared" si="11"/>
        <v>成新度</v>
      </c>
      <c r="R36" s="667" t="s">
        <v>14</v>
      </c>
      <c r="S36" s="668">
        <f t="shared" si="12"/>
        <v>100</v>
      </c>
      <c r="T36" s="667" t="s">
        <v>14</v>
      </c>
      <c r="U36" s="668">
        <f t="shared" si="13"/>
        <v>100</v>
      </c>
      <c r="V36" s="667" t="s">
        <v>14</v>
      </c>
      <c r="W36" s="668">
        <f t="shared" si="14"/>
        <v>100</v>
      </c>
      <c r="X36" s="1265"/>
      <c r="Y36" s="339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8"/>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5">
      <c r="A47" s="416" t="s">
        <v>1708</v>
      </c>
      <c r="B47" s="417"/>
      <c r="C47" s="1081" t="s">
        <v>0</v>
      </c>
      <c r="D47" s="418"/>
      <c r="E47" s="419">
        <v>30000</v>
      </c>
      <c r="F47" s="420"/>
      <c r="G47" s="421">
        <v>30000</v>
      </c>
      <c r="H47" s="422"/>
      <c r="I47" s="419">
        <v>30000</v>
      </c>
      <c r="J47" s="422"/>
      <c r="K47" s="674"/>
      <c r="L47" s="2495"/>
      <c r="M47" s="2488"/>
      <c r="N47" s="2488"/>
      <c r="O47" s="2488"/>
      <c r="P47" s="3378" t="str">
        <f>A47</f>
        <v>成交单价（元/平方米）</v>
      </c>
      <c r="Q47" s="3378"/>
      <c r="R47" s="3379">
        <f>E47</f>
        <v>30000</v>
      </c>
      <c r="S47" s="3379"/>
      <c r="T47" s="3379">
        <f>G47</f>
        <v>30000</v>
      </c>
      <c r="U47" s="3379"/>
      <c r="V47" s="3379">
        <f>I47</f>
        <v>30000</v>
      </c>
      <c r="W47" s="3379"/>
      <c r="X47" s="385"/>
      <c r="Y47" s="673"/>
      <c r="Z47" s="385"/>
      <c r="AA47" s="385"/>
      <c r="AB47" s="385"/>
      <c r="AC47" s="385"/>
    </row>
    <row r="48" spans="1:29" ht="15.75" thickBot="1">
      <c r="A48" s="423" t="s">
        <v>1793</v>
      </c>
      <c r="B48" s="424"/>
      <c r="C48" s="1082">
        <f>R49</f>
        <v>29126</v>
      </c>
      <c r="D48" s="2141" t="s">
        <v>2138</v>
      </c>
      <c r="E48" s="1083">
        <f>R48</f>
        <v>29126</v>
      </c>
      <c r="F48" s="2142"/>
      <c r="G48" s="1082">
        <f>T48</f>
        <v>29126</v>
      </c>
      <c r="H48" s="2142"/>
      <c r="I48" s="1083">
        <f>V48</f>
        <v>29126</v>
      </c>
      <c r="J48" s="2142"/>
      <c r="K48" s="2144">
        <f>F48+H48+J48</f>
        <v>0</v>
      </c>
      <c r="L48" s="2495"/>
      <c r="M48" s="2488"/>
      <c r="N48" s="2488"/>
      <c r="O48" s="2488"/>
      <c r="P48" s="3378" t="str">
        <f>A48</f>
        <v>比较价值（元/平方米）</v>
      </c>
      <c r="Q48" s="3378"/>
      <c r="R48" s="3379">
        <f>IF(F1="售价",ROUND(PRODUCT(R47,AA7:AA46),0),ROUND(PRODUCT(R47,AA7:AA46),1))</f>
        <v>29126</v>
      </c>
      <c r="S48" s="3379"/>
      <c r="T48" s="3379">
        <f>IF(F1="售价",ROUND(PRODUCT(T47,AB7:AB46),0),ROUND(PRODUCT(T47,AB7:AB46),1))</f>
        <v>29126</v>
      </c>
      <c r="U48" s="3379"/>
      <c r="V48" s="3379">
        <f>IF(F1="售价",ROUND(PRODUCT(V47,AC7:AC46),0),ROUND(PRODUCT(V47,AC7:AC46),1))</f>
        <v>29126</v>
      </c>
      <c r="W48" s="3379"/>
      <c r="X48" s="385"/>
      <c r="Y48" s="385"/>
      <c r="Z48" s="385"/>
      <c r="AA48" s="385"/>
      <c r="AB48" s="385"/>
      <c r="AC48" s="385"/>
    </row>
    <row r="49" spans="1:29" ht="15.75" thickBot="1">
      <c r="A49" s="427" t="s">
        <v>1794</v>
      </c>
      <c r="B49" s="428"/>
      <c r="C49" s="351">
        <f>R49</f>
        <v>29126</v>
      </c>
      <c r="D49" s="351"/>
      <c r="E49" s="351"/>
      <c r="F49" s="351"/>
      <c r="G49" s="351"/>
      <c r="H49" s="351"/>
      <c r="I49" s="351"/>
      <c r="J49" s="351"/>
      <c r="K49" s="675"/>
      <c r="L49" s="2495"/>
      <c r="M49" s="2488"/>
      <c r="N49" s="2488"/>
      <c r="O49" s="2488"/>
      <c r="P49" s="3380" t="str">
        <f>A49</f>
        <v>估价对象XX用房的比较价值（楼面单价，元/平方米）</v>
      </c>
      <c r="Q49" s="3381"/>
      <c r="R49" s="3382">
        <f>IF(F1="售价",ROUND(IF(D48="简单平均",AVERAGE(R48:V48),R48*F48+T48*H48+V48*J48),0),ROUND(IF(D48="简单平均",AVERAGE(R48:V48),R48*F48+T48*H48+V48*J48),1))</f>
        <v>29126</v>
      </c>
      <c r="S49" s="3382"/>
      <c r="T49" s="3382"/>
      <c r="U49" s="3382"/>
      <c r="V49" s="3382"/>
      <c r="W49" s="33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3.0007553388724961E-2</v>
      </c>
      <c r="F52" s="435" t="str">
        <f>IF(OR(E52&gt;=0.3,E52&lt;=-0.3),"超过30%","")</f>
        <v/>
      </c>
      <c r="G52" s="434">
        <f>IF(G47&lt;G48,G48/G47-1,G47/G48-1)</f>
        <v>3.0007553388724961E-2</v>
      </c>
      <c r="H52" s="435" t="str">
        <f>IF(OR(G52&gt;=0.3,G52&lt;=-0.3),"超过30%","")</f>
        <v/>
      </c>
      <c r="I52" s="434">
        <f>IF(I47&lt;I48,I48/I47-1,I47/I48-1)</f>
        <v>3.0007553388724961E-2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4:J6"/>
  <sheetViews>
    <sheetView workbookViewId="0">
      <selection activeCell="K10" sqref="K10"/>
    </sheetView>
  </sheetViews>
  <sheetFormatPr defaultRowHeight="13.5"/>
  <sheetData>
    <row r="4" spans="8:10">
      <c r="H4">
        <v>1</v>
      </c>
      <c r="I4">
        <v>39500</v>
      </c>
    </row>
    <row r="5" spans="8:10">
      <c r="H5">
        <v>0.7</v>
      </c>
      <c r="I5">
        <f>I4*H5</f>
        <v>27650</v>
      </c>
      <c r="J5">
        <v>33378</v>
      </c>
    </row>
    <row r="6" spans="8:10">
      <c r="I6">
        <f>(I4+I5)/2</f>
        <v>33575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33" sqref="K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3429</v>
      </c>
      <c r="F1" s="1735" t="s">
        <v>3416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1920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25024</v>
      </c>
      <c r="C3" s="344" t="s">
        <v>1768</v>
      </c>
      <c r="D3" s="343">
        <f>IF(D1="",'数据-汇总表'!E3,SUMIF('数据-汇总表'!$C19:$C33,D1,'数据-汇总表'!$E19:$E33))</f>
        <v>767.43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29" t="s">
        <v>1775</v>
      </c>
      <c r="Q4" s="3430"/>
      <c r="R4" s="3433" t="s">
        <v>1771</v>
      </c>
      <c r="S4" s="3434"/>
      <c r="T4" s="3433" t="s">
        <v>1772</v>
      </c>
      <c r="U4" s="3434"/>
      <c r="V4" s="3435" t="s">
        <v>1773</v>
      </c>
      <c r="W4" s="3435"/>
      <c r="X4" s="1809"/>
      <c r="Y4" s="3433" t="s">
        <v>1775</v>
      </c>
      <c r="Z4" s="3434"/>
      <c r="AA4" s="3438" t="s">
        <v>1771</v>
      </c>
      <c r="AB4" s="3438" t="s">
        <v>1772</v>
      </c>
      <c r="AC4" s="3426" t="s">
        <v>1773</v>
      </c>
    </row>
    <row r="5" spans="1:29" ht="15.75" thickBot="1">
      <c r="A5" s="348"/>
      <c r="B5" s="349"/>
      <c r="C5" s="3414" t="s">
        <v>1673</v>
      </c>
      <c r="D5" s="3415"/>
      <c r="E5" s="3439" t="s">
        <v>3455</v>
      </c>
      <c r="F5" s="3422"/>
      <c r="G5" s="3436" t="s">
        <v>3451</v>
      </c>
      <c r="H5" s="3415"/>
      <c r="I5" s="3436" t="s">
        <v>3454</v>
      </c>
      <c r="J5" s="3415"/>
      <c r="K5" s="537"/>
      <c r="L5" s="2487"/>
      <c r="M5" s="2488"/>
      <c r="N5" s="2488"/>
      <c r="O5" s="2488"/>
      <c r="P5" s="3431"/>
      <c r="Q5" s="3403"/>
      <c r="R5" s="3408"/>
      <c r="S5" s="3409"/>
      <c r="T5" s="3408"/>
      <c r="U5" s="3409"/>
      <c r="V5" s="3379"/>
      <c r="W5" s="3379"/>
      <c r="X5" s="1265"/>
      <c r="Y5" s="3408"/>
      <c r="Z5" s="3409"/>
      <c r="AA5" s="3394"/>
      <c r="AB5" s="3394"/>
      <c r="AC5" s="3427"/>
    </row>
    <row r="6" spans="1:29" ht="15.75" hidden="1" thickBot="1">
      <c r="A6" s="350"/>
      <c r="B6" s="351"/>
      <c r="C6" s="3412" t="s">
        <v>1677</v>
      </c>
      <c r="D6" s="3413"/>
      <c r="E6" s="3419" t="s">
        <v>1677</v>
      </c>
      <c r="F6" s="3420"/>
      <c r="G6" s="3412" t="s">
        <v>1677</v>
      </c>
      <c r="H6" s="3413"/>
      <c r="I6" s="3412" t="s">
        <v>1677</v>
      </c>
      <c r="J6" s="3413"/>
      <c r="K6" s="537" t="s">
        <v>1678</v>
      </c>
      <c r="L6" s="2487"/>
      <c r="M6" s="2488"/>
      <c r="N6" s="2488"/>
      <c r="O6" s="2488"/>
      <c r="P6" s="3432"/>
      <c r="Q6" s="3405"/>
      <c r="R6" s="3408"/>
      <c r="S6" s="3409"/>
      <c r="T6" s="3410"/>
      <c r="U6" s="3411"/>
      <c r="V6" s="3379"/>
      <c r="W6" s="3379"/>
      <c r="X6" s="1265"/>
      <c r="Y6" s="3410"/>
      <c r="Z6" s="3411"/>
      <c r="AA6" s="3395"/>
      <c r="AB6" s="3395"/>
      <c r="AC6" s="3428"/>
    </row>
    <row r="7" spans="1:29" s="102" customFormat="1" ht="15.75" thickBot="1">
      <c r="A7" s="352" t="s">
        <v>1679</v>
      </c>
      <c r="B7" s="353"/>
      <c r="C7" s="354">
        <f>'数据-取费表'!B2</f>
        <v>45817</v>
      </c>
      <c r="D7" s="355">
        <v>100</v>
      </c>
      <c r="E7" s="356">
        <f>C7</f>
        <v>45817</v>
      </c>
      <c r="F7" s="357">
        <f>SUMIF(59:59,YEAR(E7)&amp;"-"&amp;MONTH(E7),60:60)</f>
        <v>100</v>
      </c>
      <c r="G7" s="356">
        <f>E7</f>
        <v>45817</v>
      </c>
      <c r="H7" s="355">
        <f>SUMIF(59:59,YEAR(G7)&amp;"-"&amp;MONTH(G7),60:60)</f>
        <v>100</v>
      </c>
      <c r="I7" s="356">
        <f>G7</f>
        <v>45817</v>
      </c>
      <c r="J7" s="355">
        <f>SUMIF(59:59,YEAR(I7)&amp;"-"&amp;MONTH(I7),60:60)</f>
        <v>100</v>
      </c>
      <c r="K7" s="38"/>
      <c r="L7" s="2489"/>
      <c r="M7" s="2440"/>
      <c r="N7" s="2440"/>
      <c r="O7" s="2440"/>
      <c r="P7" s="3437"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802">
        <f>D7/J7</f>
        <v>1</v>
      </c>
    </row>
    <row r="8" spans="1:29" s="102" customFormat="1" ht="15.75" thickBot="1">
      <c r="A8" s="352" t="s">
        <v>1681</v>
      </c>
      <c r="B8" s="353"/>
      <c r="C8" s="358" t="s">
        <v>3417</v>
      </c>
      <c r="D8" s="355">
        <v>100</v>
      </c>
      <c r="E8" s="3164" t="s">
        <v>3430</v>
      </c>
      <c r="F8" s="357">
        <f>SUMIF(62:62,E8,63:63)-SUMIF(62:62,C8,63:63)+100</f>
        <v>105</v>
      </c>
      <c r="G8" s="3164" t="s">
        <v>3430</v>
      </c>
      <c r="H8" s="355">
        <f>SUMIF(62:62,G8,63:63)-SUMIF(62:62,C8,63:63)+100</f>
        <v>105</v>
      </c>
      <c r="I8" s="3164" t="s">
        <v>3430</v>
      </c>
      <c r="J8" s="355">
        <f>SUMIF(62:62,I8,63:63)-SUMIF(62:62,C8,63:63)+100</f>
        <v>105</v>
      </c>
      <c r="K8" s="38"/>
      <c r="L8" s="2489"/>
      <c r="M8" s="2440"/>
      <c r="N8" s="2440"/>
      <c r="O8" s="2440"/>
      <c r="P8" s="3437" t="s">
        <v>1683</v>
      </c>
      <c r="Q8" s="3417"/>
      <c r="R8" s="664" t="s">
        <v>14</v>
      </c>
      <c r="S8" s="665">
        <f t="shared" si="0"/>
        <v>105</v>
      </c>
      <c r="T8" s="664" t="s">
        <v>14</v>
      </c>
      <c r="U8" s="665">
        <f t="shared" si="1"/>
        <v>105</v>
      </c>
      <c r="V8" s="664" t="s">
        <v>14</v>
      </c>
      <c r="W8" s="665">
        <f t="shared" si="2"/>
        <v>105</v>
      </c>
      <c r="X8" s="666"/>
      <c r="Y8" s="3416" t="s">
        <v>1683</v>
      </c>
      <c r="Z8" s="3417"/>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70" t="s">
        <v>3446</v>
      </c>
      <c r="D9" s="59">
        <v>100</v>
      </c>
      <c r="E9" s="362" t="s">
        <v>21</v>
      </c>
      <c r="F9" s="59">
        <f>SUMIF(64:64,E9,65:65)-SUMIF(64:64,C9,65:65)+100</f>
        <v>100</v>
      </c>
      <c r="G9" s="362" t="s">
        <v>21</v>
      </c>
      <c r="H9" s="59">
        <f>SUMIF(64:64,G9,65:65)-SUMIF(64:64,C9,65:65)+100</f>
        <v>100</v>
      </c>
      <c r="I9" s="362" t="s">
        <v>3452</v>
      </c>
      <c r="J9" s="59">
        <f>SUMIF(64:64,I9,65:65)-SUMIF(64:64,C9,65:65)+100</f>
        <v>98</v>
      </c>
      <c r="K9" s="38"/>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98</v>
      </c>
      <c r="X9" s="666"/>
      <c r="Y9" s="3263" t="s">
        <v>1687</v>
      </c>
      <c r="Z9" s="50" t="str">
        <f t="shared" ref="Z9:Z15" si="7">Q9</f>
        <v>用途</v>
      </c>
      <c r="AA9" s="50">
        <f t="shared" si="3"/>
        <v>1</v>
      </c>
      <c r="AB9" s="50">
        <f t="shared" si="4"/>
        <v>1</v>
      </c>
      <c r="AC9" s="802">
        <f t="shared" si="5"/>
        <v>1.0204081632653061</v>
      </c>
    </row>
    <row r="10" spans="1:29" s="366" customFormat="1" ht="27">
      <c r="A10" s="363"/>
      <c r="B10" s="364" t="s">
        <v>1688</v>
      </c>
      <c r="C10" s="3133" t="s">
        <v>3445</v>
      </c>
      <c r="D10" s="119">
        <v>100</v>
      </c>
      <c r="E10" s="3133" t="str">
        <f>C10</f>
        <v>20-30</v>
      </c>
      <c r="F10" s="119">
        <f>SUMIF(66:66,E10,67:67)-SUMIF(66:66,C10,67:67)+100</f>
        <v>100</v>
      </c>
      <c r="G10" s="3134" t="s">
        <v>3445</v>
      </c>
      <c r="H10" s="119">
        <f>SUMIF(66:66,G10,67:67)-SUMIF(66:66,C10,67:67)+100</f>
        <v>100</v>
      </c>
      <c r="I10" s="3133" t="s">
        <v>3445</v>
      </c>
      <c r="J10" s="119">
        <f>SUMIF(66:66,I10,67:67)-SUMIF(66:66,C10,67:67)+100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92"/>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2"/>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83"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386" t="s">
        <v>3433</v>
      </c>
      <c r="H16" s="389"/>
      <c r="I16" s="386" t="s">
        <v>3433</v>
      </c>
      <c r="J16" s="387"/>
      <c r="K16" s="541"/>
      <c r="L16" s="2493"/>
      <c r="M16" s="2488"/>
      <c r="N16" s="2488"/>
      <c r="O16" s="2488"/>
      <c r="P16" s="3384"/>
      <c r="Q16" s="1263"/>
      <c r="R16" s="667"/>
      <c r="S16" s="668"/>
      <c r="T16" s="667"/>
      <c r="U16" s="668"/>
      <c r="V16" s="667"/>
      <c r="W16" s="668"/>
      <c r="X16" s="1265"/>
      <c r="Y16" s="3386"/>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3"/>
      <c r="M17" s="2488"/>
      <c r="N17" s="2488"/>
      <c r="O17" s="2488"/>
      <c r="P17" s="3384"/>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6" t="s">
        <v>3433</v>
      </c>
      <c r="H18" s="387"/>
      <c r="I18" s="1756" t="s">
        <v>3433</v>
      </c>
      <c r="J18" s="387"/>
      <c r="K18" s="541"/>
      <c r="L18" s="2493"/>
      <c r="M18" s="2488"/>
      <c r="N18" s="2488"/>
      <c r="O18" s="2488"/>
      <c r="P18" s="3384"/>
      <c r="Q18" s="1263"/>
      <c r="R18" s="667"/>
      <c r="S18" s="668"/>
      <c r="T18" s="667"/>
      <c r="U18" s="668"/>
      <c r="V18" s="667"/>
      <c r="W18" s="668"/>
      <c r="X18" s="1265"/>
      <c r="Y18" s="3386"/>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1" t="s">
        <v>3433</v>
      </c>
      <c r="H20" s="387"/>
      <c r="I20" s="1751" t="s">
        <v>3433</v>
      </c>
      <c r="J20" s="387"/>
      <c r="K20" s="541"/>
      <c r="L20" s="2493"/>
      <c r="M20" s="2488"/>
      <c r="N20" s="2488"/>
      <c r="O20" s="2488"/>
      <c r="P20" s="3384"/>
      <c r="Q20" s="1263"/>
      <c r="R20" s="667"/>
      <c r="S20" s="668"/>
      <c r="T20" s="667"/>
      <c r="U20" s="668"/>
      <c r="V20" s="667"/>
      <c r="W20" s="668"/>
      <c r="X20" s="1265"/>
      <c r="Y20" s="3386"/>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386" t="s">
        <v>3434</v>
      </c>
      <c r="H22" s="387"/>
      <c r="I22" s="386" t="s">
        <v>3434</v>
      </c>
      <c r="J22" s="387"/>
      <c r="K22" s="1064"/>
      <c r="L22" s="2493"/>
      <c r="M22" s="2488"/>
      <c r="N22" s="2488"/>
      <c r="O22" s="2488"/>
      <c r="P22" s="3384"/>
      <c r="Q22" s="1263"/>
      <c r="R22" s="667"/>
      <c r="S22" s="668"/>
      <c r="T22" s="667"/>
      <c r="U22" s="668"/>
      <c r="V22" s="667"/>
      <c r="W22" s="668"/>
      <c r="X22" s="1265"/>
      <c r="Y22" s="3386"/>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3"/>
      <c r="M23" s="2488"/>
      <c r="N23" s="2488"/>
      <c r="O23" s="2488"/>
      <c r="P23" s="3384"/>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t="s">
        <v>3435</v>
      </c>
      <c r="D24" s="387"/>
      <c r="E24" s="1751" t="s">
        <v>3435</v>
      </c>
      <c r="F24" s="387"/>
      <c r="G24" s="1751" t="s">
        <v>3435</v>
      </c>
      <c r="H24" s="387"/>
      <c r="I24" s="1751" t="s">
        <v>3435</v>
      </c>
      <c r="J24" s="387"/>
      <c r="K24" s="541"/>
      <c r="L24" s="2493"/>
      <c r="M24" s="2488"/>
      <c r="N24" s="2488"/>
      <c r="O24" s="2488"/>
      <c r="P24" s="3384"/>
      <c r="Q24" s="1263"/>
      <c r="R24" s="667"/>
      <c r="S24" s="668"/>
      <c r="T24" s="667"/>
      <c r="U24" s="668"/>
      <c r="V24" s="667"/>
      <c r="W24" s="668"/>
      <c r="X24" s="1265"/>
      <c r="Y24" s="3386"/>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4"/>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4"/>
      <c r="Q26" s="1263"/>
      <c r="R26" s="667"/>
      <c r="S26" s="668"/>
      <c r="T26" s="667"/>
      <c r="U26" s="668"/>
      <c r="V26" s="667"/>
      <c r="W26" s="668"/>
      <c r="X26" s="1265"/>
      <c r="Y26" s="3386"/>
      <c r="Z26" s="1264"/>
      <c r="AA26" s="1264">
        <v>1</v>
      </c>
      <c r="AB26" s="1264">
        <v>1</v>
      </c>
      <c r="AC26" s="1812">
        <v>1</v>
      </c>
    </row>
    <row r="27" spans="1:29" ht="15.75" thickBot="1">
      <c r="A27" s="367"/>
      <c r="B27" s="401" t="s">
        <v>1783</v>
      </c>
      <c r="C27" s="3166" t="s">
        <v>3432</v>
      </c>
      <c r="D27" s="374">
        <v>100</v>
      </c>
      <c r="E27" s="3167" t="s">
        <v>3436</v>
      </c>
      <c r="F27" s="374">
        <f>SUMIF(89:89,E27,90:90)-SUMIF(89:89,C27,90:90)+100</f>
        <v>108</v>
      </c>
      <c r="G27" s="558" t="s">
        <v>3449</v>
      </c>
      <c r="H27" s="374">
        <f>SUMIF(89:89,G27,90:90)-SUMIF(89:89,C27,90:90)+100</f>
        <v>104</v>
      </c>
      <c r="I27" s="542" t="s">
        <v>3431</v>
      </c>
      <c r="J27" s="374">
        <f>SUMIF(89:89,I27,90:90)-SUMIF(89:89,C27,90:90)+100</f>
        <v>100</v>
      </c>
      <c r="K27" s="538">
        <v>4</v>
      </c>
      <c r="L27" s="2493"/>
      <c r="M27" s="2488"/>
      <c r="N27" s="2488"/>
      <c r="O27" s="2488"/>
      <c r="P27" s="3384"/>
      <c r="Q27" s="1263" t="str">
        <f t="shared" ref="Q27:Q47" si="11">B27</f>
        <v>楼层</v>
      </c>
      <c r="R27" s="667" t="s">
        <v>14</v>
      </c>
      <c r="S27" s="668">
        <f>F27</f>
        <v>108</v>
      </c>
      <c r="T27" s="667" t="s">
        <v>14</v>
      </c>
      <c r="U27" s="668">
        <f>H27</f>
        <v>104</v>
      </c>
      <c r="V27" s="667" t="s">
        <v>14</v>
      </c>
      <c r="W27" s="668">
        <f>J27</f>
        <v>100</v>
      </c>
      <c r="X27" s="1265"/>
      <c r="Y27" s="3386"/>
      <c r="Z27" s="1264" t="str">
        <f>Q27</f>
        <v>楼层</v>
      </c>
      <c r="AA27" s="1264">
        <f t="shared" si="3"/>
        <v>0.92592592592592593</v>
      </c>
      <c r="AB27" s="1264">
        <f t="shared" si="4"/>
        <v>0.96153846153846156</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4"/>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4"/>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4"/>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1694</v>
      </c>
      <c r="B33" s="60" t="s">
        <v>1817</v>
      </c>
      <c r="C33" s="3168" t="s">
        <v>3437</v>
      </c>
      <c r="D33" s="405">
        <v>100</v>
      </c>
      <c r="E33" s="3168" t="s">
        <v>3437</v>
      </c>
      <c r="F33" s="400">
        <f>SUMIF(101:101,E33,102:102)-SUMIF(101:101,C33,102:102)+100</f>
        <v>100</v>
      </c>
      <c r="G33" s="3168" t="s">
        <v>3437</v>
      </c>
      <c r="H33" s="374">
        <f>SUMIF(101:101,G33,102:102)-SUMIF(101:101,C33,102:102)+100</f>
        <v>100</v>
      </c>
      <c r="I33" s="3168" t="s">
        <v>3437</v>
      </c>
      <c r="J33" s="405">
        <f>SUMIF(101:101,I33,102:102)-SUMIF(101:101,C33,102:102)+100</f>
        <v>100</v>
      </c>
      <c r="K33" s="538">
        <v>5</v>
      </c>
      <c r="L33" s="2493"/>
      <c r="M33" s="2488"/>
      <c r="N33" s="2488"/>
      <c r="O33" s="2488"/>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767.43</v>
      </c>
      <c r="D34" s="119">
        <v>100</v>
      </c>
      <c r="E34" s="369">
        <v>239</v>
      </c>
      <c r="F34" s="364">
        <f>LOOKUP(E34,104:104,105:105)-LOOKUP(C34,104:104,105:105)+100</f>
        <v>103</v>
      </c>
      <c r="G34" s="368">
        <v>241.75</v>
      </c>
      <c r="H34" s="119">
        <f>LOOKUP(G34,104:104,105:105)-LOOKUP(C34,104:104,105:105)+100</f>
        <v>103</v>
      </c>
      <c r="I34" s="368">
        <v>792.34</v>
      </c>
      <c r="J34" s="119">
        <f>LOOKUP(I34,104:104,105:105)-LOOKUP(C34,104:104,105:105)+100</f>
        <v>100</v>
      </c>
      <c r="K34" s="539"/>
      <c r="L34" s="2492"/>
      <c r="M34" s="2494"/>
      <c r="N34" s="2494"/>
      <c r="O34" s="2494"/>
      <c r="P34" s="3388"/>
      <c r="Q34" s="531" t="str">
        <f t="shared" si="11"/>
        <v>项目建筑规模</v>
      </c>
      <c r="R34" s="669" t="s">
        <v>14</v>
      </c>
      <c r="S34" s="670">
        <f t="shared" si="12"/>
        <v>103</v>
      </c>
      <c r="T34" s="669" t="s">
        <v>14</v>
      </c>
      <c r="U34" s="670">
        <f t="shared" si="13"/>
        <v>103</v>
      </c>
      <c r="V34" s="669" t="s">
        <v>14</v>
      </c>
      <c r="W34" s="670">
        <f t="shared" si="14"/>
        <v>100</v>
      </c>
      <c r="X34" s="671"/>
      <c r="Y34" s="3390"/>
      <c r="Z34" s="672" t="str">
        <f t="shared" si="15"/>
        <v>项目建筑规模</v>
      </c>
      <c r="AA34" s="1264">
        <f t="shared" si="3"/>
        <v>0.970873786407767</v>
      </c>
      <c r="AB34" s="1264">
        <f t="shared" si="4"/>
        <v>0.970873786407767</v>
      </c>
      <c r="AC34" s="1812">
        <f t="shared" si="5"/>
        <v>1</v>
      </c>
    </row>
    <row r="35" spans="1:29" ht="15">
      <c r="A35" s="409"/>
      <c r="B35" s="364" t="s">
        <v>1698</v>
      </c>
      <c r="C35" s="3169" t="s">
        <v>3438</v>
      </c>
      <c r="D35" s="374">
        <v>100</v>
      </c>
      <c r="E35" s="3169" t="s">
        <v>3438</v>
      </c>
      <c r="F35" s="400">
        <f>SUMIF(106:106,E35,107:107)-SUMIF(106:106,C35,107:107)+100</f>
        <v>100</v>
      </c>
      <c r="G35" s="3169" t="s">
        <v>3438</v>
      </c>
      <c r="H35" s="374">
        <f>SUMIF(106:106,G35,107:107)-SUMIF(106:106,C35,107:107)+100</f>
        <v>100</v>
      </c>
      <c r="I35" s="3169" t="s">
        <v>3438</v>
      </c>
      <c r="J35" s="374">
        <f>SUMIF(106:106,I35,107:107)-SUMIF(106:106,C35,107:107)+100</f>
        <v>100</v>
      </c>
      <c r="K35" s="538">
        <v>2</v>
      </c>
      <c r="L35" s="2493"/>
      <c r="M35" s="2488"/>
      <c r="N35" s="2488"/>
      <c r="O35" s="2488"/>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169" t="s">
        <v>3439</v>
      </c>
      <c r="D36" s="374">
        <v>100</v>
      </c>
      <c r="E36" s="3169" t="s">
        <v>3439</v>
      </c>
      <c r="F36" s="400">
        <f>SUMIF(108:108,E36,109:109)-SUMIF(108:108,C36,109:109)+100</f>
        <v>100</v>
      </c>
      <c r="G36" s="3169" t="s">
        <v>3439</v>
      </c>
      <c r="H36" s="374">
        <f>SUMIF(108:108,G36,109:109)-SUMIF(108:108,C36,109:109)+100</f>
        <v>100</v>
      </c>
      <c r="I36" s="3169" t="s">
        <v>3439</v>
      </c>
      <c r="J36" s="374">
        <f>SUMIF(108:108,I36,109:109)-SUMIF(108:108,C36,109:109)+100</f>
        <v>100</v>
      </c>
      <c r="K36" s="538">
        <v>2</v>
      </c>
      <c r="L36" s="2493"/>
      <c r="M36" s="2488"/>
      <c r="N36" s="2488"/>
      <c r="O36" s="2488"/>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v>0.7</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3"/>
      <c r="M37" s="2488"/>
      <c r="N37" s="2488"/>
      <c r="O37" s="2488"/>
      <c r="P37" s="3388"/>
      <c r="Q37" s="1263" t="str">
        <f t="shared" si="11"/>
        <v>成新度</v>
      </c>
      <c r="R37" s="667" t="s">
        <v>14</v>
      </c>
      <c r="S37" s="668">
        <f t="shared" si="12"/>
        <v>100</v>
      </c>
      <c r="T37" s="667" t="s">
        <v>14</v>
      </c>
      <c r="U37" s="668">
        <f t="shared" si="13"/>
        <v>100</v>
      </c>
      <c r="V37" s="667" t="s">
        <v>14</v>
      </c>
      <c r="W37" s="668">
        <f t="shared" si="14"/>
        <v>100</v>
      </c>
      <c r="X37" s="1265"/>
      <c r="Y37" s="3390"/>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169" t="s">
        <v>3440</v>
      </c>
      <c r="D39" s="374">
        <v>100</v>
      </c>
      <c r="E39" s="3169" t="s">
        <v>3440</v>
      </c>
      <c r="F39" s="400">
        <f>SUMIF(115:115,E39,116:116)-SUMIF(115:115,C39,116:116)+100</f>
        <v>100</v>
      </c>
      <c r="G39" s="3169" t="s">
        <v>3440</v>
      </c>
      <c r="H39" s="374">
        <f>SUMIF(115:115,G39,116:116)-SUMIF(115:115,C39,116:116)+100</f>
        <v>100</v>
      </c>
      <c r="I39" s="3169" t="s">
        <v>3440</v>
      </c>
      <c r="J39" s="374">
        <f>SUMIF(115:115,I39,116:116)-SUMIF(115:115,C39,116:116)+100</f>
        <v>100</v>
      </c>
      <c r="K39" s="538">
        <v>2</v>
      </c>
      <c r="L39" s="2493"/>
      <c r="M39" s="2488"/>
      <c r="N39" s="2488"/>
      <c r="O39" s="2488"/>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169" t="s">
        <v>3441</v>
      </c>
      <c r="D40" s="374">
        <v>100</v>
      </c>
      <c r="E40" s="3169" t="s">
        <v>3441</v>
      </c>
      <c r="F40" s="400">
        <f>SUMIF(117:117,E40,118:118)-SUMIF(117:117,C40,118:118)+100</f>
        <v>100</v>
      </c>
      <c r="G40" s="3169" t="s">
        <v>3441</v>
      </c>
      <c r="H40" s="374">
        <f>SUMIF(117:117,G40,118:118)-SUMIF(117:117,C40,118:118)+100</f>
        <v>100</v>
      </c>
      <c r="I40" s="3169" t="s">
        <v>3441</v>
      </c>
      <c r="J40" s="374">
        <f>SUMIF(117:117,I40,118:118)-SUMIF(117:117,C40,118:118)+100</f>
        <v>100</v>
      </c>
      <c r="K40" s="538">
        <v>2</v>
      </c>
      <c r="L40" s="2493"/>
      <c r="M40" s="2488"/>
      <c r="N40" s="2488"/>
      <c r="O40" s="2488"/>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3167" t="s">
        <v>3442</v>
      </c>
      <c r="D41" s="374">
        <v>100</v>
      </c>
      <c r="E41" s="3167" t="s">
        <v>3442</v>
      </c>
      <c r="F41" s="400">
        <f>SUMIF(119:119,E41,120:120)-SUMIF(119:119,C41,120:120)+100</f>
        <v>100</v>
      </c>
      <c r="G41" s="3167" t="s">
        <v>3442</v>
      </c>
      <c r="H41" s="374">
        <f>SUMIF(119:119,G41,120:120)-SUMIF(119:119,C41,120:120)+100</f>
        <v>100</v>
      </c>
      <c r="I41" s="3167" t="s">
        <v>3442</v>
      </c>
      <c r="J41" s="374">
        <f>SUMIF(119:119,I41,120:120)-SUMIF(119:119,C41,120:120)+100</f>
        <v>100</v>
      </c>
      <c r="K41" s="538">
        <v>5</v>
      </c>
      <c r="L41" s="2493"/>
      <c r="M41" s="2488"/>
      <c r="N41" s="2488"/>
      <c r="O41" s="2488"/>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169" t="s">
        <v>3443</v>
      </c>
      <c r="D43" s="374">
        <v>100</v>
      </c>
      <c r="E43" s="3169" t="s">
        <v>3443</v>
      </c>
      <c r="F43" s="400">
        <f>SUMIF(123:123,E43,124:124)-SUMIF(123:123,C43,124:124)+100</f>
        <v>100</v>
      </c>
      <c r="G43" s="3169" t="s">
        <v>3443</v>
      </c>
      <c r="H43" s="374">
        <f>SUMIF(123:123,G43,124:124)-SUMIF(123:123,C43,124:124)+100</f>
        <v>100</v>
      </c>
      <c r="I43" s="3169" t="s">
        <v>3443</v>
      </c>
      <c r="J43" s="374">
        <f>SUMIF(123:123,I43,124:124)-SUMIF(123:123,C43,124:124)+100</f>
        <v>100</v>
      </c>
      <c r="K43" s="538">
        <v>3</v>
      </c>
      <c r="L43" s="2493"/>
      <c r="M43" s="2488"/>
      <c r="N43" s="2488"/>
      <c r="O43" s="2488"/>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15.75" thickBot="1">
      <c r="A44" s="409"/>
      <c r="B44" s="364" t="s">
        <v>1707</v>
      </c>
      <c r="C44" s="3169" t="s">
        <v>3444</v>
      </c>
      <c r="D44" s="374">
        <v>100</v>
      </c>
      <c r="E44" s="3169" t="s">
        <v>3444</v>
      </c>
      <c r="F44" s="400">
        <f>SUMIF(125:125,E44,126:126)-SUMIF(125:125,C44,126:126)+100</f>
        <v>100</v>
      </c>
      <c r="G44" s="3169" t="s">
        <v>3444</v>
      </c>
      <c r="H44" s="374">
        <f>SUMIF(125:125,G44,126:126)-SUMIF(125:125,C44,126:126)+100</f>
        <v>100</v>
      </c>
      <c r="I44" s="3169" t="s">
        <v>3444</v>
      </c>
      <c r="J44" s="374">
        <f>SUMIF(125:125,I44,126:126)-SUMIF(125:125,C44,126:126)+100</f>
        <v>100</v>
      </c>
      <c r="K44" s="538">
        <v>2</v>
      </c>
      <c r="L44" s="2493"/>
      <c r="M44" s="2488"/>
      <c r="N44" s="2488"/>
      <c r="O44" s="2488"/>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5">
      <c r="A48" s="416" t="s">
        <v>1708</v>
      </c>
      <c r="B48" s="417"/>
      <c r="C48" s="1081" t="s">
        <v>0</v>
      </c>
      <c r="D48" s="418"/>
      <c r="E48" s="419">
        <v>26000</v>
      </c>
      <c r="F48" s="420"/>
      <c r="G48" s="421">
        <v>29907</v>
      </c>
      <c r="H48" s="422"/>
      <c r="I48" s="419">
        <v>26983</v>
      </c>
      <c r="J48" s="422"/>
      <c r="K48" s="674"/>
      <c r="L48" s="2495"/>
      <c r="M48" s="2488"/>
      <c r="N48" s="2488"/>
      <c r="O48" s="2488"/>
      <c r="P48" s="3392" t="str">
        <f>A48</f>
        <v>成交单价（元/平方米）</v>
      </c>
      <c r="Q48" s="3378"/>
      <c r="R48" s="3379">
        <f>E48</f>
        <v>26000</v>
      </c>
      <c r="S48" s="3379"/>
      <c r="T48" s="3379">
        <f>G48</f>
        <v>29907</v>
      </c>
      <c r="U48" s="3379"/>
      <c r="V48" s="3379">
        <f>I48</f>
        <v>26983</v>
      </c>
      <c r="W48" s="3379"/>
      <c r="X48" s="385"/>
      <c r="Y48" s="673"/>
      <c r="Z48" s="385"/>
      <c r="AA48" s="385"/>
      <c r="AB48" s="385"/>
      <c r="AC48" s="555"/>
    </row>
    <row r="49" spans="1:29" ht="15.75" thickBot="1">
      <c r="A49" s="423" t="s">
        <v>1793</v>
      </c>
      <c r="B49" s="424"/>
      <c r="C49" s="1082">
        <f>R50</f>
        <v>25024</v>
      </c>
      <c r="D49" s="2141" t="s">
        <v>2138</v>
      </c>
      <c r="E49" s="1083">
        <f>R49</f>
        <v>22260</v>
      </c>
      <c r="F49" s="2142"/>
      <c r="G49" s="1082">
        <f>T49</f>
        <v>26590</v>
      </c>
      <c r="H49" s="2142"/>
      <c r="I49" s="1083">
        <f>V49</f>
        <v>26223</v>
      </c>
      <c r="J49" s="2142"/>
      <c r="K49" s="2144">
        <f>F49+H49+J49</f>
        <v>0</v>
      </c>
      <c r="L49" s="2495"/>
      <c r="M49" s="2488"/>
      <c r="N49" s="2488"/>
      <c r="O49" s="2488"/>
      <c r="P49" s="3392" t="str">
        <f>A49</f>
        <v>比较价值（元/平方米）</v>
      </c>
      <c r="Q49" s="3378"/>
      <c r="R49" s="3379">
        <f>IF(F1="售价",ROUND(PRODUCT(R48,AA7:AA47),0),ROUND(PRODUCT(R48,AA7:AA47),1))</f>
        <v>22260</v>
      </c>
      <c r="S49" s="3379"/>
      <c r="T49" s="3379">
        <f>IF(F1="售价",ROUND(PRODUCT(T48,AB7:AB47),0),ROUND(PRODUCT(T48,AB7:AB47),1))</f>
        <v>26590</v>
      </c>
      <c r="U49" s="3379"/>
      <c r="V49" s="3379">
        <f>IF(F1="售价",ROUND(PRODUCT(V48,AC7:AC47),0),ROUND(PRODUCT(V48,AC7:AC47),1))</f>
        <v>26223</v>
      </c>
      <c r="W49" s="3379"/>
      <c r="X49" s="385"/>
      <c r="Y49" s="385"/>
      <c r="Z49" s="385"/>
      <c r="AA49" s="385"/>
      <c r="AB49" s="385"/>
      <c r="AC49" s="555"/>
    </row>
    <row r="50" spans="1:29" ht="15.75" thickBot="1">
      <c r="A50" s="427" t="s">
        <v>1794</v>
      </c>
      <c r="B50" s="428"/>
      <c r="C50" s="351">
        <f>R50</f>
        <v>25024</v>
      </c>
      <c r="D50" s="351"/>
      <c r="E50" s="351"/>
      <c r="F50" s="351"/>
      <c r="G50" s="351"/>
      <c r="H50" s="351"/>
      <c r="I50" s="351"/>
      <c r="J50" s="429"/>
      <c r="K50" s="675"/>
      <c r="L50" s="2495"/>
      <c r="M50" s="2488"/>
      <c r="N50" s="2488"/>
      <c r="O50" s="2488"/>
      <c r="P50" s="3423" t="str">
        <f>A50</f>
        <v>估价对象XX用房的比较价值（楼面单价，元/平方米）</v>
      </c>
      <c r="Q50" s="3424"/>
      <c r="R50" s="3425">
        <f>IF(F1="售价",ROUND(IF(D49="简单平均",AVERAGE(R49:V49),R49*F49+T49*H49+V49*J49),0),ROUND(IF(D49="简单平均",AVERAGE(R49:V49),R49*F49+T49*H49+V49*J49),1))</f>
        <v>25024</v>
      </c>
      <c r="S50" s="3425"/>
      <c r="T50" s="3425"/>
      <c r="U50" s="3425"/>
      <c r="V50" s="3425"/>
      <c r="W50" s="3425"/>
      <c r="X50" s="1798"/>
      <c r="Y50" s="1798"/>
      <c r="Z50" s="1798"/>
      <c r="AA50" s="1798"/>
      <c r="AB50" s="1798"/>
      <c r="AC50" s="1799"/>
    </row>
    <row r="51" spans="1:29">
      <c r="A51" s="2488"/>
      <c r="B51" s="2488"/>
      <c r="C51" s="2488"/>
      <c r="D51" s="2488"/>
      <c r="E51" s="2488">
        <v>2008</v>
      </c>
      <c r="F51" s="2488"/>
      <c r="G51" s="2488">
        <v>2006</v>
      </c>
      <c r="H51" s="2488"/>
      <c r="I51" s="2488">
        <v>2004</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0.1680143755615453</v>
      </c>
      <c r="F53" s="435" t="str">
        <f>IF(OR(E53&gt;=0.3,E53&lt;=-0.3),"超过30%","")</f>
        <v/>
      </c>
      <c r="G53" s="434">
        <f>IF(G48&lt;G49,G49/G48-1,G48/G49-1)</f>
        <v>0.12474614516735616</v>
      </c>
      <c r="H53" s="435" t="str">
        <f>IF(OR(G53&gt;=0.3,G53&lt;=-0.3),"超过30%","")</f>
        <v/>
      </c>
      <c r="I53" s="434">
        <f>IF(I48&lt;I49,I49/I48-1,I48/I49-1)</f>
        <v>2.8982191206192942E-2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0.1945193171608266</v>
      </c>
      <c r="F54" s="435" t="str">
        <f>IF(OR(E54&gt;=0.2,E54&lt;=-0.2),"超过20%","")</f>
        <v/>
      </c>
      <c r="G54" s="434">
        <f>IF(G49&lt;I49,I49/G49-1,G49/I49-1)</f>
        <v>1.3995347595622265E-2</v>
      </c>
      <c r="H54" s="435" t="str">
        <f>IF(OR(G54&gt;=0.2,G54&lt;=-0.2),"超过20%","")</f>
        <v/>
      </c>
      <c r="I54" s="434">
        <f>IF(I49&lt;E49,E49/I49-1,I49/E49-1)</f>
        <v>0.17803234501347709</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0.15026923076923082</v>
      </c>
      <c r="F55" s="435" t="str">
        <f>IF(OR(E55&gt;=0.3,E55&lt;=-0.3),"超过30%","")</f>
        <v/>
      </c>
      <c r="G55" s="434">
        <f>IF(G48&lt;I48,I48/G48-1,G48/I48-1)</f>
        <v>0.10836452581254874</v>
      </c>
      <c r="H55" s="435" t="str">
        <f>IF(OR(G55&gt;=0.3,G55&lt;=-0.3),"超过30%","")</f>
        <v/>
      </c>
      <c r="I55" s="434">
        <f>IF(I48&lt;E48,E48/I48-1,I48/E48-1)</f>
        <v>3.7807692307692209E-2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3430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3173" t="s">
        <v>3453</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98</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3445</v>
      </c>
      <c r="D66" s="513" t="s">
        <v>3447</v>
      </c>
      <c r="E66" s="513" t="s">
        <v>3448</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v>104</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2" t="s">
        <v>3436</v>
      </c>
      <c r="D89" s="3172" t="s">
        <v>3450</v>
      </c>
      <c r="E89" s="3172" t="s">
        <v>3432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96</v>
      </c>
      <c r="E90" s="475">
        <f t="shared" ref="E90:M90" si="20">D90-$K27</f>
        <v>92</v>
      </c>
      <c r="F90" s="475">
        <f t="shared" si="20"/>
        <v>88</v>
      </c>
      <c r="G90" s="475">
        <f t="shared" si="20"/>
        <v>84</v>
      </c>
      <c r="H90" s="475">
        <f t="shared" si="20"/>
        <v>80</v>
      </c>
      <c r="I90" s="475">
        <f t="shared" si="20"/>
        <v>76</v>
      </c>
      <c r="J90" s="475">
        <f t="shared" si="20"/>
        <v>72</v>
      </c>
      <c r="K90" s="475">
        <f t="shared" si="20"/>
        <v>68</v>
      </c>
      <c r="L90" s="475">
        <f t="shared" si="20"/>
        <v>64</v>
      </c>
      <c r="M90" s="475">
        <f t="shared" si="20"/>
        <v>60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100(含)-200</v>
      </c>
      <c r="E103" s="509" t="str">
        <f t="shared" si="23"/>
        <v>200(含)-500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C105-3</f>
        <v>97</v>
      </c>
      <c r="E105" s="467">
        <f t="shared" ref="E105:G105" si="24">D105-3</f>
        <v>94</v>
      </c>
      <c r="F105" s="467">
        <f t="shared" si="24"/>
        <v>91</v>
      </c>
      <c r="G105" s="467">
        <f t="shared" si="24"/>
        <v>88</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97</v>
      </c>
      <c r="E124" s="475">
        <f t="shared" si="31"/>
        <v>94</v>
      </c>
      <c r="F124" s="475">
        <f t="shared" si="31"/>
        <v>91</v>
      </c>
      <c r="G124" s="475">
        <f t="shared" si="31"/>
        <v>88</v>
      </c>
      <c r="H124" s="475">
        <f t="shared" si="31"/>
        <v>85</v>
      </c>
      <c r="I124" s="475">
        <f t="shared" si="31"/>
        <v>82</v>
      </c>
      <c r="J124" s="475">
        <f t="shared" si="31"/>
        <v>79</v>
      </c>
      <c r="K124" s="475">
        <f t="shared" si="31"/>
        <v>76</v>
      </c>
      <c r="L124" s="475">
        <f t="shared" si="31"/>
        <v>73</v>
      </c>
      <c r="M124" s="476">
        <f t="shared" si="31"/>
        <v>70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85" zoomScaleNormal="70" zoomScaleSheetLayoutView="85"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1025</v>
      </c>
      <c r="C2" s="1289" t="s">
        <v>805</v>
      </c>
      <c r="D2" s="1289"/>
      <c r="E2" s="1295"/>
      <c r="F2" s="1296"/>
      <c r="G2" s="2479"/>
      <c r="H2" s="2469"/>
      <c r="I2" s="2469"/>
      <c r="J2" s="2469"/>
      <c r="K2" s="2470"/>
      <c r="L2" s="2469"/>
      <c r="M2" s="2469"/>
    </row>
    <row r="3" spans="1:37" ht="18" customHeight="1" thickBot="1">
      <c r="A3" s="1297" t="s">
        <v>806</v>
      </c>
      <c r="B3" s="1298">
        <f ca="1">IF(ISERROR(B2*10000/F43),0,ROUND(B2*10000/F43,0))</f>
        <v>13356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88</v>
      </c>
      <c r="D5" s="1273" t="s">
        <v>693</v>
      </c>
      <c r="E5" s="1008"/>
      <c r="F5" s="1009"/>
      <c r="G5" s="1292"/>
      <c r="H5" s="291">
        <v>1</v>
      </c>
      <c r="I5" s="292" t="s">
        <v>692</v>
      </c>
      <c r="J5" s="1007">
        <f ca="1">J6+J10+J12</f>
        <v>0</v>
      </c>
      <c r="K5" s="1273" t="s">
        <v>693</v>
      </c>
      <c r="L5" s="1008"/>
      <c r="M5" s="1009"/>
    </row>
    <row r="6" spans="1:37" ht="18" customHeight="1">
      <c r="A6" s="1006" t="s">
        <v>398</v>
      </c>
      <c r="B6" s="3442" t="s">
        <v>694</v>
      </c>
      <c r="C6" s="1011">
        <f ca="1">ROUND(F6*F8*F7*(1-F9)/10000,0)</f>
        <v>88</v>
      </c>
      <c r="D6" s="147" t="s">
        <v>2109</v>
      </c>
      <c r="E6" s="294" t="s">
        <v>696</v>
      </c>
      <c r="F6" s="295">
        <f ca="1">INDIRECT("'数据-取费表'!u"&amp;$G$1)</f>
        <v>3.5</v>
      </c>
      <c r="G6" s="1292"/>
      <c r="H6" s="1006" t="s">
        <v>398</v>
      </c>
      <c r="I6" s="3442" t="s">
        <v>694</v>
      </c>
      <c r="J6" s="293">
        <f ca="1">ROUND(M6*M8*M7*(1-M9)/10000,0)</f>
        <v>0</v>
      </c>
      <c r="K6" s="147" t="s">
        <v>2108</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767.43</v>
      </c>
      <c r="G7" s="1292"/>
      <c r="H7" s="296"/>
      <c r="I7" s="3443"/>
      <c r="J7" s="298"/>
      <c r="K7" s="299"/>
      <c r="L7" s="294" t="s">
        <v>697</v>
      </c>
      <c r="M7" s="295">
        <f ca="1">F7</f>
        <v>767.43</v>
      </c>
    </row>
    <row r="8" spans="1:37" ht="18" customHeight="1">
      <c r="A8" s="296"/>
      <c r="B8" s="3443"/>
      <c r="C8" s="298"/>
      <c r="D8" s="299"/>
      <c r="E8" s="294" t="s">
        <v>698</v>
      </c>
      <c r="F8" s="295">
        <f ca="1">INDIRECT("'数据-取费表'!ai"&amp;$G$1)</f>
        <v>365</v>
      </c>
      <c r="G8" s="1292"/>
      <c r="H8" s="296"/>
      <c r="I8" s="3443"/>
      <c r="J8" s="298"/>
      <c r="K8" s="299"/>
      <c r="L8" s="294" t="s">
        <v>698</v>
      </c>
      <c r="M8" s="295">
        <f ca="1">INDIRECT("'数据-取费表'!ai"&amp;$G$1)</f>
        <v>365</v>
      </c>
    </row>
    <row r="9" spans="1:37" ht="18" customHeight="1">
      <c r="A9" s="296"/>
      <c r="B9" s="3444"/>
      <c r="C9" s="298"/>
      <c r="D9" s="299"/>
      <c r="E9" s="294" t="s">
        <v>699</v>
      </c>
      <c r="F9" s="304">
        <f ca="1">INDIRECT("'数据-取费表'!w"&amp;$G$1)</f>
        <v>0.1</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317</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v>
      </c>
      <c r="D14" s="1257" t="s">
        <v>708</v>
      </c>
      <c r="E14" s="1255"/>
      <c r="F14" s="311"/>
      <c r="G14" s="1292"/>
      <c r="H14" s="928" t="s">
        <v>398</v>
      </c>
      <c r="I14" s="294" t="s">
        <v>709</v>
      </c>
      <c r="J14" s="21">
        <f ca="1">C29</f>
        <v>453</v>
      </c>
      <c r="K14" s="12"/>
      <c r="L14" s="759"/>
      <c r="M14" s="760"/>
    </row>
    <row r="15" spans="1:37" s="1304" customFormat="1" ht="18" customHeight="1" thickBot="1">
      <c r="A15" s="928" t="s">
        <v>399</v>
      </c>
      <c r="B15" s="294" t="s">
        <v>710</v>
      </c>
      <c r="C15" s="21">
        <f ca="1">ROUND(C14*F15,0)</f>
        <v>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15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453</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14.75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4.6900000000000004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10.06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2.27</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70</v>
      </c>
      <c r="D39" s="1032" t="s">
        <v>773</v>
      </c>
      <c r="E39" s="1033"/>
      <c r="F39" s="1034"/>
      <c r="G39" s="1292"/>
      <c r="H39" s="2474"/>
      <c r="I39" s="1305"/>
      <c r="J39" s="1306"/>
      <c r="K39" s="2472"/>
      <c r="L39" s="2474"/>
      <c r="M39" s="2474"/>
    </row>
    <row r="40" spans="1:18" ht="18" customHeight="1">
      <c r="A40" s="291" t="s">
        <v>395</v>
      </c>
      <c r="B40" s="292" t="s">
        <v>774</v>
      </c>
      <c r="C40" s="293">
        <f ca="1">ROUND(C39*(1-((1+F42)/(1+F40))^F41)/(F40-F42),0)</f>
        <v>983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12809</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-1019</v>
      </c>
      <c r="D46" s="1313" t="str">
        <f>C2</f>
        <v>万元</v>
      </c>
      <c r="E46" s="1307"/>
      <c r="F46" s="1307"/>
      <c r="I46" s="1314" t="s">
        <v>810</v>
      </c>
      <c r="J46" s="1315"/>
      <c r="K46" s="1316"/>
      <c r="L46" s="1317">
        <f ca="1">IF(M47="住宅",0,IF(L48&gt;J51,L60,J60))</f>
        <v>42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983</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42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453</v>
      </c>
      <c r="R49" s="1327" t="s">
        <v>818</v>
      </c>
    </row>
    <row r="50" spans="1:18" s="1292" customFormat="1" ht="13.5" thickBot="1">
      <c r="A50" s="922"/>
      <c r="B50" s="925"/>
      <c r="C50" s="1055"/>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791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20.04</v>
      </c>
      <c r="K53" s="3440" t="s">
        <v>837</v>
      </c>
      <c r="L53" s="3441"/>
      <c r="O53" s="1325" t="s">
        <v>409</v>
      </c>
      <c r="P53" s="1326" t="s">
        <v>838</v>
      </c>
      <c r="Q53" s="1327">
        <f ca="1">Q47+Q48</f>
        <v>1025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317</v>
      </c>
      <c r="D56" s="1352"/>
      <c r="E56" s="1353"/>
      <c r="F56" s="1345"/>
      <c r="I56" s="1354" t="s">
        <v>842</v>
      </c>
      <c r="J56" s="1355" t="s">
        <v>3414</v>
      </c>
      <c r="K56" s="1328" t="s">
        <v>843</v>
      </c>
      <c r="L56" s="1331" t="str">
        <f ca="1">IF(L48&lt;J51,"——",L48-J53)</f>
        <v>——</v>
      </c>
      <c r="O56" s="1325" t="s">
        <v>403</v>
      </c>
      <c r="P56" s="1326" t="s">
        <v>817</v>
      </c>
      <c r="Q56" s="1327">
        <f ca="1">C40+J29</f>
        <v>983</v>
      </c>
      <c r="R56" s="1327" t="s">
        <v>818</v>
      </c>
    </row>
    <row r="57" spans="1:18" s="1292" customFormat="1" ht="24.75" thickBot="1">
      <c r="A57" s="1356"/>
      <c r="B57" s="896" t="s">
        <v>767</v>
      </c>
      <c r="C57" s="230">
        <f ca="1">C29</f>
        <v>453</v>
      </c>
      <c r="D57" s="1357"/>
      <c r="E57" s="1358"/>
      <c r="F57" s="1359"/>
      <c r="I57" s="1360" t="s">
        <v>844</v>
      </c>
      <c r="J57" s="1361">
        <f ca="1">IF(OR(M47="住宅",J51&lt;L48,J56="是"),"——",J51-L48)</f>
        <v>15.96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983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0.32</v>
      </c>
      <c r="D65" s="910" t="s">
        <v>743</v>
      </c>
      <c r="E65" s="896" t="s">
        <v>744</v>
      </c>
      <c r="F65" s="321">
        <f t="shared" ca="1" si="0"/>
        <v>1E-3</v>
      </c>
      <c r="I65" s="1367" t="s">
        <v>867</v>
      </c>
      <c r="J65" s="610">
        <v>40</v>
      </c>
      <c r="K65" s="610">
        <v>30</v>
      </c>
      <c r="L65" s="610">
        <v>50</v>
      </c>
      <c r="M65" s="1369">
        <v>0.02</v>
      </c>
      <c r="O65" s="1325" t="s">
        <v>403</v>
      </c>
      <c r="P65" s="1326" t="s">
        <v>868</v>
      </c>
      <c r="Q65" s="1327">
        <f ca="1">C40+J29</f>
        <v>983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791</v>
      </c>
      <c r="R67" s="1327" t="s">
        <v>870</v>
      </c>
    </row>
    <row r="68" spans="1:18" s="1292" customFormat="1" ht="16.5" thickBot="1">
      <c r="A68" s="893" t="s">
        <v>395</v>
      </c>
      <c r="B68" s="894" t="s">
        <v>774</v>
      </c>
      <c r="C68" s="293">
        <f ca="1">ROUND(C67*(1-((1+F70)/(1+F68))^F69)/(F68-F70),0)</f>
        <v>-36</v>
      </c>
      <c r="D68" s="911" t="s">
        <v>758</v>
      </c>
      <c r="E68" s="896" t="s">
        <v>759</v>
      </c>
      <c r="F68" s="304">
        <f ca="1">F40</f>
        <v>5.5E-2</v>
      </c>
      <c r="O68" s="1334" t="s">
        <v>406</v>
      </c>
      <c r="P68" s="1371" t="s">
        <v>871</v>
      </c>
      <c r="Q68" s="1327">
        <f ca="1">ROUND(Q69-Q70*Q71,0)</f>
        <v>48</v>
      </c>
      <c r="R68" s="1327" t="s">
        <v>414</v>
      </c>
    </row>
    <row r="69" spans="1:18" s="1292" customFormat="1" ht="13.5" thickBot="1">
      <c r="A69" s="897"/>
      <c r="B69" s="898"/>
      <c r="C69" s="298"/>
      <c r="D69" s="916" t="s">
        <v>762</v>
      </c>
      <c r="E69" s="896" t="s">
        <v>763</v>
      </c>
      <c r="F69" s="324">
        <f ca="1">F41</f>
        <v>20.04</v>
      </c>
      <c r="O69" s="1334" t="s">
        <v>411</v>
      </c>
      <c r="P69" s="1371" t="s">
        <v>872</v>
      </c>
      <c r="Q69" s="1327">
        <f ca="1">C39</f>
        <v>70</v>
      </c>
      <c r="R69" s="1327" t="s">
        <v>818</v>
      </c>
    </row>
    <row r="70" spans="1:18" s="1292" customFormat="1" ht="13.5" thickBot="1">
      <c r="A70" s="900"/>
      <c r="B70" s="901"/>
      <c r="C70" s="302"/>
      <c r="D70" s="912"/>
      <c r="E70" s="896" t="s">
        <v>766</v>
      </c>
      <c r="F70" s="991"/>
      <c r="O70" s="1334" t="s">
        <v>412</v>
      </c>
      <c r="P70" s="1371" t="s">
        <v>873</v>
      </c>
      <c r="Q70" s="1327">
        <f ca="1">C13</f>
        <v>317</v>
      </c>
      <c r="R70" s="1327" t="s">
        <v>818</v>
      </c>
    </row>
    <row r="71" spans="1:18" s="1292" customFormat="1" ht="13.5" thickBot="1">
      <c r="A71" s="917" t="s">
        <v>396</v>
      </c>
      <c r="B71" s="918" t="s">
        <v>776</v>
      </c>
      <c r="C71" s="327">
        <f ca="1">ROUND(C68*10000/F71,0)</f>
        <v>-469</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v>
      </c>
      <c r="D75" s="1292"/>
      <c r="E75" s="1292"/>
      <c r="F75" s="1292"/>
      <c r="K75" s="1309"/>
      <c r="L75" s="1292"/>
      <c r="O75" s="1325" t="s">
        <v>409</v>
      </c>
      <c r="P75" s="1326" t="s">
        <v>838</v>
      </c>
      <c r="Q75" s="1327">
        <f ca="1">Q65+Q66</f>
        <v>983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0.68599999999999994</v>
      </c>
    </row>
    <row r="80" spans="1:18">
      <c r="B80" s="331" t="s">
        <v>800</v>
      </c>
      <c r="C80" s="266">
        <f ca="1">ROUND(C75/C39,3)</f>
        <v>0.314</v>
      </c>
    </row>
    <row r="81" spans="2:3">
      <c r="B81" s="262" t="s">
        <v>801</v>
      </c>
      <c r="C81" s="230"/>
    </row>
    <row r="82" spans="2:3">
      <c r="B82" s="265" t="s">
        <v>802</v>
      </c>
      <c r="C82" s="267">
        <f ca="1">1-C83</f>
        <v>0.67799999999999994</v>
      </c>
    </row>
    <row r="83" spans="2:3">
      <c r="B83" s="265" t="s">
        <v>803</v>
      </c>
      <c r="C83" s="266">
        <f ca="1">ROUND(C13/C40,3)</f>
        <v>0.32200000000000001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1047.8440000000001</v>
      </c>
      <c r="C2" s="1289" t="s">
        <v>879</v>
      </c>
      <c r="D2" s="1375">
        <f ca="1">C40+J29+L46</f>
        <v>10478440</v>
      </c>
      <c r="E2" s="1295" t="s">
        <v>880</v>
      </c>
      <c r="F2" s="1296"/>
      <c r="G2" s="2479"/>
      <c r="H2" s="2469"/>
      <c r="I2" s="2469"/>
      <c r="J2" s="2469"/>
      <c r="K2" s="2470"/>
      <c r="L2" s="2469"/>
      <c r="M2" s="2469"/>
    </row>
    <row r="3" spans="1:37" ht="18" customHeight="1" thickBot="1">
      <c r="A3" s="1297" t="s">
        <v>881</v>
      </c>
      <c r="B3" s="1298">
        <f ca="1">IF(ISERROR(D2/F43),0,ROUND(D2/F43,0))</f>
        <v>13654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883456</v>
      </c>
      <c r="D5" s="1273" t="s">
        <v>889</v>
      </c>
      <c r="E5" s="1008"/>
      <c r="F5" s="1009"/>
      <c r="G5" s="1292"/>
      <c r="H5" s="291">
        <v>1</v>
      </c>
      <c r="I5" s="292" t="s">
        <v>888</v>
      </c>
      <c r="J5" s="1007">
        <f ca="1">J6+J10+J12</f>
        <v>0</v>
      </c>
      <c r="K5" s="1273" t="s">
        <v>889</v>
      </c>
      <c r="L5" s="1008"/>
      <c r="M5" s="1009"/>
    </row>
    <row r="6" spans="1:37" ht="18" customHeight="1">
      <c r="A6" s="1006" t="s">
        <v>398</v>
      </c>
      <c r="B6" s="3442" t="s">
        <v>694</v>
      </c>
      <c r="C6" s="1011">
        <f ca="1">ROUND(F6*F8*F7*(1-F9),0)</f>
        <v>882353</v>
      </c>
      <c r="D6" s="147" t="s">
        <v>2106</v>
      </c>
      <c r="E6" s="294" t="s">
        <v>696</v>
      </c>
      <c r="F6" s="295">
        <f ca="1">INDIRECT("'数据-取费表'!u"&amp;$G$1)</f>
        <v>3.5</v>
      </c>
      <c r="G6" s="1292"/>
      <c r="H6" s="1006" t="s">
        <v>398</v>
      </c>
      <c r="I6" s="3442" t="s">
        <v>694</v>
      </c>
      <c r="J6" s="293">
        <f ca="1">ROUND(M6*M8*M7*(1-M9),0)</f>
        <v>0</v>
      </c>
      <c r="K6" s="1284" t="s">
        <v>2107</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767.43</v>
      </c>
      <c r="G7" s="1292"/>
      <c r="H7" s="296"/>
      <c r="I7" s="3443"/>
      <c r="J7" s="298"/>
      <c r="K7" s="299"/>
      <c r="L7" s="294" t="s">
        <v>697</v>
      </c>
      <c r="M7" s="295">
        <f ca="1">F7</f>
        <v>767.43</v>
      </c>
    </row>
    <row r="8" spans="1:37" ht="18" customHeight="1">
      <c r="A8" s="296"/>
      <c r="B8" s="3443"/>
      <c r="C8" s="298"/>
      <c r="D8" s="299"/>
      <c r="E8" s="294" t="s">
        <v>698</v>
      </c>
      <c r="F8" s="295">
        <f ca="1">INDIRECT("'数据-取费表'!ai"&amp;$G$1)</f>
        <v>365</v>
      </c>
      <c r="G8" s="1292"/>
      <c r="H8" s="296"/>
      <c r="I8" s="3443"/>
      <c r="J8" s="298"/>
      <c r="K8" s="299"/>
      <c r="L8" s="294" t="s">
        <v>698</v>
      </c>
      <c r="M8" s="295">
        <f ca="1">INDIRECT("'数据-取费表'!ai"&amp;$G$1)</f>
        <v>365</v>
      </c>
    </row>
    <row r="9" spans="1:37" ht="18" customHeight="1">
      <c r="A9" s="296"/>
      <c r="B9" s="3444"/>
      <c r="C9" s="298"/>
      <c r="D9" s="299"/>
      <c r="E9" s="294" t="s">
        <v>699</v>
      </c>
      <c r="F9" s="304">
        <f ca="1">INDIRECT("'数据-取费表'!w"&amp;$G$1)</f>
        <v>0.1</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1103</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3178599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3069720</v>
      </c>
      <c r="D14" s="1257" t="s">
        <v>708</v>
      </c>
      <c r="E14" s="1255"/>
      <c r="F14" s="311"/>
      <c r="G14" s="1292"/>
      <c r="H14" s="928" t="s">
        <v>398</v>
      </c>
      <c r="I14" s="294" t="s">
        <v>709</v>
      </c>
      <c r="J14" s="21">
        <f ca="1">C29</f>
        <v>4540855</v>
      </c>
      <c r="K14" s="12"/>
      <c r="L14" s="759"/>
      <c r="M14" s="760"/>
    </row>
    <row r="15" spans="1:37" s="1304" customFormat="1" ht="18" customHeight="1" thickBot="1">
      <c r="A15" s="928" t="s">
        <v>399</v>
      </c>
      <c r="B15" s="294" t="s">
        <v>710</v>
      </c>
      <c r="C15" s="21">
        <f ca="1">ROUND(C14*F15,0)</f>
        <v>153486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22704</v>
      </c>
      <c r="K16" s="1024" t="s">
        <v>715</v>
      </c>
      <c r="L16" s="1025"/>
      <c r="M16" s="1009"/>
    </row>
    <row r="17" spans="1:37" s="1304" customFormat="1" ht="18" customHeight="1">
      <c r="A17" s="928" t="s">
        <v>681</v>
      </c>
      <c r="B17" s="294" t="s">
        <v>716</v>
      </c>
      <c r="C17" s="21">
        <f ca="1">ROUND(F17*(F43+INDIRECT("'数据-取费表'!S"&amp;$G$1)),0)</f>
        <v>153486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61394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3438086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68762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22704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105206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-22704</v>
      </c>
      <c r="K25" s="1032" t="s">
        <v>753</v>
      </c>
      <c r="L25" s="1033"/>
      <c r="M25" s="1034"/>
    </row>
    <row r="26" spans="1:37" ht="18" customHeight="1">
      <c r="A26" s="928" t="s">
        <v>397</v>
      </c>
      <c r="B26" s="294" t="s">
        <v>754</v>
      </c>
      <c r="C26" s="21">
        <f ca="1">ROUND((C19+C20)*F26,0)</f>
        <v>526027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4540855</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182617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147899</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47059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100840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22704</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3179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8835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700839</v>
      </c>
      <c r="D39" s="1032" t="s">
        <v>773</v>
      </c>
      <c r="E39" s="1033"/>
      <c r="F39" s="1034"/>
      <c r="G39" s="1292"/>
      <c r="H39" s="2474"/>
      <c r="I39" s="1305"/>
      <c r="J39" s="1306"/>
      <c r="K39" s="2472"/>
      <c r="L39" s="2474"/>
      <c r="M39" s="2474"/>
    </row>
    <row r="40" spans="1:18" ht="18" customHeight="1">
      <c r="A40" s="291" t="s">
        <v>395</v>
      </c>
      <c r="B40" s="292" t="s">
        <v>774</v>
      </c>
      <c r="C40" s="293">
        <f ca="1">ROUND(C39*(1-((1+F42)/(1+F40))^F41)/(F40-F42),0)</f>
        <v>9839972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12822</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-1014.9629</v>
      </c>
      <c r="D45" s="3131" t="s">
        <v>3344</v>
      </c>
      <c r="E45" s="1307"/>
      <c r="F45" s="1307"/>
      <c r="O45" s="1310" t="s">
        <v>808</v>
      </c>
      <c r="P45" s="1366"/>
      <c r="Q45" s="1366"/>
      <c r="R45" s="1366"/>
    </row>
    <row r="46" spans="1:18" s="1292" customFormat="1" ht="13.5" thickBot="1">
      <c r="A46" s="1311" t="s">
        <v>809</v>
      </c>
      <c r="C46" s="1312">
        <f ca="1">ROUND(C45,0)</f>
        <v>-1015</v>
      </c>
      <c r="D46" s="1313" t="str">
        <f>C2</f>
        <v>万元</v>
      </c>
      <c r="I46" s="1314" t="s">
        <v>810</v>
      </c>
      <c r="J46" s="1315"/>
      <c r="K46" s="1316"/>
      <c r="L46" s="1317">
        <f ca="1">IF(M47="住宅",0,IF(L48&gt;J51,L60,J60))</f>
        <v>638468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9839972</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638468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4540855</v>
      </c>
      <c r="R49" s="1327" t="s">
        <v>818</v>
      </c>
    </row>
    <row r="50" spans="1:18" s="1292" customFormat="1" ht="13.5" thickBot="1">
      <c r="A50" s="922"/>
      <c r="B50" s="925"/>
      <c r="C50" s="926"/>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0.59899999999999998</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8944207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20.04</v>
      </c>
      <c r="K53" s="3440" t="s">
        <v>837</v>
      </c>
      <c r="L53" s="3441"/>
      <c r="O53" s="1325" t="s">
        <v>409</v>
      </c>
      <c r="P53" s="1326" t="s">
        <v>838</v>
      </c>
      <c r="Q53" s="1327">
        <f ca="1">Q47+Q48</f>
        <v>10478440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0.59899999999999998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3178599</v>
      </c>
      <c r="D56" s="1352"/>
      <c r="E56" s="1353"/>
      <c r="F56" s="1345"/>
      <c r="I56" s="1354" t="s">
        <v>842</v>
      </c>
      <c r="J56" s="1355" t="s">
        <v>3414</v>
      </c>
      <c r="K56" s="1328" t="s">
        <v>843</v>
      </c>
      <c r="L56" s="1331" t="str">
        <f ca="1">IF(L48&lt;J51,"——",L48-J51)</f>
        <v>——</v>
      </c>
      <c r="O56" s="1325" t="s">
        <v>403</v>
      </c>
      <c r="P56" s="1326" t="s">
        <v>817</v>
      </c>
      <c r="Q56" s="1327">
        <f ca="1">C40+J29</f>
        <v>9839972</v>
      </c>
      <c r="R56" s="1327" t="s">
        <v>818</v>
      </c>
    </row>
    <row r="57" spans="1:18" s="1292" customFormat="1" ht="24.75" thickBot="1">
      <c r="A57" s="1356"/>
      <c r="B57" s="896" t="s">
        <v>767</v>
      </c>
      <c r="C57" s="230">
        <f ca="1">C29</f>
        <v>4540855</v>
      </c>
      <c r="D57" s="1357"/>
      <c r="E57" s="1358"/>
      <c r="F57" s="1359"/>
      <c r="I57" s="1360" t="s">
        <v>844</v>
      </c>
      <c r="J57" s="1361">
        <f ca="1">IF(OR(M47="住宅",J51&lt;L48,J56="是"),"——",J51-L48)</f>
        <v>35.96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25883</v>
      </c>
      <c r="D58" s="906" t="s">
        <v>715</v>
      </c>
      <c r="E58" s="907"/>
      <c r="F58" s="908"/>
      <c r="I58" s="1360" t="s">
        <v>848</v>
      </c>
      <c r="J58" s="1362">
        <f ca="1">IF(J55&lt;0.4,0.4,J55)</f>
        <v>0.59899999999999998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2719972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638468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9839972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22704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3179</v>
      </c>
      <c r="D65" s="910" t="s">
        <v>743</v>
      </c>
      <c r="E65" s="896" t="s">
        <v>744</v>
      </c>
      <c r="F65" s="321">
        <f t="shared" ca="1" si="0"/>
        <v>1E-3</v>
      </c>
      <c r="I65" s="1367" t="s">
        <v>867</v>
      </c>
      <c r="J65" s="610">
        <v>40</v>
      </c>
      <c r="K65" s="610">
        <v>30</v>
      </c>
      <c r="L65" s="610">
        <v>50</v>
      </c>
      <c r="M65" s="1369">
        <v>0.02</v>
      </c>
      <c r="O65" s="1325" t="s">
        <v>403</v>
      </c>
      <c r="P65" s="1326" t="s">
        <v>868</v>
      </c>
      <c r="Q65" s="1327">
        <f ca="1">C40+J29</f>
        <v>9839972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-25883</v>
      </c>
      <c r="D67" s="909" t="s">
        <v>753</v>
      </c>
      <c r="E67" s="914"/>
      <c r="F67" s="915"/>
      <c r="O67" s="1334" t="s">
        <v>405</v>
      </c>
      <c r="P67" s="1326" t="s">
        <v>850</v>
      </c>
      <c r="Q67" s="1370">
        <f ca="1">L51</f>
        <v>8944207</v>
      </c>
      <c r="R67" s="1327" t="s">
        <v>870</v>
      </c>
    </row>
    <row r="68" spans="1:18" s="1292" customFormat="1" ht="16.5" thickBot="1">
      <c r="A68" s="893" t="s">
        <v>395</v>
      </c>
      <c r="B68" s="894" t="s">
        <v>774</v>
      </c>
      <c r="C68" s="293">
        <f ca="1">ROUND(C67*(1-((1+F70)/(1+F68))^F69)/(F68-F70),0)</f>
        <v>-309657</v>
      </c>
      <c r="D68" s="911" t="s">
        <v>758</v>
      </c>
      <c r="E68" s="896" t="s">
        <v>759</v>
      </c>
      <c r="F68" s="304">
        <f ca="1">F40</f>
        <v>5.5E-2</v>
      </c>
      <c r="O68" s="1334" t="s">
        <v>406</v>
      </c>
      <c r="P68" s="1371" t="s">
        <v>871</v>
      </c>
      <c r="Q68" s="1327">
        <f ca="1">ROUND(Q69-Q70*Q71,0)</f>
        <v>478337</v>
      </c>
      <c r="R68" s="1327" t="s">
        <v>414</v>
      </c>
    </row>
    <row r="69" spans="1:18" s="1292" customFormat="1" ht="13.5" thickBot="1">
      <c r="A69" s="897"/>
      <c r="B69" s="898"/>
      <c r="C69" s="298"/>
      <c r="D69" s="916" t="s">
        <v>762</v>
      </c>
      <c r="E69" s="896" t="s">
        <v>763</v>
      </c>
      <c r="F69" s="324">
        <f ca="1">F41</f>
        <v>20.04</v>
      </c>
      <c r="O69" s="1334" t="s">
        <v>411</v>
      </c>
      <c r="P69" s="1371" t="s">
        <v>872</v>
      </c>
      <c r="Q69" s="1327">
        <f ca="1">C39</f>
        <v>700839</v>
      </c>
      <c r="R69" s="1327" t="s">
        <v>818</v>
      </c>
    </row>
    <row r="70" spans="1:18" s="1292" customFormat="1" ht="13.5" thickBot="1">
      <c r="A70" s="900"/>
      <c r="B70" s="901"/>
      <c r="C70" s="302"/>
      <c r="D70" s="912"/>
      <c r="E70" s="896" t="s">
        <v>766</v>
      </c>
      <c r="F70" s="991"/>
      <c r="O70" s="1334" t="s">
        <v>412</v>
      </c>
      <c r="P70" s="1371" t="s">
        <v>873</v>
      </c>
      <c r="Q70" s="1327">
        <f ca="1">C13</f>
        <v>3178599</v>
      </c>
      <c r="R70" s="1327" t="s">
        <v>818</v>
      </c>
    </row>
    <row r="71" spans="1:18" s="1292" customFormat="1" ht="13.5" thickBot="1">
      <c r="A71" s="917" t="s">
        <v>396</v>
      </c>
      <c r="B71" s="918" t="s">
        <v>776</v>
      </c>
      <c r="C71" s="327">
        <f ca="1">ROUND(C68/F71,0)</f>
        <v>-403</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222502</v>
      </c>
      <c r="D75" s="1292"/>
      <c r="E75" s="1292"/>
      <c r="F75" s="1292"/>
      <c r="K75" s="1309"/>
      <c r="L75" s="1292"/>
      <c r="O75" s="1325" t="s">
        <v>409</v>
      </c>
      <c r="P75" s="1326" t="s">
        <v>838</v>
      </c>
      <c r="Q75" s="1327">
        <f ca="1">Q65+Q66</f>
        <v>9839972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0.68300000000000005</v>
      </c>
    </row>
    <row r="80" spans="1:18">
      <c r="B80" s="331" t="s">
        <v>800</v>
      </c>
      <c r="C80" s="266">
        <f ca="1">ROUND(C75/C39,3)</f>
        <v>0.317</v>
      </c>
    </row>
    <row r="81" spans="2:3">
      <c r="B81" s="262" t="s">
        <v>801</v>
      </c>
      <c r="C81" s="230"/>
    </row>
    <row r="82" spans="2:3">
      <c r="B82" s="265" t="s">
        <v>802</v>
      </c>
      <c r="C82" s="267">
        <f ca="1">1-C83</f>
        <v>0.67700000000000005</v>
      </c>
    </row>
    <row r="83" spans="2:3">
      <c r="B83" s="265" t="s">
        <v>803</v>
      </c>
      <c r="C83" s="266">
        <f ca="1">ROUND(C13/C40,3)</f>
        <v>0.32300000000000001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9" sqref="K2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51" t="s">
        <v>2308</v>
      </c>
      <c r="K2" s="345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53" t="s">
        <v>2318</v>
      </c>
      <c r="K3" s="345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53" t="s">
        <v>2320</v>
      </c>
      <c r="K4" s="345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59" t="s">
        <v>2324</v>
      </c>
      <c r="B6" s="3460"/>
      <c r="C6" s="3461"/>
      <c r="D6" s="2622"/>
      <c r="E6" s="2623"/>
      <c r="F6" s="2624"/>
      <c r="G6" s="2625"/>
      <c r="H6" s="2600"/>
      <c r="I6" s="2601"/>
      <c r="J6" s="3445">
        <v>1</v>
      </c>
      <c r="K6" s="344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45"/>
      <c r="K7" s="344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62" t="s">
        <v>2338</v>
      </c>
      <c r="C8" s="3463"/>
      <c r="D8" s="2641" t="s">
        <v>2339</v>
      </c>
      <c r="E8" s="2642" t="s">
        <v>2340</v>
      </c>
      <c r="F8" s="2643" t="s">
        <v>2341</v>
      </c>
      <c r="G8" s="2644"/>
      <c r="H8" s="2600"/>
      <c r="I8" s="2601"/>
      <c r="J8" s="3445"/>
      <c r="K8" s="344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62" t="s">
        <v>2344</v>
      </c>
      <c r="C9" s="3463"/>
      <c r="D9" s="2641">
        <f>ROUND(D6*E9,0)</f>
        <v>0</v>
      </c>
      <c r="E9" s="2645"/>
      <c r="F9" s="2646" t="s">
        <v>2345</v>
      </c>
      <c r="G9" s="2625"/>
      <c r="H9" s="2600"/>
      <c r="I9" s="2601"/>
      <c r="J9" s="3445"/>
      <c r="K9" s="3447"/>
      <c r="L9" s="2635" t="s">
        <v>2346</v>
      </c>
      <c r="M9" s="2636"/>
      <c r="N9" s="2612"/>
      <c r="O9" s="2637"/>
      <c r="P9" s="2637"/>
      <c r="Q9" s="2638">
        <v>365</v>
      </c>
      <c r="R9" s="2639">
        <f t="shared" si="0"/>
        <v>0</v>
      </c>
      <c r="S9" s="2593"/>
      <c r="T9" s="2593"/>
      <c r="U9" s="2593"/>
      <c r="V9" s="2601"/>
    </row>
    <row r="10" spans="1:22" s="2605" customFormat="1" ht="13.15" customHeight="1">
      <c r="A10" s="2640">
        <v>2</v>
      </c>
      <c r="B10" s="3462" t="s">
        <v>2347</v>
      </c>
      <c r="C10" s="3463"/>
      <c r="D10" s="2641">
        <f>ROUND(D6*E10,0)</f>
        <v>0</v>
      </c>
      <c r="E10" s="2645"/>
      <c r="F10" s="2646" t="s">
        <v>2348</v>
      </c>
      <c r="G10" s="2625"/>
      <c r="H10" s="2600"/>
      <c r="I10" s="2601"/>
      <c r="J10" s="3445"/>
      <c r="K10" s="3447"/>
      <c r="L10" s="2635" t="s">
        <v>2349</v>
      </c>
      <c r="M10" s="2636"/>
      <c r="N10" s="2612"/>
      <c r="O10" s="2637"/>
      <c r="P10" s="2637"/>
      <c r="Q10" s="2638">
        <v>365</v>
      </c>
      <c r="R10" s="2639">
        <f t="shared" si="0"/>
        <v>0</v>
      </c>
      <c r="S10" s="2593"/>
      <c r="T10" s="2593"/>
      <c r="U10" s="2593"/>
      <c r="V10" s="2601"/>
    </row>
    <row r="11" spans="1:22" s="2605" customFormat="1" ht="13.15" customHeight="1">
      <c r="A11" s="2640">
        <v>3</v>
      </c>
      <c r="B11" s="3462" t="s">
        <v>2350</v>
      </c>
      <c r="C11" s="3463"/>
      <c r="D11" s="2641">
        <f>D12+D14+D15+D16</f>
        <v>0</v>
      </c>
      <c r="E11" s="2647" t="e">
        <f>D11/D6</f>
        <v>#DIV/0!</v>
      </c>
      <c r="F11" s="2643"/>
      <c r="G11" s="2644"/>
      <c r="H11" s="2600"/>
      <c r="I11" s="2601"/>
      <c r="J11" s="3445"/>
      <c r="K11" s="344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55" t="s">
        <v>2353</v>
      </c>
      <c r="C12" s="3456"/>
      <c r="D12" s="2649">
        <f>ROUND(D13*1.2%*(1-30%),0)</f>
        <v>0</v>
      </c>
      <c r="E12" s="2650">
        <v>1.2E-2</v>
      </c>
      <c r="F12" s="2643" t="s">
        <v>2354</v>
      </c>
      <c r="G12" s="2644"/>
      <c r="H12" s="2600"/>
      <c r="I12" s="2601"/>
      <c r="J12" s="3445"/>
      <c r="K12" s="344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45"/>
      <c r="K13" s="344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55" t="s">
        <v>2359</v>
      </c>
      <c r="C14" s="3456"/>
      <c r="D14" s="2649">
        <f>ROUND(E14*B5/10000,0)</f>
        <v>0</v>
      </c>
      <c r="E14" s="2638"/>
      <c r="F14" s="2643" t="s">
        <v>2360</v>
      </c>
      <c r="G14" s="2644"/>
      <c r="H14" s="2600"/>
      <c r="I14" s="2601"/>
      <c r="J14" s="3445"/>
      <c r="K14" s="344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55" t="s">
        <v>2363</v>
      </c>
      <c r="C15" s="3456"/>
      <c r="D15" s="2649">
        <f>ROUND(D6*E15,0)</f>
        <v>0</v>
      </c>
      <c r="E15" s="2650">
        <v>5.5E-2</v>
      </c>
      <c r="F15" s="2643" t="s">
        <v>2364</v>
      </c>
      <c r="G15" s="2625"/>
      <c r="H15" s="2600"/>
      <c r="I15" s="2601"/>
      <c r="J15" s="3445">
        <v>2</v>
      </c>
      <c r="K15" s="344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55" t="s">
        <v>2372</v>
      </c>
      <c r="C16" s="3456"/>
      <c r="D16" s="2660">
        <f>D6*E16</f>
        <v>0</v>
      </c>
      <c r="E16" s="2661"/>
      <c r="F16" s="2646" t="s">
        <v>2373</v>
      </c>
      <c r="G16" s="2625"/>
      <c r="H16" s="2600"/>
      <c r="I16" s="2601"/>
      <c r="J16" s="3445"/>
      <c r="K16" s="344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57" t="s">
        <v>2375</v>
      </c>
      <c r="C17" s="3458"/>
      <c r="D17" s="2663">
        <f>ROUND(D6*E17,0)</f>
        <v>0</v>
      </c>
      <c r="E17" s="2664"/>
      <c r="F17" s="2665" t="s">
        <v>2376</v>
      </c>
      <c r="G17" s="2625"/>
      <c r="H17" s="2600"/>
      <c r="I17" s="2601"/>
      <c r="J17" s="3445"/>
      <c r="K17" s="344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45"/>
      <c r="K18" s="344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45"/>
      <c r="K19" s="344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5">
        <v>3</v>
      </c>
      <c r="K20" s="344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45"/>
      <c r="K21" s="344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45"/>
      <c r="K22" s="344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45"/>
      <c r="K23" s="344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45"/>
      <c r="K24" s="344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4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5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51" t="s">
        <v>2308</v>
      </c>
      <c r="K32" s="345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53" t="s">
        <v>2318</v>
      </c>
      <c r="K33" s="345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53" t="s">
        <v>2320</v>
      </c>
      <c r="K34" s="345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45">
        <v>1</v>
      </c>
      <c r="K36" s="344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45"/>
      <c r="K37" s="344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5"/>
      <c r="K38" s="344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45"/>
      <c r="K39" s="344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45"/>
      <c r="K40" s="344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5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估价对象为北京市房地产，为所有。根据《国有土地使用证》[]，估价对象（分摊）出让国有建设用地使用权面积为0平方米，建筑面积为767.43平方米。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估价对象为北京市房地产,属开发建设的，该项目尚在开发建设中。根据《国有土地使用证》[]，估价对象（分摊）出让国有建设用地使用权面积为0平方米，规划建筑面积为767.43平方米。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1025</v>
      </c>
      <c r="C2" s="1729" t="s">
        <v>1651</v>
      </c>
      <c r="D2" s="1730" t="s">
        <v>1652</v>
      </c>
      <c r="E2" s="2393">
        <f>SUM(E6:E13)</f>
        <v>767.43</v>
      </c>
      <c r="F2" s="2480"/>
      <c r="G2" s="459"/>
      <c r="H2" s="459"/>
      <c r="I2" s="459"/>
      <c r="J2" s="459"/>
      <c r="K2" s="459"/>
      <c r="L2" s="459"/>
      <c r="M2" s="459"/>
      <c r="N2" s="459"/>
      <c r="O2" s="459"/>
      <c r="P2" s="459"/>
      <c r="Q2" s="459"/>
      <c r="R2" s="459"/>
      <c r="S2" s="459"/>
    </row>
    <row r="3" spans="1:22" ht="15.75">
      <c r="A3" s="1728" t="s">
        <v>686</v>
      </c>
      <c r="B3" s="2387">
        <f ca="1">ROUND(B2*10000/E2,0)</f>
        <v>13356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4" t="s">
        <v>1654</v>
      </c>
      <c r="C5" s="346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1025</v>
      </c>
      <c r="C6" s="1729" t="s">
        <v>1651</v>
      </c>
      <c r="D6" s="2480"/>
      <c r="E6" s="2392">
        <f>IF(OR(A6=0,F6="否"),0,'数据-取费表'!K6+'数据-取费表'!S6)</f>
        <v>767.43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767.43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6" t="s">
        <v>1667</v>
      </c>
      <c r="D4" s="3397"/>
      <c r="E4" s="3398" t="s">
        <v>1668</v>
      </c>
      <c r="F4" s="3399"/>
      <c r="G4" s="3396" t="s">
        <v>1669</v>
      </c>
      <c r="H4" s="3397"/>
      <c r="I4" s="3396" t="s">
        <v>1670</v>
      </c>
      <c r="J4" s="3397"/>
      <c r="K4" s="1744" t="s">
        <v>1671</v>
      </c>
      <c r="L4" s="2487"/>
      <c r="M4" s="2488"/>
      <c r="N4" s="2488"/>
      <c r="O4" s="2488"/>
      <c r="P4" s="3400" t="s">
        <v>1672</v>
      </c>
      <c r="Q4" s="3401"/>
      <c r="R4" s="3406" t="s">
        <v>1668</v>
      </c>
      <c r="S4" s="3407"/>
      <c r="T4" s="3406" t="s">
        <v>1669</v>
      </c>
      <c r="U4" s="3407"/>
      <c r="V4" s="3379" t="s">
        <v>1670</v>
      </c>
      <c r="W4" s="3379"/>
      <c r="X4" s="1265"/>
      <c r="Y4" s="3406" t="s">
        <v>1672</v>
      </c>
      <c r="Z4" s="3407"/>
      <c r="AA4" s="3393" t="s">
        <v>1668</v>
      </c>
      <c r="AB4" s="3393" t="s">
        <v>1669</v>
      </c>
      <c r="AC4" s="3393" t="s">
        <v>1670</v>
      </c>
    </row>
    <row r="5" spans="1:29" ht="15">
      <c r="A5" s="348"/>
      <c r="B5" s="349"/>
      <c r="C5" s="3414" t="s">
        <v>1673</v>
      </c>
      <c r="D5" s="3415"/>
      <c r="E5" s="3421" t="s">
        <v>1674</v>
      </c>
      <c r="F5" s="3422"/>
      <c r="G5" s="3414" t="s">
        <v>1675</v>
      </c>
      <c r="H5" s="3415"/>
      <c r="I5" s="3414" t="s">
        <v>1676</v>
      </c>
      <c r="J5" s="3415"/>
      <c r="K5" s="1745"/>
      <c r="L5" s="2487"/>
      <c r="M5" s="2488"/>
      <c r="N5" s="2488"/>
      <c r="O5" s="2488"/>
      <c r="P5" s="3402"/>
      <c r="Q5" s="3403"/>
      <c r="R5" s="3408"/>
      <c r="S5" s="3409"/>
      <c r="T5" s="3408"/>
      <c r="U5" s="3409"/>
      <c r="V5" s="3379"/>
      <c r="W5" s="3379"/>
      <c r="X5" s="1265"/>
      <c r="Y5" s="3408"/>
      <c r="Z5" s="3409"/>
      <c r="AA5" s="3394"/>
      <c r="AB5" s="3394"/>
      <c r="AC5" s="3394"/>
    </row>
    <row r="6" spans="1:29" ht="15.75" thickBot="1">
      <c r="A6" s="350"/>
      <c r="B6" s="351"/>
      <c r="C6" s="3412" t="s">
        <v>1677</v>
      </c>
      <c r="D6" s="3413"/>
      <c r="E6" s="3419" t="s">
        <v>1677</v>
      </c>
      <c r="F6" s="3420"/>
      <c r="G6" s="3412" t="s">
        <v>1677</v>
      </c>
      <c r="H6" s="3413"/>
      <c r="I6" s="3412" t="s">
        <v>1677</v>
      </c>
      <c r="J6" s="3413"/>
      <c r="K6" s="1745" t="s">
        <v>1678</v>
      </c>
      <c r="L6" s="2487"/>
      <c r="M6" s="2488"/>
      <c r="N6" s="2488"/>
      <c r="O6" s="2488"/>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2"/>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2"/>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2"/>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2"/>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3"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4"/>
      <c r="Q16" s="1263"/>
      <c r="R16" s="667"/>
      <c r="S16" s="668"/>
      <c r="T16" s="667"/>
      <c r="U16" s="668"/>
      <c r="V16" s="667"/>
      <c r="W16" s="668"/>
      <c r="X16" s="1265"/>
      <c r="Y16" s="338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4"/>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4"/>
      <c r="Q18" s="1263"/>
      <c r="R18" s="667"/>
      <c r="S18" s="668"/>
      <c r="T18" s="667"/>
      <c r="U18" s="668"/>
      <c r="V18" s="667"/>
      <c r="W18" s="668"/>
      <c r="X18" s="1265"/>
      <c r="Y18" s="338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4"/>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4"/>
      <c r="Q20" s="1263"/>
      <c r="R20" s="667"/>
      <c r="S20" s="668"/>
      <c r="T20" s="667"/>
      <c r="U20" s="668"/>
      <c r="V20" s="667"/>
      <c r="W20" s="668"/>
      <c r="X20" s="1265"/>
      <c r="Y20" s="338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4"/>
      <c r="Q22" s="1263"/>
      <c r="R22" s="667"/>
      <c r="S22" s="668"/>
      <c r="T22" s="667"/>
      <c r="U22" s="668"/>
      <c r="V22" s="667"/>
      <c r="W22" s="668"/>
      <c r="X22" s="1265"/>
      <c r="Y22" s="338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4"/>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4"/>
      <c r="Q24" s="1263"/>
      <c r="R24" s="667"/>
      <c r="S24" s="668"/>
      <c r="T24" s="667"/>
      <c r="U24" s="668"/>
      <c r="V24" s="667"/>
      <c r="W24" s="668"/>
      <c r="X24" s="1265"/>
      <c r="Y24" s="33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4"/>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4"/>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4"/>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4"/>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4"/>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4"/>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767.43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79" t="s">
        <v>1773</v>
      </c>
      <c r="W4" s="3379"/>
      <c r="X4" s="1265"/>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79"/>
      <c r="W5" s="3379"/>
      <c r="X5" s="1265"/>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6"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406" t="s">
        <v>1771</v>
      </c>
      <c r="S4" s="3407"/>
      <c r="T4" s="3406" t="s">
        <v>1772</v>
      </c>
      <c r="U4" s="3407"/>
      <c r="V4" s="3379" t="s">
        <v>1773</v>
      </c>
      <c r="W4" s="3379"/>
      <c r="X4" s="1265"/>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7"/>
      <c r="M5" s="2488"/>
      <c r="N5" s="2488"/>
      <c r="O5" s="2488"/>
      <c r="P5" s="3402"/>
      <c r="Q5" s="3403"/>
      <c r="R5" s="3408"/>
      <c r="S5" s="3409"/>
      <c r="T5" s="3408"/>
      <c r="U5" s="3409"/>
      <c r="V5" s="3379"/>
      <c r="W5" s="3379"/>
      <c r="X5" s="1265"/>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7"/>
      <c r="M6" s="2488"/>
      <c r="N6" s="2488"/>
      <c r="O6" s="2488"/>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6"/>
      <c r="Q15" s="1263"/>
      <c r="R15" s="667"/>
      <c r="S15" s="668"/>
      <c r="T15" s="667"/>
      <c r="U15" s="668"/>
      <c r="V15" s="667"/>
      <c r="W15" s="668"/>
      <c r="X15" s="1265"/>
      <c r="Y15" s="3386"/>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6"/>
      <c r="Q17" s="1263"/>
      <c r="R17" s="667"/>
      <c r="S17" s="668"/>
      <c r="T17" s="667"/>
      <c r="U17" s="668"/>
      <c r="V17" s="667"/>
      <c r="W17" s="668"/>
      <c r="X17" s="1265"/>
      <c r="Y17" s="3386"/>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6"/>
      <c r="Q19" s="1263"/>
      <c r="R19" s="667"/>
      <c r="S19" s="668"/>
      <c r="T19" s="667"/>
      <c r="U19" s="668"/>
      <c r="V19" s="667"/>
      <c r="W19" s="668"/>
      <c r="X19" s="1265"/>
      <c r="Y19" s="3386"/>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6"/>
      <c r="Q21" s="1263"/>
      <c r="R21" s="667"/>
      <c r="S21" s="668"/>
      <c r="T21" s="667"/>
      <c r="U21" s="668"/>
      <c r="V21" s="667"/>
      <c r="W21" s="668"/>
      <c r="X21" s="1265"/>
      <c r="Y21" s="33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0" t="str">
        <f>A39</f>
        <v>估价对象XX用房的比较价值（楼面单价，元/平方米）</v>
      </c>
      <c r="Q39" s="3381"/>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406" t="s">
        <v>1771</v>
      </c>
      <c r="S4" s="3407"/>
      <c r="T4" s="3406" t="s">
        <v>1772</v>
      </c>
      <c r="U4" s="3407"/>
      <c r="V4" s="3379" t="s">
        <v>1773</v>
      </c>
      <c r="W4" s="3379"/>
      <c r="X4" s="1265"/>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7"/>
      <c r="M5" s="2488"/>
      <c r="N5" s="2488"/>
      <c r="O5" s="2488"/>
      <c r="P5" s="3402"/>
      <c r="Q5" s="3403"/>
      <c r="R5" s="3408"/>
      <c r="S5" s="3409"/>
      <c r="T5" s="3408"/>
      <c r="U5" s="3409"/>
      <c r="V5" s="3379"/>
      <c r="W5" s="3379"/>
      <c r="X5" s="1265"/>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7"/>
      <c r="M6" s="2488"/>
      <c r="N6" s="2488"/>
      <c r="O6" s="2488"/>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6"/>
      <c r="Q15" s="1263"/>
      <c r="R15" s="667"/>
      <c r="S15" s="668"/>
      <c r="T15" s="667"/>
      <c r="U15" s="668"/>
      <c r="V15" s="667"/>
      <c r="W15" s="668"/>
      <c r="X15" s="1265"/>
      <c r="Y15" s="3386"/>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6"/>
      <c r="Q17" s="1263"/>
      <c r="R17" s="667"/>
      <c r="S17" s="668"/>
      <c r="T17" s="667"/>
      <c r="U17" s="668"/>
      <c r="V17" s="667"/>
      <c r="W17" s="668"/>
      <c r="X17" s="1265"/>
      <c r="Y17" s="3386"/>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6"/>
      <c r="Q19" s="1263"/>
      <c r="R19" s="667"/>
      <c r="S19" s="668"/>
      <c r="T19" s="667"/>
      <c r="U19" s="668"/>
      <c r="V19" s="667"/>
      <c r="W19" s="668"/>
      <c r="X19" s="1265"/>
      <c r="Y19" s="3386"/>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6"/>
      <c r="Q21" s="1263"/>
      <c r="R21" s="667"/>
      <c r="S21" s="668"/>
      <c r="T21" s="667"/>
      <c r="U21" s="668"/>
      <c r="V21" s="667"/>
      <c r="W21" s="668"/>
      <c r="X21" s="1265"/>
      <c r="Y21" s="33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0" t="str">
        <f>A37</f>
        <v>估价对象XX用房的比较价值（楼面单价，元/平方米）</v>
      </c>
      <c r="Q37" s="3381"/>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406" t="s">
        <v>1771</v>
      </c>
      <c r="S4" s="3407"/>
      <c r="T4" s="3406" t="s">
        <v>1772</v>
      </c>
      <c r="U4" s="3407"/>
      <c r="V4" s="3379" t="s">
        <v>1773</v>
      </c>
      <c r="W4" s="3379"/>
      <c r="X4" s="1265"/>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7"/>
      <c r="M5" s="2488"/>
      <c r="N5" s="2488"/>
      <c r="O5" s="2488"/>
      <c r="P5" s="3402"/>
      <c r="Q5" s="3403"/>
      <c r="R5" s="3408"/>
      <c r="S5" s="3409"/>
      <c r="T5" s="3408"/>
      <c r="U5" s="3409"/>
      <c r="V5" s="3379"/>
      <c r="W5" s="3379"/>
      <c r="X5" s="1265"/>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7"/>
      <c r="M6" s="2488"/>
      <c r="N6" s="2488"/>
      <c r="O6" s="2488"/>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90"/>
      <c r="M10" s="2491"/>
      <c r="N10" s="2491"/>
      <c r="O10" s="2542"/>
      <c r="P10" s="3378"/>
      <c r="Q10" s="530" t="str">
        <f t="shared" si="6"/>
        <v>土地使用年限（年）</v>
      </c>
      <c r="R10" s="664" t="s">
        <v>14</v>
      </c>
      <c r="S10" s="665">
        <f t="shared" si="0"/>
        <v>146</v>
      </c>
      <c r="T10" s="664" t="s">
        <v>14</v>
      </c>
      <c r="U10" s="665">
        <f t="shared" si="1"/>
        <v>146</v>
      </c>
      <c r="V10" s="664" t="s">
        <v>14</v>
      </c>
      <c r="W10" s="665">
        <f t="shared" si="2"/>
        <v>146</v>
      </c>
      <c r="X10" s="666"/>
      <c r="Y10" s="3263"/>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6"/>
      <c r="Q16" s="1263"/>
      <c r="R16" s="667"/>
      <c r="S16" s="668"/>
      <c r="T16" s="667"/>
      <c r="U16" s="668"/>
      <c r="V16" s="667"/>
      <c r="W16" s="668"/>
      <c r="X16" s="1265"/>
      <c r="Y16" s="338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6"/>
      <c r="Q18" s="1263"/>
      <c r="R18" s="667"/>
      <c r="S18" s="668"/>
      <c r="T18" s="667"/>
      <c r="U18" s="668"/>
      <c r="V18" s="667"/>
      <c r="W18" s="668"/>
      <c r="X18" s="1265"/>
      <c r="Y18" s="3386"/>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6"/>
      <c r="Q20" s="1263"/>
      <c r="R20" s="667"/>
      <c r="S20" s="668"/>
      <c r="T20" s="667"/>
      <c r="U20" s="668"/>
      <c r="V20" s="667"/>
      <c r="W20" s="668"/>
      <c r="X20" s="1265"/>
      <c r="Y20" s="3386"/>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6"/>
      <c r="Q22" s="1263"/>
      <c r="R22" s="667"/>
      <c r="S22" s="668"/>
      <c r="T22" s="667"/>
      <c r="U22" s="668"/>
      <c r="V22" s="667"/>
      <c r="W22" s="668"/>
      <c r="X22" s="1265"/>
      <c r="Y22" s="338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6"/>
      <c r="Q24" s="1263"/>
      <c r="R24" s="667"/>
      <c r="S24" s="668"/>
      <c r="T24" s="667"/>
      <c r="U24" s="668"/>
      <c r="V24" s="667"/>
      <c r="W24" s="668"/>
      <c r="X24" s="1265"/>
      <c r="Y24" s="3386"/>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6"/>
      <c r="Q26" s="1263"/>
      <c r="R26" s="667"/>
      <c r="S26" s="668"/>
      <c r="T26" s="667"/>
      <c r="U26" s="668"/>
      <c r="V26" s="667"/>
      <c r="W26" s="668"/>
      <c r="X26" s="1265"/>
      <c r="Y26" s="3386"/>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6"/>
      <c r="Q28" s="530"/>
      <c r="R28" s="664"/>
      <c r="S28" s="665"/>
      <c r="T28" s="664"/>
      <c r="U28" s="665"/>
      <c r="V28" s="664"/>
      <c r="W28" s="665"/>
      <c r="X28" s="666"/>
      <c r="Y28" s="3386"/>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6"/>
      <c r="Q30" s="530"/>
      <c r="R30" s="664"/>
      <c r="S30" s="665"/>
      <c r="T30" s="664"/>
      <c r="U30" s="665"/>
      <c r="V30" s="664"/>
      <c r="W30" s="665"/>
      <c r="X30" s="666"/>
      <c r="Y30" s="33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6"/>
      <c r="Q33" s="1263"/>
      <c r="R33" s="667"/>
      <c r="S33" s="668"/>
      <c r="T33" s="667"/>
      <c r="U33" s="668"/>
      <c r="V33" s="667"/>
      <c r="W33" s="668"/>
      <c r="X33" s="1265"/>
      <c r="Y33" s="33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6"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0" t="str">
        <f>A48</f>
        <v>估价对象XX用房的比较价值（楼面单价，元/平方米）</v>
      </c>
      <c r="Q48" s="3381"/>
      <c r="R48" s="3469" t="e">
        <f>ROUND(IF(D47="简单平均",AVERAGE(R47:W47),R47*F47+T47*H47+V47*J47),0)</f>
        <v>#DIV/0!</v>
      </c>
      <c r="S48" s="3469"/>
      <c r="T48" s="3469"/>
      <c r="U48" s="3469"/>
      <c r="V48" s="3469"/>
      <c r="W48" s="346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6" t="s">
        <v>1887</v>
      </c>
      <c r="H55" s="347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767.43</v>
      </c>
      <c r="F56" s="833" t="e">
        <f t="shared" ref="F56:F64" si="15">ROUND(B56*E56/10000,0)</f>
        <v>#DIV/0!</v>
      </c>
      <c r="G56" s="3392"/>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767.43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406" t="s">
        <v>1771</v>
      </c>
      <c r="S4" s="3407"/>
      <c r="T4" s="3406" t="s">
        <v>1772</v>
      </c>
      <c r="U4" s="3407"/>
      <c r="V4" s="3379" t="s">
        <v>1773</v>
      </c>
      <c r="W4" s="3379"/>
      <c r="X4" s="1265"/>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7"/>
      <c r="M5" s="2488"/>
      <c r="N5" s="2488"/>
      <c r="O5" s="2488"/>
      <c r="P5" s="3402"/>
      <c r="Q5" s="3403"/>
      <c r="R5" s="3408"/>
      <c r="S5" s="3409"/>
      <c r="T5" s="3408"/>
      <c r="U5" s="3409"/>
      <c r="V5" s="3379"/>
      <c r="W5" s="3379"/>
      <c r="X5" s="1265"/>
      <c r="Y5" s="3408"/>
      <c r="Z5" s="3409"/>
      <c r="AA5" s="3394"/>
      <c r="AB5" s="3394"/>
      <c r="AC5" s="3394"/>
    </row>
    <row r="6" spans="1:29" ht="15.75" thickBot="1">
      <c r="A6" s="350"/>
      <c r="B6" s="351"/>
      <c r="C6" s="3471" t="s">
        <v>1919</v>
      </c>
      <c r="D6" s="3472"/>
      <c r="E6" s="3473" t="s">
        <v>1919</v>
      </c>
      <c r="F6" s="3474"/>
      <c r="G6" s="3471" t="s">
        <v>1919</v>
      </c>
      <c r="H6" s="3472"/>
      <c r="I6" s="3471" t="s">
        <v>1919</v>
      </c>
      <c r="J6" s="3472"/>
      <c r="K6" s="537" t="s">
        <v>1678</v>
      </c>
      <c r="L6" s="2487"/>
      <c r="M6" s="2488"/>
      <c r="N6" s="2488"/>
      <c r="O6" s="2488"/>
      <c r="P6" s="3404"/>
      <c r="Q6" s="3405"/>
      <c r="R6" s="3408"/>
      <c r="S6" s="3409"/>
      <c r="T6" s="3410"/>
      <c r="U6" s="3411"/>
      <c r="V6" s="3379"/>
      <c r="W6" s="3379"/>
      <c r="X6" s="1265"/>
      <c r="Y6" s="3410"/>
      <c r="Z6" s="3411"/>
      <c r="AA6" s="3395"/>
      <c r="AB6" s="3395"/>
      <c r="AC6" s="3395"/>
    </row>
    <row r="7" spans="1:29" s="102" customFormat="1" ht="15.75" thickBot="1">
      <c r="A7" s="352" t="s">
        <v>1679</v>
      </c>
      <c r="B7" s="353"/>
      <c r="C7" s="354">
        <f>'数据-取费表'!B2</f>
        <v>45817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90"/>
      <c r="M10" s="2491"/>
      <c r="N10" s="2491"/>
      <c r="O10" s="2542"/>
      <c r="P10" s="3378"/>
      <c r="Q10" s="530" t="str">
        <f t="shared" si="6"/>
        <v>土地使用年限（年）</v>
      </c>
      <c r="R10" s="664" t="s">
        <v>14</v>
      </c>
      <c r="S10" s="665">
        <f t="shared" si="0"/>
        <v>146</v>
      </c>
      <c r="T10" s="664" t="s">
        <v>14</v>
      </c>
      <c r="U10" s="665">
        <f t="shared" si="1"/>
        <v>146</v>
      </c>
      <c r="V10" s="664" t="s">
        <v>14</v>
      </c>
      <c r="W10" s="665">
        <f t="shared" si="2"/>
        <v>146</v>
      </c>
      <c r="X10" s="666"/>
      <c r="Y10" s="3263"/>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6"/>
      <c r="Q16" s="1263"/>
      <c r="R16" s="667"/>
      <c r="S16" s="668"/>
      <c r="T16" s="667"/>
      <c r="U16" s="668"/>
      <c r="V16" s="667"/>
      <c r="W16" s="668"/>
      <c r="X16" s="1265"/>
      <c r="Y16" s="338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6"/>
      <c r="Q18" s="1263"/>
      <c r="R18" s="667"/>
      <c r="S18" s="668"/>
      <c r="T18" s="667"/>
      <c r="U18" s="668"/>
      <c r="V18" s="667"/>
      <c r="W18" s="668"/>
      <c r="X18" s="1265"/>
      <c r="Y18" s="338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6"/>
      <c r="Q20" s="1263"/>
      <c r="R20" s="667"/>
      <c r="S20" s="668"/>
      <c r="T20" s="667"/>
      <c r="U20" s="668"/>
      <c r="V20" s="667"/>
      <c r="W20" s="668"/>
      <c r="X20" s="1265"/>
      <c r="Y20" s="338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6"/>
      <c r="Q22" s="1263"/>
      <c r="R22" s="667"/>
      <c r="S22" s="668"/>
      <c r="T22" s="667"/>
      <c r="U22" s="668"/>
      <c r="V22" s="667"/>
      <c r="W22" s="668"/>
      <c r="X22" s="1265"/>
      <c r="Y22" s="338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6"/>
      <c r="Q24" s="530"/>
      <c r="R24" s="664"/>
      <c r="S24" s="665"/>
      <c r="T24" s="664"/>
      <c r="U24" s="665"/>
      <c r="V24" s="664"/>
      <c r="W24" s="665"/>
      <c r="X24" s="666"/>
      <c r="Y24" s="338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6"/>
      <c r="Q29" s="1263"/>
      <c r="R29" s="667"/>
      <c r="S29" s="668"/>
      <c r="T29" s="667"/>
      <c r="U29" s="668"/>
      <c r="V29" s="667"/>
      <c r="W29" s="668"/>
      <c r="X29" s="1265"/>
      <c r="Y29" s="33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6"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0" t="str">
        <f>A43</f>
        <v>估价对象XX用房的比较价值（楼面单价，元/平方米）</v>
      </c>
      <c r="Q43" s="3381"/>
      <c r="R43" s="3469" t="e">
        <f>ROUND(IF(D42="简单平均",AVERAGE(R42:W42),R42*F42+T42*H42+V42*J42),0)</f>
        <v>#DIV/0!</v>
      </c>
      <c r="S43" s="3469"/>
      <c r="T43" s="3469"/>
      <c r="U43" s="3469"/>
      <c r="V43" s="3469"/>
      <c r="W43" s="346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6" t="s">
        <v>1887</v>
      </c>
      <c r="H50" s="347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767.43</v>
      </c>
      <c r="F51" s="611" t="e">
        <f t="shared" ref="F51:F60" si="15">ROUND(B51*E51/10000,0)</f>
        <v>#DIV/0!</v>
      </c>
      <c r="G51" s="3392"/>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0" t="s">
        <v>2598</v>
      </c>
      <c r="B20" s="3485" t="s">
        <v>2619</v>
      </c>
      <c r="C20" s="2843" t="s">
        <v>2430</v>
      </c>
      <c r="D20" s="2844"/>
      <c r="E20" s="2845">
        <v>1</v>
      </c>
      <c r="F20" s="2846" t="s">
        <v>2431</v>
      </c>
      <c r="G20" s="2846"/>
    </row>
    <row r="21" spans="1:13" ht="19.5" customHeight="1">
      <c r="A21" s="3491"/>
      <c r="B21" s="3484"/>
      <c r="C21" s="2847" t="s">
        <v>2432</v>
      </c>
      <c r="D21" s="2848"/>
      <c r="E21" s="2849">
        <v>1</v>
      </c>
      <c r="F21" s="2846" t="s">
        <v>2433</v>
      </c>
      <c r="G21" s="2846"/>
    </row>
    <row r="22" spans="1:13" ht="19.5" customHeight="1">
      <c r="A22" s="3491"/>
      <c r="B22" s="3484"/>
      <c r="C22" s="2847" t="s">
        <v>2434</v>
      </c>
      <c r="D22" s="2848"/>
      <c r="E22" s="2849">
        <v>0.9</v>
      </c>
      <c r="F22" s="2846" t="s">
        <v>2435</v>
      </c>
      <c r="G22" s="2846"/>
    </row>
    <row r="23" spans="1:13" ht="19.5" customHeight="1">
      <c r="A23" s="3491"/>
      <c r="B23" s="3484"/>
      <c r="C23" s="2847" t="s">
        <v>2436</v>
      </c>
      <c r="D23" s="2848"/>
      <c r="E23" s="2849">
        <v>0.9</v>
      </c>
      <c r="F23" s="2846" t="s">
        <v>2437</v>
      </c>
      <c r="G23" s="2846"/>
    </row>
    <row r="24" spans="1:13" ht="19.5" customHeight="1">
      <c r="A24" s="3491"/>
      <c r="B24" s="3484"/>
      <c r="C24" s="2847" t="s">
        <v>2438</v>
      </c>
      <c r="D24" s="2848"/>
      <c r="E24" s="2849">
        <v>0.8</v>
      </c>
      <c r="F24" s="2846" t="s">
        <v>2439</v>
      </c>
      <c r="G24" s="2846"/>
    </row>
    <row r="25" spans="1:13" ht="19.5" customHeight="1" thickBot="1">
      <c r="A25" s="3492"/>
      <c r="B25" s="348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7" t="s">
        <v>2622</v>
      </c>
      <c r="B27" s="3485" t="s">
        <v>2603</v>
      </c>
      <c r="C27" s="2843" t="s">
        <v>2443</v>
      </c>
      <c r="D27" s="2844"/>
      <c r="E27" s="2845">
        <v>1</v>
      </c>
      <c r="F27" s="2846" t="s">
        <v>2444</v>
      </c>
      <c r="G27" s="2846"/>
    </row>
    <row r="28" spans="1:13" ht="19.5" customHeight="1">
      <c r="A28" s="3488"/>
      <c r="B28" s="3484"/>
      <c r="C28" s="2847" t="s">
        <v>2445</v>
      </c>
      <c r="D28" s="2848"/>
      <c r="E28" s="2849">
        <v>1</v>
      </c>
      <c r="F28" s="2846" t="s">
        <v>2446</v>
      </c>
      <c r="G28" s="2846"/>
    </row>
    <row r="29" spans="1:13" ht="19.5" customHeight="1">
      <c r="A29" s="3488"/>
      <c r="B29" s="3484"/>
      <c r="C29" s="2847" t="s">
        <v>2447</v>
      </c>
      <c r="D29" s="2848"/>
      <c r="E29" s="2849">
        <v>0.8</v>
      </c>
      <c r="F29" s="2846" t="s">
        <v>2448</v>
      </c>
      <c r="G29" s="2846"/>
    </row>
    <row r="30" spans="1:13" ht="19.5" customHeight="1">
      <c r="A30" s="3488"/>
      <c r="B30" s="3484"/>
      <c r="C30" s="2847" t="s">
        <v>2449</v>
      </c>
      <c r="D30" s="2848"/>
      <c r="E30" s="2849">
        <v>0.8</v>
      </c>
      <c r="F30" s="2846" t="s">
        <v>2450</v>
      </c>
      <c r="G30" s="2846"/>
    </row>
    <row r="31" spans="1:13" ht="19.5" customHeight="1">
      <c r="A31" s="3488"/>
      <c r="B31" s="3484"/>
      <c r="C31" s="2847" t="s">
        <v>2451</v>
      </c>
      <c r="D31" s="2848"/>
      <c r="E31" s="2849">
        <v>0.8</v>
      </c>
      <c r="F31" s="2846" t="s">
        <v>2452</v>
      </c>
      <c r="G31" s="2846"/>
    </row>
    <row r="32" spans="1:13" ht="19.5" customHeight="1">
      <c r="A32" s="3488"/>
      <c r="B32" s="3484"/>
      <c r="C32" s="2847" t="s">
        <v>2453</v>
      </c>
      <c r="D32" s="2848"/>
      <c r="E32" s="2849">
        <v>0.7</v>
      </c>
      <c r="F32" s="2846" t="s">
        <v>2454</v>
      </c>
      <c r="G32" s="2846"/>
    </row>
    <row r="33" spans="1:7" ht="19.5" customHeight="1">
      <c r="A33" s="3488"/>
      <c r="B33" s="3484"/>
      <c r="C33" s="2847" t="s">
        <v>2455</v>
      </c>
      <c r="D33" s="2848"/>
      <c r="E33" s="2849">
        <v>0.8</v>
      </c>
      <c r="F33" s="2846" t="s">
        <v>2456</v>
      </c>
      <c r="G33" s="2846"/>
    </row>
    <row r="34" spans="1:7" ht="19.5" customHeight="1">
      <c r="A34" s="3488"/>
      <c r="B34" s="3484"/>
      <c r="C34" s="2847" t="s">
        <v>2457</v>
      </c>
      <c r="D34" s="2848"/>
      <c r="E34" s="2849">
        <v>0.6</v>
      </c>
      <c r="F34" s="2846" t="s">
        <v>2458</v>
      </c>
      <c r="G34" s="2846"/>
    </row>
    <row r="35" spans="1:7" ht="19.5" customHeight="1">
      <c r="A35" s="3488"/>
      <c r="B35" s="3484"/>
      <c r="C35" s="2847" t="s">
        <v>2459</v>
      </c>
      <c r="D35" s="2848"/>
      <c r="E35" s="2849">
        <v>0.2</v>
      </c>
      <c r="F35" s="2846" t="s">
        <v>2460</v>
      </c>
      <c r="G35" s="2846"/>
    </row>
    <row r="36" spans="1:7" ht="19.5" customHeight="1">
      <c r="A36" s="3488"/>
      <c r="B36" s="3484"/>
      <c r="C36" s="2847" t="s">
        <v>2461</v>
      </c>
      <c r="D36" s="2848"/>
      <c r="E36" s="2849">
        <v>0.2</v>
      </c>
      <c r="F36" s="2846" t="s">
        <v>2462</v>
      </c>
      <c r="G36" s="2846"/>
    </row>
    <row r="37" spans="1:7" ht="19.5" customHeight="1">
      <c r="A37" s="3488"/>
      <c r="B37" s="3482" t="s">
        <v>2623</v>
      </c>
      <c r="C37" s="2847" t="s">
        <v>2463</v>
      </c>
      <c r="D37" s="2848"/>
      <c r="E37" s="2849">
        <v>0.6</v>
      </c>
      <c r="F37" s="2846" t="s">
        <v>2464</v>
      </c>
      <c r="G37" s="2846"/>
    </row>
    <row r="38" spans="1:7" ht="19.5" customHeight="1">
      <c r="A38" s="3488"/>
      <c r="B38" s="3484"/>
      <c r="C38" s="2847" t="s">
        <v>2465</v>
      </c>
      <c r="D38" s="2848"/>
      <c r="E38" s="2849">
        <v>0.6</v>
      </c>
      <c r="F38" s="2846" t="s">
        <v>2466</v>
      </c>
      <c r="G38" s="2846"/>
    </row>
    <row r="39" spans="1:7" ht="19.5" customHeight="1" thickBot="1">
      <c r="A39" s="3489"/>
      <c r="B39" s="348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90" t="s">
        <v>2601</v>
      </c>
      <c r="B41" s="3485" t="s">
        <v>2625</v>
      </c>
      <c r="C41" s="2843" t="s">
        <v>2470</v>
      </c>
      <c r="D41" s="2844"/>
      <c r="E41" s="2845">
        <v>1</v>
      </c>
      <c r="F41" s="2846" t="s">
        <v>2471</v>
      </c>
      <c r="G41" s="2846"/>
    </row>
    <row r="42" spans="1:7" ht="19.5" customHeight="1">
      <c r="A42" s="3491"/>
      <c r="B42" s="3484"/>
      <c r="C42" s="2847" t="s">
        <v>2472</v>
      </c>
      <c r="D42" s="2848"/>
      <c r="E42" s="2849">
        <v>1</v>
      </c>
      <c r="F42" s="2846" t="s">
        <v>2473</v>
      </c>
      <c r="G42" s="2846"/>
    </row>
    <row r="43" spans="1:7" ht="19.5" customHeight="1">
      <c r="A43" s="3491"/>
      <c r="B43" s="3483"/>
      <c r="C43" s="2847" t="s">
        <v>2474</v>
      </c>
      <c r="D43" s="2848"/>
      <c r="E43" s="2849">
        <v>1.5</v>
      </c>
      <c r="F43" s="2846" t="s">
        <v>2475</v>
      </c>
      <c r="G43" s="2846"/>
    </row>
    <row r="44" spans="1:7" ht="19.5" customHeight="1">
      <c r="A44" s="3491"/>
      <c r="B44" s="2858" t="s">
        <v>2626</v>
      </c>
      <c r="C44" s="2847" t="s">
        <v>2627</v>
      </c>
      <c r="D44" s="2848"/>
      <c r="E44" s="2849">
        <v>2</v>
      </c>
      <c r="F44" s="2846" t="s">
        <v>2476</v>
      </c>
      <c r="G44" s="2846"/>
    </row>
    <row r="45" spans="1:7" ht="19.5" customHeight="1">
      <c r="A45" s="3491"/>
      <c r="B45" s="3482" t="s">
        <v>2628</v>
      </c>
      <c r="C45" s="2847" t="s">
        <v>2477</v>
      </c>
      <c r="D45" s="2848"/>
      <c r="E45" s="2849">
        <v>1</v>
      </c>
      <c r="F45" s="2846" t="s">
        <v>2478</v>
      </c>
      <c r="G45" s="2846"/>
    </row>
    <row r="46" spans="1:7" ht="19.5" customHeight="1">
      <c r="A46" s="3491"/>
      <c r="B46" s="3484"/>
      <c r="C46" s="2847" t="s">
        <v>2479</v>
      </c>
      <c r="D46" s="2848"/>
      <c r="E46" s="2849">
        <v>1</v>
      </c>
      <c r="F46" s="2846" t="s">
        <v>2480</v>
      </c>
      <c r="G46" s="2846"/>
    </row>
    <row r="47" spans="1:7" ht="19.5" customHeight="1">
      <c r="A47" s="3491"/>
      <c r="B47" s="3484"/>
      <c r="C47" s="2847" t="s">
        <v>2481</v>
      </c>
      <c r="D47" s="2848"/>
      <c r="E47" s="2849">
        <v>1</v>
      </c>
      <c r="F47" s="2846" t="s">
        <v>2482</v>
      </c>
      <c r="G47" s="2846"/>
    </row>
    <row r="48" spans="1:7" ht="19.5" customHeight="1">
      <c r="A48" s="3491"/>
      <c r="B48" s="3484"/>
      <c r="C48" s="2847" t="s">
        <v>2483</v>
      </c>
      <c r="D48" s="2848"/>
      <c r="E48" s="2849">
        <v>1</v>
      </c>
      <c r="F48" s="2846" t="s">
        <v>2484</v>
      </c>
      <c r="G48" s="2846"/>
    </row>
    <row r="49" spans="1:7" ht="19.5" customHeight="1">
      <c r="A49" s="3491"/>
      <c r="B49" s="3484"/>
      <c r="C49" s="2847" t="s">
        <v>2485</v>
      </c>
      <c r="D49" s="2848"/>
      <c r="E49" s="2849">
        <v>1</v>
      </c>
      <c r="F49" s="2846" t="s">
        <v>2486</v>
      </c>
      <c r="G49" s="2846"/>
    </row>
    <row r="50" spans="1:7" ht="19.5" customHeight="1">
      <c r="A50" s="3491"/>
      <c r="B50" s="3484"/>
      <c r="C50" s="2847" t="s">
        <v>2487</v>
      </c>
      <c r="D50" s="2848"/>
      <c r="E50" s="2849">
        <v>1</v>
      </c>
      <c r="F50" s="2846" t="s">
        <v>2488</v>
      </c>
      <c r="G50" s="2846"/>
    </row>
    <row r="51" spans="1:7" ht="19.5" customHeight="1" thickBot="1">
      <c r="A51" s="3492"/>
      <c r="B51" s="348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2" t="s">
        <v>2642</v>
      </c>
      <c r="C73" s="2832" t="s">
        <v>2643</v>
      </c>
      <c r="D73" s="2832" t="s">
        <v>2644</v>
      </c>
      <c r="E73" s="2858">
        <v>0.2</v>
      </c>
      <c r="F73" s="2858">
        <v>25</v>
      </c>
    </row>
    <row r="74" spans="1:7" ht="24">
      <c r="A74" s="2858">
        <v>2</v>
      </c>
      <c r="B74" s="3484"/>
      <c r="C74" s="2832" t="s">
        <v>2645</v>
      </c>
      <c r="D74" s="2832" t="s">
        <v>2646</v>
      </c>
      <c r="E74" s="2858">
        <v>0.2</v>
      </c>
      <c r="F74" s="2858">
        <v>25</v>
      </c>
    </row>
    <row r="75" spans="1:7" ht="24">
      <c r="A75" s="2858">
        <v>3</v>
      </c>
      <c r="B75" s="3484"/>
      <c r="C75" s="2832" t="s">
        <v>2647</v>
      </c>
      <c r="D75" s="2832" t="s">
        <v>2648</v>
      </c>
      <c r="E75" s="2858">
        <v>0.2</v>
      </c>
      <c r="F75" s="2858">
        <v>25</v>
      </c>
    </row>
    <row r="76" spans="1:7" ht="13.5">
      <c r="A76" s="2858">
        <v>4</v>
      </c>
      <c r="B76" s="3484"/>
      <c r="C76" s="2832" t="s">
        <v>2649</v>
      </c>
      <c r="D76" s="2832" t="s">
        <v>2650</v>
      </c>
      <c r="E76" s="2858">
        <v>0.15</v>
      </c>
      <c r="F76" s="2858">
        <v>20</v>
      </c>
    </row>
    <row r="77" spans="1:7" ht="24">
      <c r="A77" s="2858">
        <v>5</v>
      </c>
      <c r="B77" s="3484"/>
      <c r="C77" s="2832" t="s">
        <v>2651</v>
      </c>
      <c r="D77" s="2832" t="s">
        <v>2652</v>
      </c>
      <c r="E77" s="2858">
        <v>0.15</v>
      </c>
      <c r="F77" s="2858">
        <v>20</v>
      </c>
    </row>
    <row r="78" spans="1:7" ht="24">
      <c r="A78" s="2858">
        <v>6</v>
      </c>
      <c r="B78" s="3484"/>
      <c r="C78" s="2832" t="s">
        <v>2653</v>
      </c>
      <c r="D78" s="2832" t="s">
        <v>2654</v>
      </c>
      <c r="E78" s="2858">
        <v>0.15</v>
      </c>
      <c r="F78" s="2858">
        <v>20</v>
      </c>
    </row>
    <row r="79" spans="1:7" ht="24">
      <c r="A79" s="2858">
        <v>7</v>
      </c>
      <c r="B79" s="3484"/>
      <c r="C79" s="2832" t="s">
        <v>2655</v>
      </c>
      <c r="D79" s="2832" t="s">
        <v>2656</v>
      </c>
      <c r="E79" s="2858">
        <v>0.15</v>
      </c>
      <c r="F79" s="2858">
        <v>20</v>
      </c>
    </row>
    <row r="80" spans="1:7" ht="24">
      <c r="A80" s="2858">
        <v>8</v>
      </c>
      <c r="B80" s="3484"/>
      <c r="C80" s="2832" t="s">
        <v>2657</v>
      </c>
      <c r="D80" s="2832" t="s">
        <v>2658</v>
      </c>
      <c r="E80" s="2858">
        <v>0.1</v>
      </c>
      <c r="F80" s="2858">
        <v>15</v>
      </c>
    </row>
    <row r="81" spans="1:6" ht="24">
      <c r="A81" s="2858">
        <v>9</v>
      </c>
      <c r="B81" s="3484"/>
      <c r="C81" s="2832" t="s">
        <v>2659</v>
      </c>
      <c r="D81" s="2832" t="s">
        <v>2660</v>
      </c>
      <c r="E81" s="2858">
        <v>0.1</v>
      </c>
      <c r="F81" s="2858">
        <v>15</v>
      </c>
    </row>
    <row r="82" spans="1:6" ht="24">
      <c r="A82" s="2858">
        <v>10</v>
      </c>
      <c r="B82" s="3484"/>
      <c r="C82" s="2832" t="s">
        <v>2661</v>
      </c>
      <c r="D82" s="2832" t="s">
        <v>2662</v>
      </c>
      <c r="E82" s="2858">
        <v>0.1</v>
      </c>
      <c r="F82" s="2858">
        <v>15</v>
      </c>
    </row>
    <row r="83" spans="1:6" ht="24">
      <c r="A83" s="2858">
        <v>11</v>
      </c>
      <c r="B83" s="3484"/>
      <c r="C83" s="2832" t="s">
        <v>2663</v>
      </c>
      <c r="D83" s="2832" t="s">
        <v>2664</v>
      </c>
      <c r="E83" s="2858">
        <v>0.1</v>
      </c>
      <c r="F83" s="2858">
        <v>15</v>
      </c>
    </row>
    <row r="84" spans="1:6" ht="24">
      <c r="A84" s="2858">
        <v>12</v>
      </c>
      <c r="B84" s="3484"/>
      <c r="C84" s="2832" t="s">
        <v>2665</v>
      </c>
      <c r="D84" s="2832" t="s">
        <v>2666</v>
      </c>
      <c r="E84" s="2858">
        <v>0.1</v>
      </c>
      <c r="F84" s="2858">
        <v>15</v>
      </c>
    </row>
    <row r="85" spans="1:6" ht="13.5">
      <c r="A85" s="2858">
        <v>13</v>
      </c>
      <c r="B85" s="3484"/>
      <c r="C85" s="2832" t="s">
        <v>2667</v>
      </c>
      <c r="D85" s="2832" t="s">
        <v>2668</v>
      </c>
      <c r="E85" s="2858">
        <v>0.1</v>
      </c>
      <c r="F85" s="2858">
        <v>15</v>
      </c>
    </row>
    <row r="86" spans="1:6" ht="13.5">
      <c r="A86" s="2858">
        <v>14</v>
      </c>
      <c r="B86" s="3484"/>
      <c r="C86" s="2832" t="s">
        <v>2669</v>
      </c>
      <c r="D86" s="2832" t="s">
        <v>2670</v>
      </c>
      <c r="E86" s="2858">
        <v>0.1</v>
      </c>
      <c r="F86" s="2858">
        <v>15</v>
      </c>
    </row>
    <row r="87" spans="1:6" ht="13.5">
      <c r="A87" s="2858">
        <v>15</v>
      </c>
      <c r="B87" s="3484"/>
      <c r="C87" s="2832" t="s">
        <v>2671</v>
      </c>
      <c r="D87" s="2832" t="s">
        <v>2672</v>
      </c>
      <c r="E87" s="2858">
        <v>0.1</v>
      </c>
      <c r="F87" s="2858">
        <v>15</v>
      </c>
    </row>
    <row r="88" spans="1:6" ht="24">
      <c r="A88" s="2858">
        <v>16</v>
      </c>
      <c r="B88" s="3484"/>
      <c r="C88" s="2832" t="s">
        <v>2673</v>
      </c>
      <c r="D88" s="2832" t="s">
        <v>2674</v>
      </c>
      <c r="E88" s="2858">
        <v>0.1</v>
      </c>
      <c r="F88" s="2858">
        <v>15</v>
      </c>
    </row>
    <row r="89" spans="1:6" ht="24">
      <c r="A89" s="2858">
        <v>17</v>
      </c>
      <c r="B89" s="3483"/>
      <c r="C89" s="2832" t="s">
        <v>2675</v>
      </c>
      <c r="D89" s="2832" t="s">
        <v>2676</v>
      </c>
      <c r="E89" s="2858">
        <v>0.1</v>
      </c>
      <c r="F89" s="2858">
        <v>15</v>
      </c>
    </row>
    <row r="90" spans="1:6" ht="13.5">
      <c r="A90" s="2858">
        <v>18</v>
      </c>
      <c r="B90" s="3482" t="s">
        <v>2677</v>
      </c>
      <c r="C90" s="2832" t="s">
        <v>2678</v>
      </c>
      <c r="D90" s="2832" t="s">
        <v>2679</v>
      </c>
      <c r="E90" s="2858">
        <v>0.2</v>
      </c>
      <c r="F90" s="2858">
        <v>25</v>
      </c>
    </row>
    <row r="91" spans="1:6" ht="24">
      <c r="A91" s="2858">
        <v>19</v>
      </c>
      <c r="B91" s="3484"/>
      <c r="C91" s="2832" t="s">
        <v>2680</v>
      </c>
      <c r="D91" s="2832" t="s">
        <v>2681</v>
      </c>
      <c r="E91" s="2858">
        <v>0.2</v>
      </c>
      <c r="F91" s="2858">
        <v>25</v>
      </c>
    </row>
    <row r="92" spans="1:6" ht="13.5">
      <c r="A92" s="2858">
        <v>20</v>
      </c>
      <c r="B92" s="3484"/>
      <c r="C92" s="2832" t="s">
        <v>2682</v>
      </c>
      <c r="D92" s="2832" t="s">
        <v>2683</v>
      </c>
      <c r="E92" s="2858">
        <v>0.15</v>
      </c>
      <c r="F92" s="2858">
        <v>20</v>
      </c>
    </row>
    <row r="93" spans="1:6" ht="13.5">
      <c r="A93" s="2858">
        <v>21</v>
      </c>
      <c r="B93" s="3484"/>
      <c r="C93" s="2832" t="s">
        <v>2684</v>
      </c>
      <c r="D93" s="2832" t="s">
        <v>2685</v>
      </c>
      <c r="E93" s="2858">
        <v>0.15</v>
      </c>
      <c r="F93" s="2858">
        <v>20</v>
      </c>
    </row>
    <row r="94" spans="1:6" ht="13.5">
      <c r="A94" s="2858">
        <v>22</v>
      </c>
      <c r="B94" s="3484"/>
      <c r="C94" s="2832" t="s">
        <v>2686</v>
      </c>
      <c r="D94" s="2832" t="s">
        <v>2687</v>
      </c>
      <c r="E94" s="2858">
        <v>0.15</v>
      </c>
      <c r="F94" s="2858">
        <v>20</v>
      </c>
    </row>
    <row r="95" spans="1:6" ht="36">
      <c r="A95" s="2858">
        <v>23</v>
      </c>
      <c r="B95" s="3484"/>
      <c r="C95" s="2832" t="s">
        <v>2688</v>
      </c>
      <c r="D95" s="2832" t="s">
        <v>2689</v>
      </c>
      <c r="E95" s="2858">
        <v>0.15</v>
      </c>
      <c r="F95" s="2858">
        <v>20</v>
      </c>
    </row>
    <row r="96" spans="1:6" ht="13.5">
      <c r="A96" s="2858">
        <v>24</v>
      </c>
      <c r="B96" s="3484"/>
      <c r="C96" s="2832" t="s">
        <v>2690</v>
      </c>
      <c r="D96" s="2832" t="s">
        <v>2691</v>
      </c>
      <c r="E96" s="2858">
        <v>0.1</v>
      </c>
      <c r="F96" s="2858">
        <v>15</v>
      </c>
    </row>
    <row r="97" spans="1:6" ht="13.5">
      <c r="A97" s="2858">
        <v>25</v>
      </c>
      <c r="B97" s="3484"/>
      <c r="C97" s="2832" t="s">
        <v>2692</v>
      </c>
      <c r="D97" s="2832" t="s">
        <v>2693</v>
      </c>
      <c r="E97" s="2858">
        <v>0.1</v>
      </c>
      <c r="F97" s="2858">
        <v>15</v>
      </c>
    </row>
    <row r="98" spans="1:6" ht="24">
      <c r="A98" s="2858">
        <v>26</v>
      </c>
      <c r="B98" s="3484"/>
      <c r="C98" s="2832" t="s">
        <v>2694</v>
      </c>
      <c r="D98" s="2832" t="s">
        <v>2695</v>
      </c>
      <c r="E98" s="2858">
        <v>0.1</v>
      </c>
      <c r="F98" s="2858">
        <v>15</v>
      </c>
    </row>
    <row r="99" spans="1:6" ht="24">
      <c r="A99" s="2858">
        <v>27</v>
      </c>
      <c r="B99" s="3484"/>
      <c r="C99" s="2832" t="s">
        <v>2696</v>
      </c>
      <c r="D99" s="2832" t="s">
        <v>2697</v>
      </c>
      <c r="E99" s="2858">
        <v>0.1</v>
      </c>
      <c r="F99" s="2858">
        <v>15</v>
      </c>
    </row>
    <row r="100" spans="1:6" ht="13.5">
      <c r="A100" s="2858">
        <v>28</v>
      </c>
      <c r="B100" s="3484"/>
      <c r="C100" s="2832" t="s">
        <v>2698</v>
      </c>
      <c r="D100" s="2832" t="s">
        <v>2699</v>
      </c>
      <c r="E100" s="2858">
        <v>0.1</v>
      </c>
      <c r="F100" s="2858">
        <v>15</v>
      </c>
    </row>
    <row r="101" spans="1:6" ht="13.5">
      <c r="A101" s="2858">
        <v>29</v>
      </c>
      <c r="B101" s="3484"/>
      <c r="C101" s="2832" t="s">
        <v>2700</v>
      </c>
      <c r="D101" s="2832" t="s">
        <v>2701</v>
      </c>
      <c r="E101" s="2858">
        <v>0.1</v>
      </c>
      <c r="F101" s="2858">
        <v>15</v>
      </c>
    </row>
    <row r="102" spans="1:6" ht="13.5">
      <c r="A102" s="2858">
        <v>30</v>
      </c>
      <c r="B102" s="3484"/>
      <c r="C102" s="2832" t="s">
        <v>2702</v>
      </c>
      <c r="D102" s="2832" t="s">
        <v>2703</v>
      </c>
      <c r="E102" s="2858">
        <v>0.1</v>
      </c>
      <c r="F102" s="2858">
        <v>15</v>
      </c>
    </row>
    <row r="103" spans="1:6" ht="24">
      <c r="A103" s="2858">
        <v>31</v>
      </c>
      <c r="B103" s="3484"/>
      <c r="C103" s="2832" t="s">
        <v>2704</v>
      </c>
      <c r="D103" s="2832" t="s">
        <v>2705</v>
      </c>
      <c r="E103" s="2858">
        <v>0.1</v>
      </c>
      <c r="F103" s="2858">
        <v>15</v>
      </c>
    </row>
    <row r="104" spans="1:6" ht="24">
      <c r="A104" s="2858">
        <v>32</v>
      </c>
      <c r="B104" s="3484"/>
      <c r="C104" s="2832" t="s">
        <v>2706</v>
      </c>
      <c r="D104" s="2832" t="s">
        <v>2707</v>
      </c>
      <c r="E104" s="2858">
        <v>0.1</v>
      </c>
      <c r="F104" s="2858">
        <v>15</v>
      </c>
    </row>
    <row r="105" spans="1:6" ht="24">
      <c r="A105" s="2858">
        <v>33</v>
      </c>
      <c r="B105" s="3484"/>
      <c r="C105" s="2832" t="s">
        <v>2708</v>
      </c>
      <c r="D105" s="2832" t="s">
        <v>2709</v>
      </c>
      <c r="E105" s="2858">
        <v>0.1</v>
      </c>
      <c r="F105" s="2858">
        <v>15</v>
      </c>
    </row>
    <row r="106" spans="1:6" ht="24">
      <c r="A106" s="2858">
        <v>34</v>
      </c>
      <c r="B106" s="3483"/>
      <c r="C106" s="2832" t="s">
        <v>2710</v>
      </c>
      <c r="D106" s="2832" t="s">
        <v>2711</v>
      </c>
      <c r="E106" s="2858">
        <v>0.1</v>
      </c>
      <c r="F106" s="2858">
        <v>15</v>
      </c>
    </row>
    <row r="107" spans="1:6" ht="24">
      <c r="A107" s="2858">
        <v>35</v>
      </c>
      <c r="B107" s="3482" t="s">
        <v>2712</v>
      </c>
      <c r="C107" s="2858" t="s">
        <v>2713</v>
      </c>
      <c r="D107" s="2832" t="s">
        <v>2714</v>
      </c>
      <c r="E107" s="2858">
        <v>0.15</v>
      </c>
      <c r="F107" s="2858">
        <v>20</v>
      </c>
    </row>
    <row r="108" spans="1:6" ht="13.5">
      <c r="A108" s="2858">
        <v>36</v>
      </c>
      <c r="B108" s="3484"/>
      <c r="C108" s="2858" t="s">
        <v>2715</v>
      </c>
      <c r="D108" s="2832" t="s">
        <v>2716</v>
      </c>
      <c r="E108" s="2858">
        <v>0.15</v>
      </c>
      <c r="F108" s="2858">
        <v>20</v>
      </c>
    </row>
    <row r="109" spans="1:6" ht="13.5">
      <c r="A109" s="2858">
        <v>37</v>
      </c>
      <c r="B109" s="3484"/>
      <c r="C109" s="2858" t="s">
        <v>2717</v>
      </c>
      <c r="D109" s="2832" t="s">
        <v>2718</v>
      </c>
      <c r="E109" s="2858">
        <v>0.15</v>
      </c>
      <c r="F109" s="2858">
        <v>20</v>
      </c>
    </row>
    <row r="110" spans="1:6" ht="13.5">
      <c r="A110" s="2858">
        <v>38</v>
      </c>
      <c r="B110" s="3484"/>
      <c r="C110" s="2858" t="s">
        <v>2719</v>
      </c>
      <c r="D110" s="2832" t="s">
        <v>2720</v>
      </c>
      <c r="E110" s="2858">
        <v>0.1</v>
      </c>
      <c r="F110" s="2858">
        <v>15</v>
      </c>
    </row>
    <row r="111" spans="1:6" ht="24">
      <c r="A111" s="2858">
        <v>39</v>
      </c>
      <c r="B111" s="3484"/>
      <c r="C111" s="2858" t="s">
        <v>2721</v>
      </c>
      <c r="D111" s="2832" t="s">
        <v>2722</v>
      </c>
      <c r="E111" s="2858">
        <v>0.1</v>
      </c>
      <c r="F111" s="2858">
        <v>15</v>
      </c>
    </row>
    <row r="112" spans="1:6" ht="24">
      <c r="A112" s="2858">
        <v>40</v>
      </c>
      <c r="B112" s="3483"/>
      <c r="C112" s="2858" t="s">
        <v>2723</v>
      </c>
      <c r="D112" s="2832" t="s">
        <v>2724</v>
      </c>
      <c r="E112" s="2858">
        <v>0.1</v>
      </c>
      <c r="F112" s="2858">
        <v>15</v>
      </c>
    </row>
    <row r="113" spans="1:6" ht="13.5">
      <c r="A113" s="2858">
        <v>41</v>
      </c>
      <c r="B113" s="3481" t="s">
        <v>2725</v>
      </c>
      <c r="C113" s="2858" t="s">
        <v>2726</v>
      </c>
      <c r="D113" s="2832" t="s">
        <v>2727</v>
      </c>
      <c r="E113" s="2858">
        <v>0.1</v>
      </c>
      <c r="F113" s="2858">
        <v>15</v>
      </c>
    </row>
    <row r="114" spans="1:6" ht="13.5">
      <c r="A114" s="2858">
        <v>42</v>
      </c>
      <c r="B114" s="3481"/>
      <c r="C114" s="2858" t="s">
        <v>2728</v>
      </c>
      <c r="D114" s="2832" t="s">
        <v>2729</v>
      </c>
      <c r="E114" s="2858">
        <v>0.1</v>
      </c>
      <c r="F114" s="2858">
        <v>15</v>
      </c>
    </row>
    <row r="115" spans="1:6" ht="24">
      <c r="A115" s="2858">
        <v>43</v>
      </c>
      <c r="B115" s="3481"/>
      <c r="C115" s="2858" t="s">
        <v>2730</v>
      </c>
      <c r="D115" s="2832" t="s">
        <v>2731</v>
      </c>
      <c r="E115" s="2858">
        <v>0.1</v>
      </c>
      <c r="F115" s="2858">
        <v>15</v>
      </c>
    </row>
    <row r="116" spans="1:6" ht="13.5">
      <c r="A116" s="2858">
        <v>44</v>
      </c>
      <c r="B116" s="3482" t="s">
        <v>2732</v>
      </c>
      <c r="C116" s="2858" t="s">
        <v>2733</v>
      </c>
      <c r="D116" s="2832" t="s">
        <v>2734</v>
      </c>
      <c r="E116" s="2858">
        <v>0.1</v>
      </c>
      <c r="F116" s="2858">
        <v>15</v>
      </c>
    </row>
    <row r="117" spans="1:6" ht="24">
      <c r="A117" s="2858">
        <v>45</v>
      </c>
      <c r="B117" s="3483"/>
      <c r="C117" s="2832" t="s">
        <v>2735</v>
      </c>
      <c r="D117" s="2832" t="s">
        <v>2736</v>
      </c>
      <c r="E117" s="2858">
        <v>0.1</v>
      </c>
      <c r="F117" s="2858">
        <v>15</v>
      </c>
    </row>
    <row r="118" spans="1:6" ht="24">
      <c r="A118" s="2858">
        <v>46</v>
      </c>
      <c r="B118" s="3482" t="s">
        <v>2737</v>
      </c>
      <c r="C118" s="2858" t="s">
        <v>2738</v>
      </c>
      <c r="D118" s="2832" t="s">
        <v>2739</v>
      </c>
      <c r="E118" s="2858">
        <v>0.1</v>
      </c>
      <c r="F118" s="2858">
        <v>15</v>
      </c>
    </row>
    <row r="119" spans="1:6" ht="24">
      <c r="A119" s="2858">
        <v>47</v>
      </c>
      <c r="B119" s="3483"/>
      <c r="C119" s="2858" t="s">
        <v>2740</v>
      </c>
      <c r="D119" s="2832" t="s">
        <v>2741</v>
      </c>
      <c r="E119" s="2858">
        <v>0.1</v>
      </c>
      <c r="F119" s="2858">
        <v>15</v>
      </c>
    </row>
    <row r="120" spans="1:6" ht="13.5">
      <c r="A120" s="2858">
        <v>48</v>
      </c>
      <c r="B120" s="3482" t="s">
        <v>2742</v>
      </c>
      <c r="C120" s="2858" t="s">
        <v>2743</v>
      </c>
      <c r="D120" s="2832" t="s">
        <v>2744</v>
      </c>
      <c r="E120" s="2858">
        <v>0.1</v>
      </c>
      <c r="F120" s="2858">
        <v>15</v>
      </c>
    </row>
    <row r="121" spans="1:6" ht="13.5">
      <c r="A121" s="2858">
        <v>49</v>
      </c>
      <c r="B121" s="3483"/>
      <c r="C121" s="2858" t="s">
        <v>2745</v>
      </c>
      <c r="D121" s="2832" t="s">
        <v>2746</v>
      </c>
      <c r="E121" s="2858">
        <v>0.1</v>
      </c>
      <c r="F121" s="2858">
        <v>15</v>
      </c>
    </row>
    <row r="122" spans="1:6" ht="24">
      <c r="A122" s="2858">
        <v>50</v>
      </c>
      <c r="B122" s="3481" t="s">
        <v>2747</v>
      </c>
      <c r="C122" s="2858" t="s">
        <v>2748</v>
      </c>
      <c r="D122" s="2832" t="s">
        <v>2749</v>
      </c>
      <c r="E122" s="2858">
        <v>0.1</v>
      </c>
      <c r="F122" s="2858">
        <v>15</v>
      </c>
    </row>
    <row r="123" spans="1:6" ht="24">
      <c r="A123" s="2858">
        <v>51</v>
      </c>
      <c r="B123" s="3481"/>
      <c r="C123" s="2858" t="s">
        <v>2750</v>
      </c>
      <c r="D123" s="2832" t="s">
        <v>2751</v>
      </c>
      <c r="E123" s="2858">
        <v>0.1</v>
      </c>
      <c r="F123" s="2858">
        <v>15</v>
      </c>
    </row>
    <row r="124" spans="1:6" ht="24">
      <c r="A124" s="2858">
        <v>52</v>
      </c>
      <c r="B124" s="3481" t="s">
        <v>2752</v>
      </c>
      <c r="C124" s="2858" t="s">
        <v>2753</v>
      </c>
      <c r="D124" s="2832" t="s">
        <v>2754</v>
      </c>
      <c r="E124" s="2858">
        <v>0.1</v>
      </c>
      <c r="F124" s="2858">
        <v>15</v>
      </c>
    </row>
    <row r="125" spans="1:6" ht="24">
      <c r="A125" s="2858">
        <v>53</v>
      </c>
      <c r="B125" s="348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1" t="s">
        <v>2760</v>
      </c>
      <c r="C127" s="2858" t="s">
        <v>2761</v>
      </c>
      <c r="D127" s="2832" t="s">
        <v>2762</v>
      </c>
      <c r="E127" s="2858">
        <v>0.1</v>
      </c>
      <c r="F127" s="2858">
        <v>15</v>
      </c>
    </row>
    <row r="128" spans="1:6" ht="13.5">
      <c r="A128" s="2858">
        <v>56</v>
      </c>
      <c r="B128" s="3481"/>
      <c r="C128" s="2858" t="s">
        <v>2763</v>
      </c>
      <c r="D128" s="2832" t="s">
        <v>2764</v>
      </c>
      <c r="E128" s="2858">
        <v>0.1</v>
      </c>
      <c r="F128" s="2858">
        <v>15</v>
      </c>
    </row>
    <row r="129" spans="1:6" ht="24">
      <c r="A129" s="2858">
        <v>57</v>
      </c>
      <c r="B129" s="3481"/>
      <c r="C129" s="2858" t="s">
        <v>2765</v>
      </c>
      <c r="D129" s="2832" t="s">
        <v>2766</v>
      </c>
      <c r="E129" s="2858">
        <v>0.1</v>
      </c>
      <c r="F129" s="2858">
        <v>15</v>
      </c>
    </row>
    <row r="130" spans="1:6" ht="24">
      <c r="A130" s="2858">
        <v>58</v>
      </c>
      <c r="B130" s="3481" t="s">
        <v>2767</v>
      </c>
      <c r="C130" s="2858" t="s">
        <v>2768</v>
      </c>
      <c r="D130" s="2832" t="s">
        <v>2769</v>
      </c>
      <c r="E130" s="2858">
        <v>0.1</v>
      </c>
      <c r="F130" s="2858">
        <v>15</v>
      </c>
    </row>
    <row r="131" spans="1:6" ht="13.5">
      <c r="A131" s="2858">
        <v>59</v>
      </c>
      <c r="B131" s="3481"/>
      <c r="C131" s="2858" t="s">
        <v>2770</v>
      </c>
      <c r="D131" s="2832" t="s">
        <v>2771</v>
      </c>
      <c r="E131" s="2858">
        <v>0.1</v>
      </c>
      <c r="F131" s="2858">
        <v>15</v>
      </c>
    </row>
    <row r="132" spans="1:6" ht="13.5">
      <c r="A132" s="2858">
        <v>60</v>
      </c>
      <c r="B132" s="3482" t="s">
        <v>2772</v>
      </c>
      <c r="C132" s="2858" t="s">
        <v>2773</v>
      </c>
      <c r="D132" s="2832" t="s">
        <v>2774</v>
      </c>
      <c r="E132" s="2858">
        <v>0.1</v>
      </c>
      <c r="F132" s="2858">
        <v>15</v>
      </c>
    </row>
    <row r="133" spans="1:6" ht="13.5">
      <c r="A133" s="2858">
        <v>61</v>
      </c>
      <c r="B133" s="348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1" t="s">
        <v>2780</v>
      </c>
      <c r="C135" s="2858" t="s">
        <v>2781</v>
      </c>
      <c r="D135" s="2832" t="s">
        <v>2782</v>
      </c>
      <c r="E135" s="2858">
        <v>0.1</v>
      </c>
      <c r="F135" s="2858">
        <v>15</v>
      </c>
    </row>
    <row r="136" spans="1:6" ht="13.5">
      <c r="A136" s="2858">
        <v>64</v>
      </c>
      <c r="B136" s="348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f ca="1">结果表!H101</f>
        <v>1562</v>
      </c>
    </row>
    <row r="6" spans="1:5" ht="15.75">
      <c r="B6" s="3176"/>
      <c r="C6" s="1392" t="s">
        <v>911</v>
      </c>
      <c r="D6" s="797" t="str">
        <f ca="1">NUMBERSTRING(INT(D5*10000),2)&amp;"元整"</f>
        <v>壹仟伍佰陆拾贰万元整</v>
      </c>
    </row>
    <row r="7" spans="1:5" ht="15.75">
      <c r="B7" s="3181"/>
      <c r="C7" s="1393" t="s">
        <v>912</v>
      </c>
      <c r="D7" s="798">
        <f ca="1">结果表!H102</f>
        <v>20354</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f ca="1">结果表!H107</f>
        <v>1562</v>
      </c>
    </row>
    <row r="14" spans="1:5" ht="15.75">
      <c r="B14" s="3176"/>
      <c r="C14" s="1392" t="s">
        <v>911</v>
      </c>
      <c r="D14" s="797" t="str">
        <f ca="1">NUMBERSTRING(INT(D13*10000),2)&amp;"元整"</f>
        <v>壹仟伍佰陆拾贰万元整</v>
      </c>
    </row>
    <row r="15" spans="1:5" ht="15">
      <c r="B15" s="3181"/>
      <c r="C15" s="1393" t="s">
        <v>921</v>
      </c>
      <c r="D15" s="806">
        <f ca="1">结果表!H108</f>
        <v>20354</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28258</v>
      </c>
      <c r="C2" s="2" t="s">
        <v>106</v>
      </c>
      <c r="D2" s="191"/>
      <c r="E2" s="191"/>
      <c r="F2" s="191"/>
      <c r="G2" s="191"/>
    </row>
    <row r="3" spans="1:7" s="192" customFormat="1" ht="18" customHeight="1" thickBot="1">
      <c r="A3" s="195" t="s">
        <v>58</v>
      </c>
      <c r="B3" s="196">
        <f ca="1">ROUND(B2*10000/'数据-汇总表'!E3,0)</f>
        <v>368216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767.43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767.43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1268</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767.43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8.9999999999999998E-4</v>
      </c>
      <c r="D44" s="230"/>
      <c r="E44" s="230"/>
      <c r="F44" s="231"/>
      <c r="G44" s="3358"/>
    </row>
    <row r="45" spans="1:7" s="206" customFormat="1" ht="13.5" customHeight="1">
      <c r="A45" s="731" t="s">
        <v>341</v>
      </c>
      <c r="B45" s="236" t="s">
        <v>85</v>
      </c>
      <c r="C45" s="237">
        <f>C46</f>
        <v>53</v>
      </c>
      <c r="D45" s="227">
        <f>C47</f>
        <v>4.4999999999999997E-3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317</v>
      </c>
      <c r="D51" s="224"/>
      <c r="E51" s="224"/>
      <c r="F51" s="256"/>
      <c r="G51" s="226" t="s">
        <v>37</v>
      </c>
    </row>
    <row r="52" spans="1:7" s="200" customFormat="1" ht="16.5" thickBot="1">
      <c r="A52" s="257" t="s">
        <v>38</v>
      </c>
      <c r="B52" s="258"/>
      <c r="C52" s="259">
        <f ca="1">C31+C51</f>
        <v>28258</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3" t="s">
        <v>3172</v>
      </c>
      <c r="B1" s="349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4" t="s">
        <v>3223</v>
      </c>
      <c r="B1" s="3494"/>
      <c r="C1" s="3494"/>
      <c r="D1" s="3494"/>
      <c r="E1" s="3494"/>
      <c r="F1" s="349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45817</v>
      </c>
      <c r="B1" s="2930" t="s">
        <v>3369</v>
      </c>
      <c r="C1" s="2931"/>
      <c r="D1" s="2931"/>
      <c r="E1" s="2931"/>
      <c r="F1" s="2931"/>
      <c r="G1" s="2931"/>
      <c r="H1" s="2931"/>
      <c r="I1" s="2931"/>
      <c r="J1" s="2897"/>
      <c r="K1" s="2931" t="s">
        <v>454</v>
      </c>
      <c r="L1" s="2931"/>
      <c r="M1" s="2931"/>
      <c r="N1" s="2931"/>
      <c r="O1" s="2931"/>
      <c r="P1" s="2931"/>
      <c r="Q1" s="2897"/>
      <c r="R1" s="3496" t="s">
        <v>456</v>
      </c>
      <c r="S1" s="3497"/>
      <c r="T1" s="3497"/>
      <c r="U1" s="3497"/>
      <c r="V1" s="3497"/>
      <c r="W1" s="3497"/>
      <c r="X1" s="2897"/>
      <c r="Y1" s="3496" t="s">
        <v>457</v>
      </c>
      <c r="Z1" s="3497"/>
      <c r="AA1" s="3497"/>
      <c r="AB1" s="3497"/>
      <c r="AC1" s="3497"/>
      <c r="AD1" s="349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6" t="s">
        <v>2818</v>
      </c>
      <c r="S29" s="3497"/>
      <c r="T29" s="3497"/>
      <c r="U29" s="3497"/>
      <c r="V29" s="3497"/>
      <c r="W29" s="3497"/>
      <c r="X29" s="2897"/>
      <c r="Y29" s="3496" t="s">
        <v>2819</v>
      </c>
      <c r="Z29" s="3497"/>
      <c r="AA29" s="3497"/>
      <c r="AB29" s="3497"/>
      <c r="AC29" s="3497"/>
      <c r="AD29" s="349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9" t="s">
        <v>2830</v>
      </c>
      <c r="B1" s="3509"/>
      <c r="C1" s="3509"/>
      <c r="D1" s="3509"/>
      <c r="E1" s="3509"/>
      <c r="F1" s="3509"/>
      <c r="G1" s="351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767.43</v>
      </c>
      <c r="C4" s="801">
        <f>项目基本情况!C18</f>
        <v>0</v>
      </c>
      <c r="D4" s="801">
        <f ca="1">结果表!D118</f>
        <v>1067</v>
      </c>
      <c r="E4" s="801">
        <f ca="1">结果表!E118</f>
        <v>13904</v>
      </c>
      <c r="F4" s="801">
        <f ca="1">结果表!F118</f>
        <v>495</v>
      </c>
      <c r="G4" s="801">
        <f ca="1">结果表!G118</f>
        <v>6450</v>
      </c>
      <c r="H4" s="801">
        <f ca="1">结果表!H118</f>
        <v>1562</v>
      </c>
      <c r="I4" s="801">
        <f ca="1">结果表!I118</f>
        <v>20354</v>
      </c>
    </row>
    <row r="5" spans="1:9" ht="30" customHeight="1">
      <c r="A5" s="3188" t="s">
        <v>927</v>
      </c>
      <c r="B5" s="3188"/>
      <c r="C5" s="3188"/>
      <c r="D5" s="3188" t="str">
        <f ca="1">结果表!D119</f>
        <v>壹仟零陆拾柒万元整</v>
      </c>
      <c r="E5" s="3188"/>
      <c r="F5" s="3188" t="str">
        <f ca="1">结果表!F119</f>
        <v>肆佰玖拾伍万元整</v>
      </c>
      <c r="G5" s="3188"/>
      <c r="H5" s="3188" t="str">
        <f ca="1">结果表!H119</f>
        <v>壹仟伍佰陆拾贰万元整</v>
      </c>
      <c r="I5" s="3188"/>
    </row>
    <row r="6" spans="1:9" ht="15.75">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房地产抵押价值</v>
      </c>
      <c r="B8" s="3187"/>
      <c r="C8" s="3187"/>
      <c r="D8" s="3187">
        <f ca="1">结果表!D122</f>
        <v>1562</v>
      </c>
      <c r="E8" s="3187"/>
      <c r="F8" s="3187"/>
      <c r="G8" s="3187"/>
      <c r="H8" s="3187"/>
      <c r="I8" s="3187"/>
    </row>
    <row r="9" spans="1:9" ht="15">
      <c r="A9" s="3188" t="s">
        <v>927</v>
      </c>
      <c r="B9" s="3188"/>
      <c r="C9" s="3188"/>
      <c r="D9" s="3188" t="str">
        <f ca="1">结果表!D123</f>
        <v>壹仟伍佰陆拾贰万元整</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Sheet1</vt:lpstr>
      <vt:lpstr>比较法-办公</vt:lpstr>
      <vt:lpstr>收益法</vt:lpstr>
      <vt:lpstr>收益法 (元)</vt:lpstr>
      <vt:lpstr>案例</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2025-06-09T06:46:29Z</dcterms:modified>
</cp:coreProperties>
</file>