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85世纪金源大饭店-吴姐-渤海银行\"/>
    </mc:Choice>
  </mc:AlternateContent>
  <xr:revisionPtr revIDLastSave="0" documentId="13_ncr:1_{3AFBB79E-9D4B-45DD-B60B-11332B63BC1E}" xr6:coauthVersionLast="47" xr6:coauthVersionMax="47" xr10:uidLastSave="{00000000-0000-0000-0000-000000000000}"/>
  <bookViews>
    <workbookView xWindow="-110" yWindow="-110" windowWidth="19420" windowHeight="1042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N6" i="1"/>
  <c r="G19" i="6"/>
  <c r="F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27" i="39"/>
  <c r="AA2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D48" i="9"/>
  <c r="M52" i="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AO13" i="1"/>
  <c r="F20" i="31"/>
  <c r="AO6" i="1"/>
  <c r="F7" i="73"/>
  <c r="F4" i="73"/>
  <c r="B12" i="76"/>
  <c r="AO8" i="1"/>
  <c r="D2" i="37"/>
  <c r="AO11" i="1"/>
  <c r="D2" i="21"/>
  <c r="F3" i="73"/>
  <c r="E12" i="76"/>
  <c r="E2" i="69"/>
  <c r="E7" i="76"/>
  <c r="D7" i="73"/>
  <c r="AO12" i="1"/>
  <c r="D2" i="33"/>
  <c r="B9" i="76"/>
  <c r="B7" i="76"/>
  <c r="E10" i="76"/>
  <c r="D2" i="35"/>
  <c r="B11" i="76"/>
  <c r="E11" i="76"/>
  <c r="D3" i="73"/>
  <c r="D5" i="73"/>
  <c r="F6" i="73"/>
  <c r="E2" i="68"/>
  <c r="D2" i="34"/>
  <c r="AO10" i="1"/>
  <c r="B8" i="76"/>
  <c r="AO7" i="1"/>
  <c r="E8" i="76"/>
  <c r="D2" i="36"/>
  <c r="E13" i="76"/>
  <c r="B10" i="76"/>
  <c r="B13" i="76"/>
  <c r="AO9" i="1"/>
  <c r="E9" i="76"/>
  <c r="F5" i="73"/>
  <c r="D6" i="73"/>
  <c r="D4" i="73"/>
  <c r="B77" i="43" l="1"/>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M22" i="15"/>
  <c r="F36" i="15"/>
  <c r="F9" i="15"/>
  <c r="M24" i="15"/>
  <c r="F6" i="15"/>
  <c r="M23" i="15"/>
  <c r="C76" i="67"/>
  <c r="M8" i="67"/>
  <c r="J15" i="67"/>
  <c r="M27" i="67"/>
  <c r="M29" i="67"/>
  <c r="F38" i="67"/>
  <c r="F40" i="67"/>
  <c r="M26" i="67"/>
  <c r="F41" i="15"/>
  <c r="F16" i="15"/>
  <c r="L48" i="67"/>
  <c r="M24" i="67"/>
  <c r="M6" i="15"/>
  <c r="F7" i="15"/>
  <c r="M27" i="15"/>
  <c r="F6" i="67"/>
  <c r="F37" i="67"/>
  <c r="J15" i="15"/>
  <c r="M8" i="15"/>
  <c r="M28" i="67"/>
  <c r="F43" i="15"/>
  <c r="F16" i="67"/>
  <c r="F13" i="15"/>
  <c r="M22" i="67"/>
  <c r="M26" i="15"/>
  <c r="F38" i="15"/>
  <c r="F35" i="67"/>
  <c r="F43" i="67"/>
  <c r="F42" i="67"/>
  <c r="F36" i="67"/>
  <c r="M9" i="67"/>
  <c r="L47" i="15"/>
  <c r="M6" i="67"/>
  <c r="L48" i="15"/>
  <c r="M28" i="15"/>
  <c r="M21" i="67"/>
  <c r="L47" i="67"/>
  <c r="C76" i="15"/>
  <c r="F42" i="15"/>
  <c r="F26" i="67"/>
  <c r="F9" i="67"/>
  <c r="F8" i="15"/>
  <c r="F40" i="15"/>
  <c r="F13" i="67"/>
  <c r="M23" i="67"/>
  <c r="F41" i="67"/>
  <c r="M29" i="15"/>
  <c r="F7" i="67"/>
  <c r="F37" i="15"/>
  <c r="F8" i="67"/>
  <c r="F26" i="15"/>
  <c r="G1" i="73"/>
  <c r="W46" i="21" l="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M9" i="15"/>
  <c r="C16" i="15"/>
  <c r="C17" i="67"/>
  <c r="C16" i="67"/>
  <c r="C14" i="67"/>
  <c r="AZ5" i="3" l="1"/>
  <c r="AY6" i="3" s="1"/>
  <c r="U7" i="37"/>
  <c r="J6" i="15"/>
  <c r="J18" i="15" s="1"/>
  <c r="J58" i="15"/>
  <c r="Q50" i="15" s="1"/>
  <c r="C18" i="67"/>
  <c r="C15" i="67"/>
  <c r="Q73" i="67"/>
  <c r="J10" i="15"/>
  <c r="J5" i="15" s="1"/>
  <c r="J26" i="15" s="1"/>
  <c r="J29" i="15" s="1"/>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E3" i="6" l="1"/>
  <c r="B4" i="77" s="1"/>
  <c r="C19" i="67"/>
  <c r="C20" i="67" s="1"/>
  <c r="C26" i="67" s="1"/>
  <c r="AC10" i="40"/>
  <c r="J24" i="67"/>
  <c r="J24" i="15"/>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E6" i="76"/>
  <c r="B6" i="76"/>
  <c r="C15" i="15" l="1"/>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2" i="6"/>
  <c r="H25" i="6"/>
  <c r="D23" i="6"/>
  <c r="D9" i="6"/>
  <c r="D19" i="6"/>
  <c r="D24" i="6"/>
  <c r="D11" i="6"/>
  <c r="H22" i="6"/>
  <c r="C18" i="4"/>
  <c r="D22" i="6"/>
  <c r="D5" i="6"/>
  <c r="E61" i="40"/>
  <c r="D28" i="6"/>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M21" i="15"/>
  <c r="F35" i="15"/>
  <c r="Q69" i="67" l="1"/>
  <c r="Q68" i="67" s="1"/>
  <c r="C80" i="67"/>
  <c r="C79" i="67" s="1"/>
  <c r="C36" i="15"/>
  <c r="C33" i="15"/>
  <c r="J19" i="15"/>
  <c r="C13" i="15"/>
  <c r="Q49" i="15"/>
  <c r="J59" i="15"/>
  <c r="J60" i="15" s="1"/>
  <c r="J14" i="15"/>
  <c r="C57" i="15"/>
  <c r="C34" i="15"/>
  <c r="F63" i="15"/>
  <c r="C62" i="15" s="1"/>
  <c r="J20" i="15"/>
  <c r="J17" i="15" s="1"/>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Q67" i="67" l="1"/>
  <c r="L57" i="67"/>
  <c r="L60"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E11" i="77" l="1"/>
  <c r="E7" i="77" s="1"/>
  <c r="C27" i="77" s="1"/>
  <c r="D7" i="77"/>
  <c r="C26" i="77" s="1"/>
  <c r="C32" i="77" s="1"/>
  <c r="C38" i="77" s="1"/>
  <c r="C39" i="77" s="1"/>
  <c r="C40" i="77" s="1"/>
  <c r="B2" i="77" s="1"/>
  <c r="O67" i="39"/>
  <c r="O69" i="39" s="1"/>
  <c r="N69" i="39"/>
  <c r="F7" i="39"/>
  <c r="C5" i="71"/>
  <c r="D6" i="71"/>
  <c r="J7" i="40"/>
  <c r="F7" i="40"/>
  <c r="H7" i="40"/>
  <c r="D19" i="9"/>
  <c r="D102" i="9" l="1"/>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G21" i="9" s="1"/>
  <c r="D22" i="9"/>
  <c r="C21" i="9"/>
  <c r="B3" i="68"/>
  <c r="C57" i="68"/>
  <c r="C56" i="68" s="1"/>
  <c r="C20" i="9"/>
  <c r="D35" i="9"/>
  <c r="D34" i="9"/>
  <c r="C103" i="9" l="1"/>
  <c r="G20" i="9"/>
  <c r="C32" i="9" s="1"/>
  <c r="C35" i="9" l="1"/>
  <c r="C34" i="9" s="1"/>
  <c r="D118" i="9" l="1"/>
  <c r="D4" i="52" s="1"/>
  <c r="B47" i="72" s="1"/>
  <c r="F118" i="9"/>
  <c r="F4" i="52" s="1"/>
  <c r="B51" i="72" s="1"/>
  <c r="H118" i="9"/>
  <c r="H119" i="9" s="1"/>
  <c r="H5" i="52" s="1"/>
  <c r="D119" i="9" l="1"/>
  <c r="D5" i="52" s="1"/>
  <c r="B49" i="72" s="1"/>
  <c r="H101" i="9"/>
  <c r="M48" i="9" s="1"/>
  <c r="I118" i="9"/>
  <c r="C104" i="9"/>
  <c r="D14" i="74"/>
  <c r="F119" i="9"/>
  <c r="F5" i="52" s="1"/>
  <c r="B53" i="72" s="1"/>
  <c r="G118" i="9"/>
  <c r="G4" i="52" s="1"/>
  <c r="B52" i="72" s="1"/>
  <c r="H4" i="52"/>
  <c r="D45" i="9" l="1"/>
  <c r="C93" i="9" s="1"/>
  <c r="C86" i="9" s="1"/>
  <c r="D5" i="53"/>
  <c r="H107" i="9"/>
  <c r="E14" i="74"/>
  <c r="B5" i="74"/>
  <c r="F14" i="74"/>
  <c r="C105" i="9"/>
  <c r="H102" i="9"/>
  <c r="D7" i="53" s="1"/>
  <c r="B21" i="72" s="1"/>
  <c r="E118" i="9"/>
  <c r="E4" i="52" s="1"/>
  <c r="B48" i="72" s="1"/>
  <c r="I4" i="52"/>
  <c r="C85" i="9" l="1"/>
  <c r="C95" i="9" s="1"/>
  <c r="D53" i="9"/>
  <c r="C64" i="9"/>
  <c r="C63" i="9" s="1"/>
  <c r="C67" i="9" s="1"/>
  <c r="D59" i="9" s="1"/>
  <c r="M55" i="9" s="1"/>
  <c r="D52" i="9"/>
  <c r="C72" i="9"/>
  <c r="C78" i="9"/>
  <c r="C73" i="9" s="1"/>
  <c r="D55" i="9"/>
  <c r="M53" i="9" s="1"/>
  <c r="M49" i="9"/>
  <c r="H108" i="9"/>
  <c r="D15" i="53" s="1"/>
  <c r="B31" i="72" s="1"/>
  <c r="D13" i="53"/>
  <c r="D122" i="9"/>
  <c r="D6" i="53"/>
  <c r="B22" i="72" s="1"/>
  <c r="B20" i="72"/>
  <c r="D5" i="74"/>
  <c r="C5" i="74"/>
  <c r="C68" i="9" l="1"/>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C81" i="9" l="1"/>
  <c r="M69" i="9"/>
  <c r="N69" i="9" s="1"/>
  <c r="D6" i="74"/>
  <c r="C6" i="74"/>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2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<sst xmlns="http://schemas.openxmlformats.org/spreadsheetml/2006/main" count="7817" uniqueCount="3371">
  <si>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</si>
  <si>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</si>
  <si>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</si>
  <si>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</si>
  <si>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</si>
  <si>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</si>
  <si>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</si>
  <si>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</si>
  <si>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</si>
  <si>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</si>
  <si>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</si>
  <si>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</si>
  <si>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</si>
  <si>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</si>
  <si>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</si>
  <si>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</si>
  <si>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</si>
  <si>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</si>
  <si>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</si>
  <si>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</si>
  <si>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</si>
  <si>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</si>
  <si>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</si>
  <si>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</si>
  <si>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</si>
  <si>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</si>
  <si>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</si>
  <si>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</si>
  <si>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</si>
  <si>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</si>
  <si>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</si>
  <si>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</si>
  <si>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</si>
  <si>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</si>
  <si>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</si>
  <si>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</si>
  <si>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</si>
  <si>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</si>
  <si>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</si>
  <si>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</si>
  <si>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</si>
  <si>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</si>
  <si>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</si>
  <si>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</si>
  <si>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</si>
  <si>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</si>
  <si>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</si>
  <si>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</si>
  <si>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</si>
  <si>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</si>
  <si>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</si>
  <si>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</si>
  <si>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</si>
  <si>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</si>
  <si>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</si>
  <si>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</si>
  <si>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</si>
  <si>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</si>
  <si>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</si>
  <si>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</si>
  <si>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</si>
  <si>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</si>
  <si>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</si>
  <si>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</si>
  <si>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</si>
  <si>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</si>
  <si>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</si>
  <si>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</si>
  <si>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</si>
  <si>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</si>
  <si>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</si>
  <si>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</si>
  <si>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</si>
  <si>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</si>
  <si>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</si>
  <si>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</si>
  <si>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</si>
  <si>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</si>
  <si>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</si>
  <si>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</si>
  <si>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</si>
  <si>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</si>
  <si>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</si>
  <si>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</si>
  <si>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</si>
  <si>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</si>
  <si>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</si>
  <si>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</si>
  <si>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</si>
  <si>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</si>
  <si>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</si>
  <si>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</si>
  <si>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</si>
  <si>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</si>
  <si>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</si>
  <si>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</si>
  <si>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</si>
  <si>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</si>
  <si>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</si>
  <si>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</si>
  <si>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</si>
  <si>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</si>
  <si>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</si>
  <si>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</si>
  <si>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</si>
  <si>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</si>
  <si>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</si>
  <si>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</si>
  <si>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</si>
  <si>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</si>
  <si>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</si>
  <si>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</si>
  <si>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</si>
  <si>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</si>
  <si>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</si>
  <si>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</si>
  <si>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</si>
  <si>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</si>
  <si>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</si>
  <si>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</si>
  <si>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</si>
  <si>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</si>
  <si>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</si>
  <si>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</si>
  <si>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</si>
  <si>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</si>
  <si>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</si>
  <si>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</si>
  <si>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</si>
  <si>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</si>
  <si>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</si>
  <si>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</si>
  <si>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</si>
  <si>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</si>
  <si>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</si>
  <si>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</si>
  <si>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</si>
  <si>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</si>
  <si>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</si>
  <si>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</si>
  <si>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</si>
  <si>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</si>
  <si>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</si>
  <si>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</si>
  <si>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</si>
  <si>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</si>
  <si>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</si>
  <si>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</si>
  <si>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</si>
  <si>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</si>
  <si>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</si>
  <si>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</si>
  <si>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</si>
  <si>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</si>
  <si>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</si>
  <si>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</si>
  <si>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</si>
  <si>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</si>
  <si>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</si>
  <si>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</si>
  <si>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</si>
  <si>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</si>
  <si>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</si>
  <si>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</si>
  <si>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</si>
  <si>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</si>
  <si>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</si>
  <si>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</si>
  <si>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</si>
  <si>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</si>
  <si>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</si>
  <si>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</si>
  <si>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</si>
  <si>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</si>
  <si>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</si>
  <si>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</si>
  <si>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</si>
  <si>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</si>
  <si>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</si>
  <si>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</si>
  <si>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</si>
  <si>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</si>
  <si>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</si>
  <si>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</si>
  <si>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</si>
  <si>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</si>
  <si>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</si>
  <si>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</si>
  <si>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</si>
  <si>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</si>
  <si>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</si>
  <si>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</si>
  <si>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</si>
  <si>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</si>
  <si>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</si>
  <si>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</si>
  <si>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</si>
  <si>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</si>
  <si>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</si>
  <si>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</si>
  <si>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</si>
  <si>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</si>
  <si>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</si>
  <si>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</si>
  <si>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</si>
  <si>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</si>
  <si>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</si>
  <si>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</si>
  <si>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</si>
  <si>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</si>
  <si>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</si>
  <si>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</si>
  <si>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</si>
  <si>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</si>
  <si>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</si>
  <si>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</si>
  <si>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</si>
  <si>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</si>
  <si>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</si>
  <si>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</si>
  <si>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</si>
  <si>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</si>
  <si>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</si>
  <si>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</si>
  <si>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</si>
  <si>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</si>
  <si>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</si>
  <si>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</si>
  <si>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</si>
  <si>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</si>
  <si>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</si>
  <si>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</si>
  <si>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</si>
  <si>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</si>
  <si>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</si>
  <si>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</si>
  <si>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</si>
  <si>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</si>
  <si>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</si>
  <si>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</si>
  <si>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</si>
  <si>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</si>
  <si>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</si>
  <si>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</si>
  <si>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</si>
  <si>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</si>
  <si>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</si>
  <si>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</si>
  <si>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</si>
  <si>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</si>
  <si>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</si>
  <si>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</si>
  <si>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</si>
  <si>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</si>
  <si>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</si>
  <si>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</si>
  <si>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</si>
  <si>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</si>
  <si>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</si>
  <si>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</si>
  <si>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</si>
  <si>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</si>
  <si>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</si>
  <si>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</si>
  <si>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</si>
  <si>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</si>
  <si>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</si>
  <si>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</si>
  <si>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</si>
  <si>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</si>
  <si>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</si>
  <si>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</si>
  <si>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</si>
  <si>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</si>
  <si>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</si>
  <si>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</si>
  <si>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</si>
  <si>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</si>
  <si>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</si>
  <si>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</si>
  <si>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</si>
  <si>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</si>
  <si>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</si>
  <si>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</si>
  <si>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</si>
  <si>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</si>
  <si>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</si>
  <si>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</si>
  <si>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</si>
  <si>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</si>
  <si>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</si>
  <si>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</si>
  <si>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</si>
  <si>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</si>
  <si>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</si>
  <si>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</si>
  <si>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</si>
  <si>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</si>
  <si>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</si>
  <si>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</si>
  <si>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</si>
  <si>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</si>
  <si>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</si>
  <si>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</si>
  <si>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</si>
  <si>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</si>
  <si>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</si>
  <si>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</si>
  <si>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</si>
  <si>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</si>
  <si>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</si>
  <si>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</si>
  <si>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</si>
  <si>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</si>
  <si>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</si>
  <si>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</si>
  <si>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</si>
  <si>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</si>
  <si>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</si>
  <si>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</si>
  <si>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</si>
  <si>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</si>
  <si>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</si>
  <si>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</si>
  <si>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</si>
  <si>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</si>
  <si>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</si>
  <si>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</si>
  <si>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</si>
  <si>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</si>
  <si>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</si>
  <si>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</si>
  <si>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</si>
  <si>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</si>
  <si>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</si>
  <si>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</si>
  <si>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</si>
  <si>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</si>
  <si>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</si>
  <si>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</si>
  <si>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</si>
  <si>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</si>
  <si>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</si>
  <si>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</si>
  <si>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</si>
  <si>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</si>
  <si>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</si>
  <si>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</si>
  <si>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</si>
  <si>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</si>
  <si>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</si>
  <si>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</si>
  <si>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</si>
  <si>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</si>
  <si>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</si>
  <si>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</si>
  <si>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</si>
  <si>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</si>
  <si>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</si>
  <si>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</si>
  <si>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</si>
  <si>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</si>
  <si>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</si>
  <si>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</si>
  <si>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</si>
  <si>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</si>
  <si>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</si>
  <si>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</si>
  <si>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</si>
  <si>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</si>
  <si>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</si>
  <si>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</si>
  <si>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</si>
  <si>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</si>
  <si>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</si>
  <si>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</si>
  <si>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</si>
  <si>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</si>
  <si>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</si>
  <si>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</si>
  <si>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</si>
  <si>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</si>
  <si>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</si>
  <si>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</si>
  <si>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</si>
  <si>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</si>
  <si>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</si>
  <si>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</si>
  <si>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</si>
  <si>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</si>
  <si>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</si>
  <si>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</si>
  <si>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</si>
  <si>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</si>
  <si>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</si>
  <si>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</si>
  <si>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</si>
  <si>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</si>
  <si>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</si>
  <si>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</si>
  <si>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</si>
  <si>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</si>
  <si>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</si>
  <si>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</si>
  <si>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</si>
  <si>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</si>
  <si>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</si>
  <si>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</si>
  <si>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</si>
  <si>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</si>
  <si>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</si>
  <si>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</si>
  <si>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</si>
  <si>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</si>
  <si>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</si>
  <si>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</si>
  <si>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</si>
  <si>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</si>
  <si>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</si>
  <si>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</si>
  <si>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</si>
  <si>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</si>
  <si>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</si>
  <si>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</si>
  <si>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</si>
  <si>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</si>
  <si>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</si>
  <si>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</si>
  <si>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</si>
  <si>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</si>
  <si>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</si>
  <si>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</si>
  <si>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</si>
  <si>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</si>
  <si>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</si>
  <si>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</si>
  <si>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</si>
  <si>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</si>
  <si>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</si>
  <si>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</si>
  <si>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</si>
  <si>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</si>
  <si>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</si>
  <si>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</si>
  <si>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</si>
  <si>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</si>
  <si>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</si>
  <si>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</si>
  <si>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</si>
  <si>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</si>
  <si>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</si>
  <si>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</si>
  <si>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</si>
  <si>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</si>
  <si>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</si>
  <si>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</si>
  <si>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</si>
  <si>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</si>
  <si>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</si>
  <si>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</si>
  <si>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</si>
  <si>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</si>
  <si>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</si>
  <si>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</si>
  <si>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</si>
  <si>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</si>
  <si>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</si>
  <si>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</si>
  <si>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</si>
  <si>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</si>
  <si>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</si>
  <si>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</si>
  <si>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</si>
  <si>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</si>
  <si>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</si>
  <si>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</si>
  <si>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</si>
  <si>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</si>
  <si>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</si>
  <si>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</si>
  <si>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</si>
  <si>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</si>
  <si>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</si>
  <si>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</si>
  <si>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</si>
  <si>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</si>
  <si>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</si>
  <si>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</si>
  <si>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</si>
  <si>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</si>
  <si>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</si>
  <si>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</si>
  <si>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</si>
  <si>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</si>
  <si>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</si>
  <si>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</si>
  <si>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</si>
  <si>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</si>
  <si>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</si>
  <si>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</si>
  <si>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</si>
  <si>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</si>
  <si>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</si>
  <si>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</si>
  <si>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</si>
  <si>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</si>
  <si>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</si>
  <si>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</si>
  <si>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</si>
  <si>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</si>
  <si>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</si>
  <si>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</si>
  <si>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</si>
  <si>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</si>
  <si>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</si>
  <si>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</si>
  <si>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</si>
  <si>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</si>
  <si>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</si>
  <si>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</si>
  <si>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</si>
  <si>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</si>
  <si>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</si>
  <si>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</si>
  <si>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</si>
  <si>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</si>
  <si>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</si>
  <si>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</si>
  <si>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</si>
  <si>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</si>
  <si>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</si>
  <si>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</si>
  <si>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</si>
  <si>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</si>
  <si>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</si>
  <si>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</si>
  <si>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</si>
  <si>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</si>
  <si>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</si>
  <si>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</si>
  <si>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</si>
  <si>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</si>
  <si>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</si>
  <si>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</si>
  <si>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</si>
  <si>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</si>
  <si>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</si>
  <si>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</si>
  <si>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</si>
  <si>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</si>
  <si>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</si>
  <si>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</si>
  <si>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</si>
  <si>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</si>
  <si>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</si>
  <si>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</si>
  <si>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</si>
  <si>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</si>
  <si>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</si>
  <si>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</si>
  <si>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</si>
  <si>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</si>
  <si>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</si>
  <si>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</si>
  <si>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</si>
  <si>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</si>
  <si>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</si>
  <si>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</si>
  <si>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</si>
  <si>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</si>
  <si>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</si>
  <si>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</si>
  <si>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</si>
  <si>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</si>
  <si>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</si>
  <si>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</si>
  <si>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</si>
  <si>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</si>
  <si>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</si>
  <si>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</si>
  <si>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</si>
  <si>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</si>
  <si>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</si>
  <si>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</si>
  <si>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</si>
  <si>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</si>
  <si>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</si>
  <si>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</si>
  <si>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</si>
  <si>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</si>
  <si>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</si>
  <si>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</si>
  <si>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</si>
  <si>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</si>
  <si>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</si>
  <si>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</si>
  <si>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</si>
  <si>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</si>
  <si>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</si>
  <si>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</si>
  <si>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</si>
  <si>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</si>
  <si>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</si>
  <si>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</si>
  <si>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</si>
  <si>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</si>
  <si>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</si>
  <si>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</si>
  <si>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</si>
  <si>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</si>
  <si>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</si>
  <si>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</si>
  <si>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</si>
  <si>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</si>
  <si>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</si>
  <si>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</si>
  <si>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</si>
  <si>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</si>
  <si>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</si>
  <si>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</si>
  <si>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</si>
  <si>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</si>
  <si>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</si>
  <si>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</si>
  <si>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</si>
  <si>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</si>
  <si>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</si>
  <si>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</si>
  <si>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</si>
  <si>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</si>
  <si>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</si>
  <si>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</si>
  <si>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</si>
  <si>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</si>
  <si>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</si>
  <si>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</si>
  <si>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</si>
  <si>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</si>
  <si>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</si>
  <si>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</si>
  <si>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</si>
  <si>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</si>
  <si>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</si>
  <si>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</si>
  <si>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</si>
  <si>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</si>
  <si>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</si>
  <si>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</si>
  <si>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</si>
  <si>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</si>
  <si>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</si>
  <si>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</si>
  <si>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</si>
  <si>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</si>
  <si>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</si>
  <si>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</si>
  <si>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</si>
  <si>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</si>
  <si>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</si>
  <si>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</si>
  <si>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</si>
  <si>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</si>
  <si>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</si>
  <si>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</si>
  <si>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</si>
  <si>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</si>
  <si>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</si>
  <si>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</si>
  <si>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</si>
  <si>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</si>
  <si>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</si>
  <si>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</si>
  <si>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</si>
  <si>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</si>
  <si>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</si>
  <si>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</si>
  <si>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</si>
  <si>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</si>
  <si>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</si>
  <si>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</si>
  <si>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</si>
  <si>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</si>
  <si>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</si>
  <si>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</si>
  <si>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</si>
  <si>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</si>
  <si>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</si>
  <si>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</si>
  <si>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</si>
  <si>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</si>
  <si>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</si>
  <si>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</si>
  <si>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</si>
  <si>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</si>
  <si>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</si>
  <si>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</si>
  <si>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</si>
  <si>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</si>
  <si>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</si>
  <si>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</si>
  <si>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</si>
  <si>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</si>
  <si>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</si>
  <si>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</si>
  <si>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</si>
  <si>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</si>
  <si>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</si>
  <si>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</si>
  <si>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</si>
  <si>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</si>
  <si>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</si>
  <si>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</si>
  <si>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</si>
  <si>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</si>
  <si>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</si>
  <si>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</si>
  <si>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</si>
  <si>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</si>
  <si>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</si>
  <si>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</si>
  <si>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</si>
  <si>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</si>
  <si>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</si>
  <si>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</si>
  <si>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</si>
  <si>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</si>
  <si>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</si>
  <si>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</si>
  <si>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</si>
  <si>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</si>
  <si>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</si>
  <si>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</si>
  <si>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</si>
  <si>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</si>
  <si>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</si>
  <si>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</si>
  <si>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</si>
  <si>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</si>
  <si>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</si>
  <si>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</si>
  <si>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</si>
  <si>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</si>
  <si>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</si>
  <si>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</si>
  <si>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</si>
  <si>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</si>
  <si>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</si>
  <si>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</si>
  <si>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</si>
  <si>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</si>
  <si>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</si>
  <si>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</si>
  <si>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</si>
  <si>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</si>
  <si>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</si>
  <si>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</si>
  <si>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</si>
  <si>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</si>
  <si>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</si>
  <si>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</si>
  <si>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</si>
  <si>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</si>
  <si>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</si>
  <si>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</si>
  <si>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</si>
  <si>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</si>
  <si>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</si>
  <si>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</si>
  <si>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</si>
  <si>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</si>
  <si>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</si>
  <si>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</si>
  <si>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</si>
  <si>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</si>
  <si>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</si>
  <si>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</si>
  <si>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</si>
  <si>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</si>
  <si>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</si>
  <si>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</si>
  <si>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</si>
  <si>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</si>
  <si>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</si>
  <si>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</si>
  <si>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</si>
  <si>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</si>
  <si>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</si>
  <si>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</si>
  <si>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</si>
  <si>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</si>
  <si>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</si>
  <si>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</si>
  <si>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</si>
  <si>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</si>
  <si>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</si>
  <si>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</si>
  <si>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</si>
  <si>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</si>
  <si>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</si>
  <si>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</si>
  <si>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</si>
  <si>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</si>
  <si>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</si>
  <si>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</si>
  <si>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</si>
  <si>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</si>
  <si>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</si>
  <si>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</si>
  <si>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</si>
  <si>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</si>
  <si>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</si>
  <si>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</si>
  <si>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</si>
  <si>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</si>
  <si>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</si>
  <si>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</si>
  <si>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</si>
  <si>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</si>
  <si>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</si>
  <si>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</si>
  <si>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</si>
  <si>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</si>
  <si>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</si>
  <si>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</si>
  <si>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</si>
  <si>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</si>
  <si>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</si>
  <si>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</si>
  <si>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</si>
  <si>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</si>
  <si>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</si>
  <si>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</si>
  <si>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</si>
  <si>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</si>
  <si>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</si>
  <si>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</si>
  <si>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</si>
  <si>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</si>
  <si>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</si>
  <si>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</si>
  <si>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</si>
  <si>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</si>
  <si>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</si>
  <si>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</si>
  <si>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</si>
  <si>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</si>
  <si>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</si>
  <si>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</si>
  <si>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</si>
  <si>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</si>
  <si>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</si>
  <si>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</si>
  <si>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</si>
  <si>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</si>
  <si>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</si>
  <si>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</si>
  <si>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</si>
  <si>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</si>
  <si>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</si>
  <si>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</si>
  <si>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</si>
  <si>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</si>
  <si>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</si>
  <si>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</si>
  <si>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</si>
  <si>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</si>
  <si>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</si>
  <si>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</si>
  <si>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</si>
  <si>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</si>
  <si>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</si>
  <si>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</si>
  <si>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</si>
  <si>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</si>
  <si>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</si>
  <si>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</si>
  <si>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</si>
  <si>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</si>
  <si>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</si>
  <si>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</si>
  <si>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</si>
  <si>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</si>
  <si>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</si>
  <si>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</si>
  <si>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</si>
  <si>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</si>
  <si>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</si>
  <si>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</si>
  <si>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</si>
  <si>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</si>
  <si>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</si>
  <si>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</si>
  <si>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</si>
  <si>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</si>
  <si>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</si>
  <si>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</si>
  <si>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</si>
  <si>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</si>
  <si>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</si>
  <si>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</si>
  <si>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</si>
  <si>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</si>
  <si>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</si>
  <si>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</si>
  <si>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</si>
  <si>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</si>
  <si>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</si>
  <si>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</si>
  <si>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</si>
  <si>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</si>
  <si>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</si>
  <si>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</si>
  <si>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</si>
  <si>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</si>
  <si>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</si>
  <si>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</si>
  <si>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</si>
  <si>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</si>
  <si>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</si>
  <si>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</si>
  <si>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</si>
  <si>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</si>
  <si>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</si>
  <si>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</si>
  <si>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</si>
  <si>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</si>
  <si>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</si>
  <si>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</si>
  <si>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</si>
  <si>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</si>
  <si>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</si>
  <si>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</si>
  <si>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</si>
  <si>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</si>
  <si>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</si>
  <si>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</si>
  <si>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</si>
  <si>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</si>
  <si>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</si>
  <si>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</si>
  <si>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</si>
  <si>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</si>
  <si>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</si>
  <si>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</si>
  <si>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</si>
  <si>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</si>
  <si>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</si>
  <si>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</si>
  <si>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</si>
  <si>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</si>
  <si>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</si>
  <si>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</si>
  <si>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</si>
  <si>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</si>
  <si>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</si>
  <si>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</si>
  <si>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</si>
  <si>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</si>
  <si>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</si>
  <si>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</si>
  <si>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</si>
  <si>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</si>
  <si>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</si>
  <si>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</si>
  <si>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</si>
  <si>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</si>
  <si>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</si>
  <si>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</si>
  <si>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</si>
  <si>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</si>
  <si>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</si>
  <si>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</si>
  <si>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</si>
  <si>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</si>
  <si>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</si>
  <si>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</si>
  <si>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</si>
  <si>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</si>
  <si>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</si>
  <si>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</si>
  <si>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</si>
  <si>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</si>
  <si>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</si>
  <si>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</si>
  <si>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</si>
  <si>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</si>
  <si>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</si>
  <si>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</si>
  <si>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</si>
  <si>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</si>
  <si>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</si>
  <si>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</si>
  <si>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</si>
  <si>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</si>
  <si>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</si>
  <si>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</si>
  <si>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</si>
  <si>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</si>
  <si>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</si>
  <si>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</si>
  <si>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</si>
  <si>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</si>
  <si>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</si>
  <si>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</si>
  <si>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</si>
  <si>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</si>
  <si>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</si>
  <si>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</si>
  <si>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</si>
  <si>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</si>
  <si>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</si>
  <si>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</si>
  <si>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</si>
  <si>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</si>
  <si>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</si>
  <si>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</si>
  <si>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</si>
  <si>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</si>
  <si>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</si>
  <si>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</si>
  <si>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</si>
  <si>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</si>
  <si>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</si>
  <si>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</si>
  <si>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</si>
  <si>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</si>
  <si>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</si>
  <si>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</si>
  <si>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</si>
  <si>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</si>
  <si>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</si>
  <si>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</si>
  <si>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</si>
  <si>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</si>
  <si>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</si>
  <si>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</si>
  <si>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</si>
  <si>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</si>
  <si>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</si>
  <si>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</si>
  <si>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</si>
  <si>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</si>
  <si>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</si>
  <si>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</si>
  <si>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</si>
  <si>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</si>
  <si>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</si>
  <si>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</si>
  <si>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</si>
  <si>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</si>
  <si>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</si>
  <si>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</si>
  <si>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</si>
  <si>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</si>
  <si>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</si>
  <si>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</si>
  <si>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</si>
  <si>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</si>
  <si>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</si>
  <si>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</si>
  <si>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</si>
  <si>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</si>
  <si>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</si>
  <si>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</si>
  <si>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</si>
  <si>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</si>
  <si>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</si>
  <si>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</si>
  <si>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</si>
  <si>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</si>
  <si>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</si>
  <si>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</si>
  <si>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</si>
  <si>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</si>
  <si>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</si>
  <si>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</si>
  <si>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</si>
  <si>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</si>
  <si>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</si>
  <si>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</si>
  <si>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</si>
  <si>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</si>
  <si>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</si>
  <si>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</si>
  <si>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</si>
  <si>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</si>
  <si>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</si>
  <si>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</si>
  <si>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</si>
  <si>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</si>
  <si>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</si>
  <si>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</si>
  <si>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</si>
  <si>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</si>
  <si>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</si>
  <si>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</si>
  <si>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</si>
  <si>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</si>
  <si>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</si>
  <si>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</si>
  <si>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</si>
  <si>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</si>
  <si>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</si>
  <si>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</si>
  <si>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</si>
  <si>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</si>
  <si>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</si>
  <si>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</si>
  <si>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</si>
  <si>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</si>
  <si>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</si>
  <si>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</si>
  <si>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</si>
  <si>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</si>
  <si>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</si>
  <si>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</si>
  <si>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</si>
  <si>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</si>
  <si>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</si>
  <si>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</si>
  <si>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</si>
  <si>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</si>
  <si>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</si>
  <si>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</si>
  <si>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</si>
  <si>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</si>
  <si>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</si>
  <si>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</si>
  <si>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</si>
  <si>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</si>
  <si>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</si>
  <si>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</si>
  <si>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</si>
  <si>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</si>
  <si>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</si>
  <si>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</si>
  <si>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</si>
  <si>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</si>
  <si>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</si>
  <si>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</si>
  <si>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</si>
  <si>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</si>
  <si>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</si>
  <si>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</si>
  <si>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</si>
  <si>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</si>
  <si>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</si>
  <si>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</si>
  <si>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</si>
  <si>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</si>
  <si>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</si>
  <si>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</si>
  <si>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</si>
  <si>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</si>
  <si>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</si>
  <si>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</si>
  <si>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</si>
  <si>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</si>
  <si>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</si>
  <si>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</si>
  <si>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</si>
  <si>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</si>
  <si>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</si>
  <si>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</si>
  <si>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</si>
  <si>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</si>
  <si>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</si>
  <si>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</si>
  <si>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</si>
  <si>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</si>
  <si>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</si>
  <si>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</si>
  <si>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</si>
  <si>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</si>
  <si>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</si>
  <si>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</si>
  <si>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</si>
  <si>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</si>
  <si>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</si>
  <si>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</si>
  <si>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</si>
  <si>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</si>
  <si>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</si>
  <si>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</si>
  <si>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</si>
  <si>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</si>
  <si>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</si>
  <si>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</si>
  <si>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</si>
  <si>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</si>
  <si>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</si>
  <si>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</si>
  <si>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</si>
  <si>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</si>
  <si>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</si>
  <si>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</si>
  <si>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</si>
  <si>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</si>
  <si>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</si>
  <si>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</si>
  <si>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</si>
  <si>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</si>
  <si>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</si>
  <si>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</si>
  <si>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</si>
  <si>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</si>
  <si>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</si>
  <si>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</si>
  <si>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</si>
  <si>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</si>
  <si>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</si>
  <si>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</si>
  <si>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</si>
  <si>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</si>
  <si>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</si>
  <si>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</si>
  <si>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</si>
  <si>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</si>
  <si>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</si>
  <si>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</si>
  <si>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</si>
  <si>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</si>
  <si>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</si>
  <si>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</si>
  <si>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</si>
  <si>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</si>
  <si>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</si>
  <si>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</si>
  <si>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</si>
  <si>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</si>
  <si>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</si>
  <si>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</si>
  <si>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</si>
  <si>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</si>
  <si>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</si>
  <si>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</si>
  <si>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</si>
  <si>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</si>
  <si>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</si>
  <si>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</si>
  <si>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</si>
  <si>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</si>
  <si>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</si>
  <si>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</si>
  <si>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</si>
  <si>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</si>
  <si>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</si>
  <si>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</si>
  <si>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</si>
  <si>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</si>
  <si>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</si>
  <si>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</si>
  <si>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</si>
  <si>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</si>
  <si>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</si>
  <si>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</si>
  <si>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</si>
  <si>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</si>
  <si>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</si>
  <si>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</si>
  <si>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</si>
  <si>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</si>
  <si>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</si>
  <si>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</si>
  <si>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</si>
  <si>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</si>
  <si>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</si>
  <si>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</si>
  <si>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</si>
  <si>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</si>
  <si>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</si>
  <si>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</si>
  <si>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</si>
  <si>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</si>
  <si>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</si>
  <si>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</si>
  <si>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</si>
  <si>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</si>
  <si>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</si>
  <si>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</si>
  <si>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</si>
  <si>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</si>
  <si>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</si>
  <si>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</si>
  <si>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</si>
  <si>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</si>
  <si>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</si>
  <si>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</si>
  <si>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</si>
  <si>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</si>
  <si>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</si>
  <si>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</si>
  <si>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</si>
  <si>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</si>
  <si>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</si>
  <si>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</si>
  <si>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</si>
  <si>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</si>
  <si>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</si>
  <si>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</si>
  <si>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</si>
  <si>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</si>
  <si>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</si>
  <si>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</si>
  <si>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</si>
  <si>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</si>
  <si>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</si>
  <si>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</si>
  <si>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</si>
  <si>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</si>
  <si>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</si>
  <si>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</si>
  <si>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</si>
  <si>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</si>
  <si>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</si>
  <si>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</si>
  <si>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</si>
  <si>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</si>
  <si>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</si>
  <si>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</si>
  <si>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</si>
  <si>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</si>
  <si>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</si>
  <si>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</si>
  <si>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</si>
  <si>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</si>
  <si>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</si>
  <si>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</si>
  <si>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</si>
  <si>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</si>
  <si>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</si>
  <si>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</si>
  <si>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</si>
  <si>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</si>
  <si>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</si>
  <si>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</si>
  <si>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</si>
  <si>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</si>
  <si>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</si>
  <si>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</si>
  <si>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</si>
  <si>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</si>
  <si>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</si>
  <si>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</si>
  <si>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</si>
  <si>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</si>
  <si>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</si>
  <si>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</si>
  <si>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</si>
  <si>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</si>
  <si>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</si>
  <si>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</si>
  <si>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</si>
  <si>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</si>
  <si>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</si>
  <si>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</si>
  <si>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</si>
  <si>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</si>
  <si>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</si>
  <si>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</si>
  <si>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</si>
  <si>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</si>
  <si>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</si>
  <si>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</si>
  <si>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</si>
  <si>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</si>
  <si>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</si>
  <si>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</si>
  <si>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</si>
  <si>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</si>
  <si>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</si>
  <si>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</si>
  <si>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</si>
  <si>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</si>
  <si>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</si>
  <si>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</si>
  <si>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</si>
  <si>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</si>
  <si>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</si>
  <si>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</si>
  <si>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</si>
  <si>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</si>
  <si>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</si>
  <si>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</si>
  <si>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</si>
  <si>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</si>
  <si>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</si>
  <si>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</si>
  <si>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</si>
  <si>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</si>
  <si>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</si>
  <si>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</si>
  <si>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</si>
  <si>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</si>
  <si>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</si>
  <si>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</si>
  <si>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</si>
  <si>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</si>
  <si>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</si>
  <si>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</si>
  <si>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</si>
  <si>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</si>
  <si>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</si>
  <si>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</si>
  <si>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</si>
  <si>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</si>
  <si>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</si>
  <si>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</si>
  <si>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</si>
  <si>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</si>
  <si>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</si>
  <si>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</si>
  <si>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</si>
  <si>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</si>
  <si>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</si>
  <si>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</si>
  <si>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</si>
  <si>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</si>
  <si>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</si>
  <si>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</si>
  <si>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</si>
  <si>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</si>
  <si>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</si>
  <si>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</si>
  <si>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</si>
  <si>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</si>
  <si>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</si>
  <si>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</si>
  <si>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</si>
  <si>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</si>
  <si>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</si>
  <si>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</si>
  <si>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</si>
  <si>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</si>
  <si>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</si>
  <si>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</si>
  <si>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</si>
  <si>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</si>
  <si>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</si>
  <si>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</si>
  <si>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</si>
  <si>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</si>
  <si>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</si>
  <si>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</si>
  <si>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</si>
  <si>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</si>
  <si>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</si>
  <si>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</si>
  <si>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</si>
  <si>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</si>
  <si>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</si>
  <si>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</si>
  <si>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</si>
  <si>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</si>
  <si>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</si>
  <si>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</si>
  <si>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</si>
  <si>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</si>
  <si>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</si>
  <si>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</si>
  <si>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</si>
  <si>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</si>
  <si>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</si>
  <si>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</si>
  <si>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</si>
  <si>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</si>
  <si>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</si>
  <si>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</si>
  <si>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</si>
  <si>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</si>
  <si>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</si>
  <si>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</si>
  <si>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</si>
  <si>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</si>
  <si>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</si>
  <si>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</si>
  <si>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</si>
  <si>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</si>
  <si>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</si>
  <si>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</si>
  <si>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</si>
  <si>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</si>
  <si>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</si>
  <si>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</si>
  <si>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</si>
  <si>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</si>
  <si>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</si>
  <si>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</si>
  <si>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</si>
  <si>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</si>
  <si>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</si>
  <si>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</si>
  <si>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</si>
  <si>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</si>
  <si>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</si>
  <si>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</si>
  <si>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</si>
  <si>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</si>
  <si>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</si>
  <si>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</si>
  <si>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</si>
  <si>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</si>
  <si>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</si>
  <si>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</si>
  <si>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</si>
  <si>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</si>
  <si>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</si>
  <si>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</si>
  <si>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</si>
  <si>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</si>
  <si>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</si>
  <si>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</si>
  <si>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</si>
  <si>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</si>
  <si>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</si>
  <si>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</si>
  <si>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</si>
  <si>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</si>
  <si>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</si>
  <si>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</si>
  <si>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</si>
  <si>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</si>
  <si>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</si>
  <si>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</si>
  <si>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</si>
  <si>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</si>
  <si>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</si>
  <si>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</si>
  <si>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</si>
  <si>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</si>
  <si>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</si>
  <si>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</si>
  <si>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</si>
  <si>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</si>
  <si>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</si>
  <si>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</si>
  <si>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</si>
  <si>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</si>
  <si>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</si>
  <si>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</si>
  <si>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</si>
  <si>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</si>
  <si>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</si>
  <si>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</si>
  <si>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</si>
  <si>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</si>
  <si>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</si>
  <si>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</si>
  <si>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</si>
  <si>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</si>
  <si>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</si>
  <si>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</si>
  <si>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</si>
  <si>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</si>
  <si>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</si>
  <si>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</si>
  <si>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</si>
  <si>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</si>
  <si>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</si>
  <si>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</si>
  <si>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</si>
  <si>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</si>
  <si>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</si>
  <si>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</si>
  <si>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</si>
  <si>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</si>
  <si>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</si>
  <si>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</si>
  <si>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</si>
  <si>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</si>
  <si>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</si>
  <si>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</si>
  <si>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</si>
  <si>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</si>
  <si>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</si>
  <si>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</si>
  <si>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</si>
  <si>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</si>
  <si>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</si>
  <si>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</si>
  <si>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</si>
  <si>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</si>
  <si>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</si>
  <si>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</si>
  <si>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</si>
  <si>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</si>
  <si>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</si>
  <si>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</si>
  <si>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</si>
  <si>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</si>
  <si>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</si>
  <si>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</si>
  <si>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</si>
  <si>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</si>
  <si>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</si>
  <si>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</si>
  <si>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</si>
  <si>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</si>
  <si>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</si>
  <si>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</si>
  <si>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</si>
  <si>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</si>
  <si>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</si>
  <si>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</si>
  <si>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</si>
  <si>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</si>
  <si>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</si>
  <si>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</si>
  <si>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</si>
  <si>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</si>
  <si>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</si>
  <si>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</si>
  <si>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</si>
  <si>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</si>
  <si>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</si>
  <si>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</si>
  <si>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</si>
  <si>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</si>
  <si>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</si>
  <si>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</si>
  <si>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</si>
  <si>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</si>
  <si>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</si>
  <si>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</si>
  <si>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</si>
  <si>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</si>
  <si>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</si>
  <si>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</si>
  <si>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</si>
  <si>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</si>
  <si>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</si>
  <si>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</si>
  <si>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</si>
  <si>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</si>
  <si>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</si>
  <si>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</si>
  <si>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</si>
  <si>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</si>
  <si>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</si>
  <si>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</si>
  <si>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</si>
  <si>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</si>
  <si>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</si>
  <si>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</si>
  <si>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</si>
  <si>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</si>
  <si>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</si>
  <si>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</si>
  <si>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</si>
  <si>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</si>
  <si>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</si>
  <si>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</si>
  <si>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</si>
  <si>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</si>
  <si>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</si>
  <si>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</si>
  <si>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</si>
  <si>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</si>
  <si>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</si>
  <si>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</si>
  <si>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</si>
  <si>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</si>
  <si>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</si>
  <si>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</si>
  <si>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</si>
  <si>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</si>
  <si>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</si>
  <si>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</si>
  <si>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</si>
  <si>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</si>
  <si>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</si>
  <si>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</si>
  <si>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</si>
  <si>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</si>
  <si>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</si>
  <si>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</si>
  <si>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</si>
  <si>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</si>
  <si>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</si>
  <si>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</si>
  <si>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</si>
  <si>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</si>
  <si>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</si>
  <si>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</si>
  <si>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</si>
  <si>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</si>
  <si>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</si>
  <si>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</si>
  <si>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</si>
  <si>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</si>
  <si>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</si>
  <si>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</si>
  <si>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</si>
  <si>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</si>
  <si>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</si>
  <si>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</si>
  <si>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</si>
  <si>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</si>
  <si>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</si>
  <si>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</si>
  <si>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</si>
  <si>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</si>
  <si>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</si>
  <si>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</si>
  <si>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</si>
  <si>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</si>
  <si>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</si>
  <si>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</si>
  <si>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</si>
  <si>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</si>
  <si>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</si>
  <si>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</si>
  <si>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</si>
  <si>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</si>
  <si>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</si>
  <si>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</si>
  <si>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</si>
  <si>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</si>
  <si>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</si>
  <si>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</si>
  <si>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</si>
  <si>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</si>
  <si>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</si>
  <si>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</si>
  <si>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</si>
  <si>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</si>
  <si>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</si>
  <si>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</si>
  <si>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</si>
  <si>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</si>
  <si>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</si>
  <si>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</si>
  <si>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</si>
  <si>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</si>
  <si>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</si>
  <si>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</si>
  <si>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</si>
  <si>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</si>
  <si>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</si>
  <si>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</si>
  <si>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</si>
  <si>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</si>
  <si>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</si>
  <si>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</si>
  <si>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</si>
  <si>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</si>
  <si>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</si>
  <si>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</si>
  <si>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</si>
  <si>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</si>
  <si>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</si>
  <si>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</si>
  <si>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</si>
  <si>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</si>
  <si>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</si>
  <si>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</si>
  <si>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</si>
  <si>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</si>
  <si>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</si>
  <si>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</si>
  <si>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</si>
  <si>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</si>
  <si>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</si>
  <si>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</si>
  <si>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</si>
  <si>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</si>
  <si>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</si>
  <si>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</si>
  <si>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</si>
  <si>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</si>
  <si>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</si>
  <si>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</si>
  <si>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</si>
  <si>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</si>
  <si>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</si>
  <si>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</si>
  <si>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</si>
  <si>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</si>
  <si>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</si>
  <si>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</si>
  <si>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</si>
  <si>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</si>
  <si>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</si>
  <si>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</si>
  <si>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</si>
  <si>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</si>
  <si>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</si>
  <si>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</si>
  <si>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</si>
  <si>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</si>
  <si>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</si>
  <si>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</si>
  <si>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</si>
  <si>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</si>
  <si>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</si>
  <si>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</si>
  <si>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</si>
  <si>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</si>
  <si>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</si>
  <si>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</si>
  <si>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</si>
  <si>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</si>
  <si>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</si>
  <si>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</si>
  <si>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</si>
  <si>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</si>
  <si>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</si>
  <si>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</si>
  <si>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</si>
  <si>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</si>
  <si>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</si>
  <si>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</si>
  <si>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</si>
  <si>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</si>
  <si>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</si>
  <si>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</si>
  <si>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</si>
  <si>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</si>
  <si>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</si>
  <si>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</si>
  <si>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</si>
  <si>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</si>
  <si>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</si>
  <si>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</si>
  <si>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</si>
  <si>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</si>
  <si>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</si>
  <si>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</si>
  <si>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</si>
  <si>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</si>
  <si>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</si>
  <si>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</si>
  <si>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</si>
  <si>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</si>
  <si>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</si>
  <si>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</si>
  <si>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</si>
  <si>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</si>
  <si>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</si>
  <si>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</si>
  <si>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</si>
  <si>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</si>
  <si>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</si>
  <si>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</si>
  <si>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</si>
  <si>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</si>
  <si>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</si>
  <si>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</si>
  <si>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</si>
  <si>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</si>
  <si>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</si>
  <si>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</si>
  <si>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</si>
  <si>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</si>
  <si>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</si>
  <si>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</si>
  <si>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</si>
  <si>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</si>
  <si>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</si>
  <si>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</si>
  <si>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</si>
  <si>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</si>
  <si>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</si>
  <si>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</si>
  <si>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</si>
  <si>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</si>
  <si>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</si>
  <si>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</si>
  <si>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</si>
  <si>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</si>
  <si>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</si>
  <si>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</si>
  <si>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</si>
  <si>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</si>
  <si>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</si>
  <si>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</si>
  <si>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</si>
  <si>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</si>
  <si>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</si>
  <si>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</si>
  <si>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</si>
  <si>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</si>
  <si>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</si>
  <si>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</si>
  <si>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</si>
  <si>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</si>
  <si>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</si>
  <si>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</si>
  <si>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</si>
  <si>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</si>
  <si>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</si>
  <si>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</si>
  <si>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</si>
  <si>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</si>
  <si>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</si>
  <si>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</si>
  <si>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</si>
  <si>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</si>
  <si>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</si>
  <si>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</si>
  <si>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</si>
  <si>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</si>
  <si>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</si>
  <si>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</si>
  <si>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</si>
  <si>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</si>
  <si>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</si>
  <si>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</si>
  <si>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</si>
  <si>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</si>
  <si>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</si>
  <si>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</si>
  <si>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</si>
  <si>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</si>
  <si>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</si>
  <si>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</si>
  <si>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</si>
  <si>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</si>
  <si>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</si>
  <si>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</si>
  <si>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</si>
  <si>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</si>
  <si>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</si>
  <si>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</si>
  <si>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</si>
  <si>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</si>
  <si>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</si>
  <si>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</si>
  <si>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</si>
  <si>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</si>
  <si>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</si>
  <si>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</si>
  <si>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</si>
  <si>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</si>
  <si>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</si>
  <si>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</si>
  <si>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</si>
  <si>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</si>
  <si>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</si>
  <si>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</si>
  <si>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</si>
  <si>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</si>
  <si>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</si>
  <si>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</si>
  <si>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</si>
  <si>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</si>
  <si>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</si>
  <si>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</si>
  <si>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</si>
  <si>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</si>
  <si>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</si>
  <si>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</si>
  <si>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</si>
  <si>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</si>
  <si>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</si>
  <si>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</si>
  <si>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</si>
  <si>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</si>
  <si>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</si>
  <si>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</si>
  <si>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</si>
  <si>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</si>
  <si>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</si>
  <si>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</si>
  <si>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</si>
  <si>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</si>
  <si>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</si>
  <si>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</si>
  <si>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</si>
  <si>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</si>
  <si>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</si>
  <si>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</si>
  <si>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</si>
  <si>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</si>
  <si>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</si>
  <si>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</si>
  <si>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</si>
  <si>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</si>
  <si>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</si>
  <si>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</si>
  <si>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</si>
  <si>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</si>
  <si>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</si>
  <si>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</si>
  <si>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</si>
  <si>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</si>
  <si>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</si>
  <si>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</si>
  <si>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</si>
  <si>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</si>
  <si>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</si>
  <si>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</si>
  <si>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</si>
  <si>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</si>
  <si>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</si>
  <si>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</si>
  <si>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</si>
  <si>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</si>
  <si>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</si>
  <si>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</si>
  <si>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</si>
  <si>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</si>
  <si>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</si>
  <si>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</si>
  <si>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</si>
  <si>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</si>
  <si>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</si>
  <si>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</si>
  <si>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</si>
  <si>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</si>
  <si>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</si>
  <si>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</si>
  <si>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</si>
  <si>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</si>
  <si>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</si>
  <si>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</si>
  <si>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</si>
  <si>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</si>
  <si>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</si>
  <si>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</si>
  <si>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</si>
  <si>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</si>
  <si>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</si>
  <si>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</si>
  <si>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</si>
  <si>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</si>
  <si>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</si>
  <si>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</si>
  <si>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</si>
  <si>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</si>
  <si>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</si>
  <si>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</si>
  <si>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</si>
  <si>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</si>
  <si>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</si>
  <si>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</si>
  <si>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</si>
  <si>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</si>
  <si>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</si>
  <si>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</si>
  <si>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</si>
  <si>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</si>
  <si>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</si>
  <si>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</si>
  <si>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</si>
  <si>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</si>
  <si>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</si>
  <si>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</si>
  <si>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</si>
  <si>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</si>
  <si>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</si>
  <si>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</si>
  <si>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</si>
  <si>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</si>
  <si>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</si>
  <si>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</si>
  <si>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</si>
  <si>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</si>
  <si>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</si>
  <si>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</si>
  <si>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</si>
  <si>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</si>
  <si>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</si>
  <si>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</si>
  <si>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</si>
  <si>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</si>
  <si>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</si>
  <si>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</si>
  <si>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</si>
  <si>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</si>
  <si>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</si>
  <si>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</si>
  <si>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</si>
  <si>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</si>
  <si>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</si>
  <si>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</si>
  <si>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</si>
  <si>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</si>
  <si>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</si>
  <si>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</si>
  <si>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</si>
  <si>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</si>
  <si>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</si>
  <si>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</si>
  <si>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</si>
  <si>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</si>
  <si>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</si>
  <si>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</si>
  <si>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</si>
  <si>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</si>
  <si>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</si>
  <si>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</si>
  <si>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</si>
  <si>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</si>
  <si>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</si>
  <si>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</si>
  <si>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</si>
  <si>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</si>
  <si>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</si>
  <si>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</si>
  <si>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</si>
  <si>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</si>
  <si>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</si>
  <si>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</si>
  <si>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</si>
  <si>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</si>
  <si>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</si>
  <si>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</si>
  <si>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</si>
  <si>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</si>
  <si>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</si>
  <si>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</si>
  <si>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</si>
  <si>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</si>
  <si>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</si>
  <si>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</si>
  <si>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</si>
  <si>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</si>
  <si>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</si>
  <si>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</si>
  <si>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</si>
  <si>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</si>
  <si>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</si>
  <si>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</si>
  <si>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</si>
  <si>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</si>
  <si>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</si>
  <si>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</si>
  <si>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</si>
  <si>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</si>
  <si>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</si>
  <si>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</si>
  <si>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</si>
  <si>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</si>
  <si>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</si>
  <si>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</si>
  <si>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</si>
  <si>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</si>
  <si>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</si>
  <si>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</si>
  <si>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</si>
  <si>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</si>
  <si>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</si>
  <si>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</si>
  <si>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</si>
  <si>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</si>
  <si>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</si>
  <si>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</si>
  <si>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</si>
  <si>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</si>
  <si>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</si>
  <si>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</si>
  <si>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</si>
  <si>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</si>
  <si>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</si>
  <si>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</si>
  <si>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</si>
  <si>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</si>
  <si>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</si>
  <si>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</si>
  <si>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</si>
  <si>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</si>
  <si>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</si>
  <si>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</si>
  <si>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</si>
  <si>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</si>
  <si>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</si>
  <si>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</si>
  <si>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</si>
  <si>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</si>
  <si>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</si>
  <si>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</si>
  <si>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</si>
  <si>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</si>
  <si>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</si>
  <si>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</si>
  <si>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</si>
  <si>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</si>
  <si>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</si>
  <si>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</si>
  <si>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</si>
  <si>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</si>
  <si>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</si>
  <si>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</si>
  <si>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</si>
  <si>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</si>
  <si>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</si>
  <si>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</si>
  <si>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</si>
  <si>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</si>
  <si>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</si>
  <si>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</si>
  <si>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</si>
  <si>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</si>
  <si>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</si>
  <si>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</si>
  <si>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</si>
  <si>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</si>
  <si>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</si>
  <si>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</si>
  <si>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</si>
  <si>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</si>
  <si>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</si>
  <si>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</si>
  <si>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</si>
  <si>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</si>
  <si>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</si>
  <si>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</si>
  <si>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</si>
  <si>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</si>
  <si>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</si>
  <si>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</si>
  <si>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</si>
  <si>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</si>
  <si>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</si>
  <si>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</si>
  <si>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</si>
  <si>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</si>
  <si>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</si>
  <si>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</si>
  <si>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</si>
  <si>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</si>
  <si>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</si>
  <si>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</si>
  <si>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</si>
  <si>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</si>
  <si>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</si>
  <si>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</si>
  <si>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</si>
  <si>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</si>
  <si>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</si>
  <si>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</si>
  <si>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</si>
  <si>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</si>
  <si>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</si>
  <si>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</si>
  <si>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</si>
  <si>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</si>
  <si>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</si>
  <si>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</si>
  <si>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</si>
  <si>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</si>
  <si>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</si>
  <si>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</si>
  <si>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</si>
  <si>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</si>
  <si>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</si>
  <si>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</si>
  <si>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</si>
  <si>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</si>
  <si>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</si>
  <si>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</si>
  <si>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</si>
  <si>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</si>
  <si>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</si>
  <si>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</si>
  <si>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</si>
  <si>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</si>
  <si>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</si>
  <si>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</si>
  <si>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</si>
  <si>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</si>
  <si>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</si>
  <si>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</si>
  <si>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</si>
  <si>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</si>
  <si>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</si>
  <si>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</si>
  <si>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</si>
  <si>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</si>
  <si>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</si>
  <si>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</si>
  <si>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</si>
  <si>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</si>
  <si>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</si>
  <si>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</si>
  <si>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</si>
  <si>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</si>
  <si>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</si>
  <si>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</si>
  <si>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</si>
  <si>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</si>
  <si>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</si>
  <si>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</si>
  <si>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</si>
  <si>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</si>
  <si>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</si>
  <si>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</si>
  <si>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</si>
  <si>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</si>
  <si>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</si>
  <si>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</si>
  <si>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</si>
  <si>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</si>
  <si>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</si>
  <si>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</si>
  <si>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</si>
  <si>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</si>
  <si>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</si>
  <si>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</si>
  <si>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</si>
  <si>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</si>
  <si>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</si>
  <si>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</si>
  <si>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</si>
  <si>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</si>
  <si>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</si>
  <si>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</si>
  <si>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</si>
  <si>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</si>
  <si>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</si>
  <si>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</si>
  <si>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</si>
  <si>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</si>
  <si>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</si>
  <si>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</si>
  <si>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</si>
  <si>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</si>
  <si>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</si>
  <si>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</si>
  <si>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</si>
  <si>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</si>
  <si>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</si>
  <si>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</si>
  <si>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</si>
  <si>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</si>
  <si>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</si>
  <si>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</si>
  <si>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</si>
  <si>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</si>
  <si>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</si>
  <si>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</si>
  <si>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</si>
  <si>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</si>
  <si>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</si>
  <si>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</si>
  <si>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</si>
  <si>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</si>
  <si>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</si>
  <si>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</si>
  <si>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</si>
  <si>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</si>
  <si>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</si>
  <si>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</si>
  <si>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</si>
  <si>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</si>
  <si>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</si>
  <si>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</si>
  <si>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</si>
  <si>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</si>
  <si>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</si>
  <si>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</si>
  <si>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</si>
  <si>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</si>
  <si>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</si>
  <si>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</si>
  <si>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</si>
  <si>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</si>
  <si>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</si>
  <si>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</si>
  <si>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</si>
  <si>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</si>
  <si>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</si>
  <si>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</si>
  <si>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</si>
  <si>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</si>
  <si>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</si>
  <si>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</si>
  <si>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</si>
  <si>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</si>
  <si>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</si>
  <si>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</si>
  <si>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</si>
  <si>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</si>
  <si>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</si>
  <si>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</si>
  <si>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</si>
  <si>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</si>
  <si>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</si>
  <si>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</si>
  <si>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</si>
  <si>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</si>
  <si>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</si>
  <si>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</si>
  <si>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</si>
  <si>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</si>
  <si>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</si>
  <si>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</si>
  <si>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</si>
  <si>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</si>
  <si>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</si>
  <si>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</si>
  <si>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</si>
  <si>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</si>
  <si>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</si>
  <si>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</si>
  <si>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</si>
  <si>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</si>
  <si>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</si>
  <si>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</si>
  <si>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</si>
  <si>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</si>
  <si>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</si>
  <si>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</si>
  <si>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</si>
  <si>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</si>
  <si>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</si>
  <si>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</si>
  <si>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</si>
  <si>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</si>
  <si>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</si>
  <si>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</si>
  <si>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</si>
  <si>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</si>
  <si>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</si>
  <si>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</si>
  <si>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</si>
  <si>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</si>
  <si>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</si>
  <si>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</si>
  <si>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</si>
  <si>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</si>
  <si>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</si>
  <si>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</si>
  <si>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</si>
  <si>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</si>
  <si>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</si>
  <si>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</si>
  <si>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</si>
  <si>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</si>
  <si>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</si>
  <si>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</si>
  <si>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</si>
  <si>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</si>
  <si>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</si>
  <si>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</si>
  <si>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</si>
  <si>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</si>
  <si>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</si>
  <si>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</si>
  <si>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</si>
  <si>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</si>
  <si>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</si>
  <si>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</si>
  <si>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</si>
  <si>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</si>
  <si>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</si>
  <si>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</si>
  <si>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</si>
  <si>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</si>
  <si>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</si>
  <si>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</si>
  <si>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</si>
  <si>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</si>
  <si>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</si>
  <si>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</si>
  <si>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</si>
  <si>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</si>
  <si>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</si>
  <si>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</si>
  <si>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</si>
  <si>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</si>
  <si>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</si>
  <si>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</si>
  <si>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</si>
  <si>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</si>
  <si>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</si>
  <si>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</si>
  <si>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</si>
  <si>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</si>
  <si>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</si>
  <si>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</si>
  <si>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</si>
  <si>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</si>
  <si>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</si>
  <si>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</si>
  <si>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</si>
  <si>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</si>
  <si>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</si>
  <si>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</si>
  <si>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</si>
  <si>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</si>
  <si>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</si>
  <si>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</si>
  <si>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</si>
  <si>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</si>
  <si>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</si>
  <si>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</si>
  <si>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</si>
  <si>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</si>
  <si>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</si>
  <si>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</si>
  <si>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</si>
  <si>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</si>
  <si>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</si>
  <si>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</si>
  <si>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</si>
  <si>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</si>
  <si>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</si>
  <si>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</si>
  <si>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</si>
  <si>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</si>
  <si>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</si>
  <si>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</si>
  <si>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</si>
  <si>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</si>
  <si>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</si>
  <si>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</si>
  <si>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</si>
  <si>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</si>
  <si>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</si>
  <si>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</si>
  <si>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</si>
  <si>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</si>
  <si>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</si>
  <si>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</si>
  <si>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</si>
  <si>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</si>
  <si>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</si>
  <si>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</si>
  <si>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</si>
  <si>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</si>
  <si>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</si>
  <si>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</si>
  <si>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</si>
  <si>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</si>
  <si>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</si>
  <si>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</si>
  <si>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</si>
  <si>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</si>
  <si>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</si>
  <si>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</si>
  <si>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</si>
  <si>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</si>
  <si>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</si>
  <si>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</si>
  <si>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</si>
  <si>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</si>
  <si>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</si>
  <si>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</si>
  <si>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</si>
  <si>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</si>
  <si>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</si>
  <si>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</si>
  <si>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</si>
  <si>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</si>
  <si>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</si>
  <si>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</si>
  <si>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</si>
  <si>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</si>
  <si>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</si>
  <si>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</si>
  <si>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</si>
  <si>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</si>
  <si>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</si>
  <si>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</si>
  <si>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</si>
  <si>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</si>
  <si>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</si>
  <si>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</si>
  <si>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</si>
  <si>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</si>
  <si>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</si>
  <si>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</si>
  <si>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</si>
  <si>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</si>
  <si>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</si>
  <si>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</si>
  <si>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</si>
  <si>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</si>
  <si>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</si>
  <si>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</si>
  <si>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</si>
  <si>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</si>
  <si>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</si>
  <si>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</si>
  <si>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</si>
  <si>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</si>
  <si>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</si>
  <si>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</si>
  <si>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</si>
  <si>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</si>
  <si>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</si>
  <si>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</si>
  <si>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</si>
  <si>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</si>
  <si>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</si>
  <si>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</si>
  <si>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</si>
  <si>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</si>
  <si>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</si>
  <si>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</si>
  <si>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</si>
  <si>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</si>
  <si>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</si>
  <si>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</si>
  <si>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</si>
  <si>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</si>
  <si>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</si>
  <si>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</si>
  <si>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</si>
  <si>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</si>
  <si>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</si>
  <si>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</si>
  <si>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</si>
  <si>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</si>
  <si>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</si>
  <si>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</si>
  <si>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</si>
  <si>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</si>
  <si>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</si>
  <si>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</si>
  <si>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</si>
  <si>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</si>
  <si>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</si>
  <si>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</si>
  <si>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</si>
  <si>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</si>
  <si>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</si>
  <si>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</si>
  <si>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</si>
  <si>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</si>
  <si>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</si>
  <si>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</si>
  <si>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</si>
  <si>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</si>
  <si>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</si>
  <si>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</si>
  <si>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</si>
  <si>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</si>
  <si>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</si>
  <si>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</si>
  <si>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</si>
  <si>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</si>
  <si>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</si>
  <si>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</si>
  <si>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</si>
  <si>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</si>
  <si>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</si>
  <si>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</si>
  <si>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</si>
  <si>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</si>
  <si>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</si>
  <si>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</si>
  <si>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</si>
  <si>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</si>
  <si>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</si>
  <si>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</si>
  <si>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</si>
  <si>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</si>
  <si>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</si>
  <si>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</si>
  <si>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</si>
  <si>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</si>
  <si>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</si>
  <si>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</si>
  <si>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</si>
  <si>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</si>
  <si>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</si>
  <si>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</si>
  <si>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</si>
  <si>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</si>
  <si>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</si>
  <si>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</si>
  <si>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</si>
  <si>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</si>
  <si>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</si>
  <si>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</si>
  <si>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</si>
  <si>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</si>
  <si>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</si>
  <si>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</si>
  <si>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</si>
  <si>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</si>
  <si>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</si>
  <si>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</si>
  <si>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</si>
  <si>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</si>
  <si>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</si>
  <si>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</si>
  <si>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</si>
  <si>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</si>
  <si>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</si>
  <si>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</si>
  <si>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</si>
  <si>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</si>
  <si>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</si>
  <si>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</si>
  <si>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</si>
  <si>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</si>
  <si>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</si>
  <si>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</si>
  <si>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</si>
  <si>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</si>
  <si>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</si>
  <si>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</si>
  <si>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</si>
  <si>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</si>
  <si>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</si>
  <si>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</si>
  <si>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</si>
  <si>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</si>
  <si>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</si>
  <si>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</si>
  <si>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</si>
  <si>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</si>
  <si>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</si>
  <si>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</si>
  <si>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</si>
  <si>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</si>
  <si>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</si>
  <si>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</si>
  <si>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</si>
  <si>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</si>
  <si>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</si>
  <si>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</si>
  <si>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</si>
  <si>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</si>
  <si>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</si>
  <si>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</si>
  <si>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</si>
  <si>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</si>
  <si>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</si>
  <si>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</si>
  <si>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</si>
  <si>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</si>
  <si>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</si>
  <si>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</si>
  <si>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</si>
  <si>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</si>
  <si>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</si>
  <si>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</si>
  <si>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</si>
  <si>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</si>
  <si>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</si>
  <si>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</si>
  <si>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</si>
  <si>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</si>
  <si>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</si>
  <si>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</si>
  <si>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</si>
  <si>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</si>
  <si>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</si>
  <si>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</si>
  <si>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</si>
  <si>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</si>
  <si>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</si>
  <si>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</si>
  <si>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</si>
  <si>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</si>
  <si>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</si>
  <si>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</si>
  <si>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</si>
  <si>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</si>
  <si>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</si>
  <si>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</si>
  <si>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</si>
  <si>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</si>
  <si>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</si>
  <si>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</si>
  <si>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</si>
  <si>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</si>
  <si>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</si>
  <si>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</si>
  <si>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</si>
  <si>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</si>
  <si>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</si>
  <si>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</si>
  <si>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</si>
  <si>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</si>
  <si>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</si>
  <si>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</si>
  <si>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</si>
  <si>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</si>
  <si>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</si>
  <si>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</si>
  <si>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</si>
  <si>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</si>
  <si>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</si>
  <si>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</si>
  <si>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</si>
  <si>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</si>
  <si>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</si>
  <si>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</si>
  <si>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</si>
  <si>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</si>
  <si>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</si>
  <si>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</si>
  <si>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</si>
  <si>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</si>
  <si>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</si>
  <si>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</si>
  <si>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</si>
  <si>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</si>
  <si>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</si>
  <si>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</si>
  <si>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</si>
  <si>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</si>
  <si>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</si>
  <si>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</si>
  <si>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</si>
  <si>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</si>
  <si>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</si>
  <si>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</si>
  <si>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</si>
  <si>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</si>
  <si>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</si>
  <si>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</si>
  <si>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</si>
  <si>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</si>
  <si>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</si>
  <si>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</si>
  <si>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</si>
  <si>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</si>
  <si>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</si>
  <si>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</si>
  <si>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</si>
  <si>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</si>
  <si>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</si>
  <si>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</si>
  <si>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</si>
  <si>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</si>
  <si>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</si>
  <si>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</si>
  <si>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</si>
  <si>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</si>
  <si>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</si>
  <si>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</si>
  <si>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</si>
  <si>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</si>
  <si>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</si>
  <si>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</si>
  <si>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</si>
  <si>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</si>
  <si>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</si>
  <si>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</si>
  <si>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</si>
  <si>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</si>
  <si>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</si>
  <si>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</si>
  <si>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</si>
  <si>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</si>
  <si>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</si>
  <si>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</si>
  <si>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</si>
  <si>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</si>
  <si>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</si>
  <si>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</si>
  <si>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</si>
  <si>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</si>
  <si>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</si>
  <si>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</si>
  <si>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</si>
  <si>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</si>
  <si>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</si>
  <si>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</si>
  <si>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</si>
  <si>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</si>
  <si>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</si>
  <si>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</si>
  <si>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</si>
  <si>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</si>
  <si>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</si>
  <si>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</si>
  <si>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</si>
  <si>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</si>
  <si>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</si>
  <si>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</si>
  <si>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</si>
  <si>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</si>
  <si>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</si>
  <si>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</si>
  <si>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</si>
  <si>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</si>
  <si>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</si>
  <si>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</si>
  <si>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</si>
  <si>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</si>
  <si>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</si>
  <si>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</si>
  <si>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</si>
  <si>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</si>
  <si>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</si>
  <si>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</si>
  <si>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</si>
  <si>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</si>
  <si>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</si>
  <si>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</si>
  <si>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</si>
  <si>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</si>
  <si>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</si>
  <si>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</si>
  <si>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</si>
  <si>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</si>
  <si>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</si>
  <si>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</si>
  <si>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</si>
  <si>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</si>
  <si>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</si>
  <si>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</si>
  <si>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</si>
  <si>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</si>
  <si>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</si>
  <si>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</si>
  <si>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</si>
  <si>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</si>
  <si>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</si>
  <si>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</si>
  <si>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</si>
  <si>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</si>
  <si>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</si>
  <si>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</si>
  <si>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</si>
  <si>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</si>
  <si>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</si>
  <si>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</si>
  <si>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</si>
  <si>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</si>
  <si>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</si>
  <si>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</si>
  <si>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</si>
  <si>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</si>
  <si>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</si>
  <si>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</si>
  <si>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</si>
  <si>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</si>
  <si>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</si>
  <si>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</si>
  <si>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</si>
  <si>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</si>
  <si>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</si>
  <si>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</si>
  <si>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</si>
  <si>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</si>
  <si>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</si>
  <si>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</si>
  <si>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</si>
  <si>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</si>
  <si>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</si>
  <si>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</si>
  <si>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</si>
  <si>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</si>
  <si>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</si>
  <si>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</si>
  <si>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</si>
  <si>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</si>
  <si>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</si>
  <si>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</si>
  <si>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</si>
  <si>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</si>
  <si>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</si>
  <si>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</si>
  <si>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</si>
  <si>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</si>
  <si>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</si>
  <si>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</si>
  <si>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</si>
  <si>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</si>
  <si>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</si>
  <si>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</si>
  <si>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</si>
  <si>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</si>
  <si>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</si>
  <si>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</si>
  <si>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</si>
  <si>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</si>
  <si>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</si>
  <si>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</si>
  <si>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</si>
  <si>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</si>
  <si>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</si>
  <si>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</si>
  <si>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</si>
  <si>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</si>
  <si>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</si>
  <si>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</si>
  <si>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</si>
  <si>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</si>
  <si>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</si>
  <si>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</si>
  <si>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</si>
  <si>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</si>
  <si>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</si>
  <si>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</si>
  <si>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</si>
  <si>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</si>
  <si>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</si>
  <si>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</si>
  <si>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</si>
  <si>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</si>
  <si>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</si>
  <si>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</si>
  <si>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</si>
  <si>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</si>
  <si>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</si>
  <si>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</si>
  <si>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</si>
  <si>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</si>
  <si>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</si>
  <si>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</si>
  <si>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</si>
  <si>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</si>
  <si>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</si>
  <si>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</si>
  <si>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</si>
  <si>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</si>
  <si>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</si>
  <si>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</si>
  <si>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</si>
  <si>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</si>
  <si>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</si>
  <si>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</si>
  <si>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</si>
  <si>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</si>
  <si>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</si>
  <si>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</si>
  <si>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</si>
  <si>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</si>
  <si>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</si>
  <si>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</si>
  <si>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</si>
  <si>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</si>
  <si>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</si>
  <si>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</si>
  <si>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</si>
  <si>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</si>
  <si>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</si>
  <si>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</si>
  <si>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</si>
  <si>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</si>
  <si>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</si>
  <si>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</si>
  <si>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</si>
  <si>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</si>
  <si>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</si>
  <si>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</si>
  <si>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</si>
  <si>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</si>
  <si>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</si>
  <si>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</si>
  <si>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</si>
  <si>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</si>
  <si>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</si>
  <si>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</si>
  <si>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</si>
  <si>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</si>
  <si>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</si>
  <si>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</si>
  <si>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</si>
  <si>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</si>
  <si>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</si>
  <si>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</si>
  <si>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</si>
  <si>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</si>
  <si>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</si>
  <si>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</si>
  <si>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</si>
  <si>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</si>
  <si>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</si>
  <si>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</si>
  <si>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</si>
  <si>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</si>
  <si>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</si>
  <si>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</si>
  <si>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</si>
  <si>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</si>
  <si>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</si>
  <si>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</si>
  <si>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</si>
  <si>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</si>
  <si>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</si>
  <si>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</si>
  <si>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</si>
  <si>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</si>
  <si>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</si>
  <si>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</si>
  <si>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</si>
  <si>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</si>
  <si>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</si>
  <si>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</si>
  <si>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</si>
  <si>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</si>
  <si>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</si>
  <si>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</si>
  <si>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</si>
  <si>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</si>
  <si>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</si>
  <si>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</si>
  <si>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</si>
  <si>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</si>
  <si>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</si>
  <si>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</si>
  <si>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</si>
  <si>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</si>
  <si>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</si>
  <si>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</si>
  <si>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</si>
  <si>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</si>
  <si>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</si>
  <si>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</si>
  <si>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</si>
  <si>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</si>
  <si>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</si>
  <si>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</si>
  <si>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</si>
  <si>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</si>
  <si>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</si>
  <si>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</si>
  <si>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</si>
  <si>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</si>
  <si>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</si>
  <si>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</si>
  <si>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</si>
  <si>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</si>
  <si>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</si>
  <si>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</si>
  <si>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</si>
  <si>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</si>
  <si>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</si>
  <si>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</si>
  <si>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</si>
  <si>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</si>
  <si>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</si>
  <si>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</si>
  <si>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</si>
  <si>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</si>
  <si>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</si>
  <si>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</si>
  <si>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</si>
  <si>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</si>
  <si>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</si>
  <si>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</si>
  <si>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</si>
  <si>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</si>
  <si>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</si>
  <si>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</si>
  <si>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</si>
  <si>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</si>
  <si>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</si>
  <si>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</si>
  <si>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</si>
  <si>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</si>
  <si>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</si>
  <si>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</si>
  <si>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</si>
  <si>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</si>
  <si>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</si>
  <si>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</si>
  <si>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</si>
  <si>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</si>
  <si>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</si>
  <si>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</si>
  <si>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</si>
  <si>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</si>
  <si>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</si>
  <si>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</si>
  <si>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</si>
  <si>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</si>
  <si>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</si>
  <si>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</si>
  <si>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</si>
  <si>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</si>
  <si>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</si>
  <si>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</si>
  <si>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</si>
  <si>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</si>
  <si>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</si>
  <si>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</si>
  <si>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</si>
  <si>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</si>
  <si>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</si>
  <si>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</si>
  <si>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</si>
  <si>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</si>
  <si>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</si>
  <si>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</si>
  <si>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</si>
  <si>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</si>
  <si>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</si>
  <si>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</si>
  <si>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</si>
  <si>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</si>
  <si>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</si>
  <si>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</si>
  <si>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</si>
  <si>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</si>
  <si>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</si>
  <si>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</si>
  <si>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</si>
  <si>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</si>
  <si>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</si>
  <si>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</si>
  <si>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</si>
  <si>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</si>
  <si>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</si>
  <si>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</si>
  <si>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</si>
  <si>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</si>
  <si>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</si>
  <si>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</si>
  <si>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</si>
  <si>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</si>
  <si>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</si>
  <si>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</si>
  <si>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</si>
  <si>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</si>
  <si>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</si>
  <si>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</si>
  <si>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</si>
  <si>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</si>
  <si>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</si>
  <si>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</si>
  <si>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</si>
  <si>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</si>
  <si>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</si>
  <si>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</si>
  <si>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</si>
  <si>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</si>
  <si>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</si>
  <si>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</si>
  <si>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</si>
  <si>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</si>
  <si>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</si>
  <si>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</si>
  <si>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</si>
  <si>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</si>
  <si>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</si>
  <si>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</si>
  <si>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</si>
  <si>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</si>
  <si>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</si>
  <si>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</si>
  <si>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</si>
  <si>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</si>
  <si>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</si>
  <si>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</si>
  <si>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</si>
  <si>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</si>
  <si>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</si>
  <si>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</si>
  <si>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</si>
  <si>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</si>
  <si>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</si>
  <si>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</si>
  <si>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</si>
  <si>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</si>
  <si>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</si>
  <si>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</si>
  <si>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</si>
  <si>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</si>
  <si>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</si>
  <si>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</si>
  <si>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</si>
  <si>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</si>
  <si>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</si>
  <si>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</si>
  <si>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</si>
  <si>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</si>
  <si>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</si>
  <si>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</si>
  <si>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</si>
  <si>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</si>
  <si>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</si>
  <si>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</si>
  <si>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</si>
  <si>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</si>
  <si>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</si>
  <si>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</si>
  <si>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</si>
  <si>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</si>
  <si>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</si>
  <si>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</si>
  <si>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</si>
  <si>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</si>
  <si>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</si>
  <si>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</si>
  <si>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</si>
  <si>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</si>
  <si>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</si>
  <si>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</si>
  <si>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</si>
  <si>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</si>
  <si>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</si>
  <si>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</si>
  <si>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</si>
  <si>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</si>
  <si>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</si>
  <si>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</si>
  <si>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</si>
  <si>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</si>
  <si>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</si>
  <si>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</si>
  <si>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</si>
  <si>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</si>
  <si>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</si>
  <si>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</si>
  <si>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</si>
  <si>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</si>
  <si>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</si>
  <si>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</si>
  <si>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</si>
  <si>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</si>
  <si>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</si>
  <si>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</si>
  <si>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</si>
  <si>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</si>
  <si>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</si>
  <si>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</si>
  <si>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</si>
  <si>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</si>
  <si>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</si>
  <si>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</si>
  <si>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</si>
  <si>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</si>
  <si>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</si>
  <si>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</si>
  <si>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</si>
  <si>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</si>
  <si>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</si>
  <si>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</si>
  <si>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</si>
  <si>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</si>
  <si>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</si>
  <si>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</si>
  <si>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</si>
  <si>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</si>
  <si>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</si>
  <si>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</si>
  <si>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</si>
  <si>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</si>
  <si>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</si>
  <si>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</si>
  <si>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</si>
  <si>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</si>
  <si>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</si>
  <si>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</si>
  <si>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</si>
  <si>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</si>
  <si>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</si>
  <si>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</si>
  <si>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</si>
  <si>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</si>
  <si>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</si>
  <si>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</si>
  <si>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</si>
  <si>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</si>
  <si>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</si>
  <si>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</si>
  <si>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</si>
  <si>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</si>
  <si>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</si>
  <si>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</si>
  <si>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</si>
  <si>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</si>
  <si>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</si>
  <si>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40" type="noConversion"/>
  </si>
  <si>
    <t>成本法</t>
  </si>
  <si>
    <t>收益法-酒店模型</t>
  </si>
  <si>
    <t>无</t>
    <phoneticPr fontId="31" type="noConversion"/>
  </si>
  <si>
    <t>自持</t>
    <phoneticPr fontId="31" type="noConversion"/>
  </si>
  <si>
    <t>还建</t>
    <phoneticPr fontId="31" type="noConversion"/>
  </si>
  <si>
    <t>现房</t>
  </si>
  <si>
    <t>项目全部</t>
  </si>
  <si>
    <t>总价</t>
  </si>
  <si>
    <t>成本比率</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</si>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</sst>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6" fillId="7" borderId="150" xfId="0" applyFont="1" applyFill="1" applyBorder="1" applyAlignment="1" applyProtection="1">
      <alignment vertical="center" wrapText="1"/>
      <protection locked="0"/>
    </xf>
    <xf numFmtId="49" fontId="257"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4" fillId="0" borderId="24"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58"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60"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2"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9" fillId="0" borderId="44" xfId="0" applyNumberFormat="1" applyFont="1" applyFill="1" applyBorder="1" applyAlignment="1" applyProtection="1">
      <alignment horizontal="center" vertical="center" wrapText="1"/>
      <protection locked="0"/>
    </xf>
    <xf numFmtId="0" fontId="259"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96" customWidth="1"/>
    <col min="2" max="2" width="81" style="1313" customWidth="1"/>
    <col min="3" max="16384" width="9" style="1311"/>
  </cols>
  <sheetData>
    <row r="1" spans="1:2" s="1299" customFormat="1" ht="16" thickBot="1">
      <c r="A1" s="1298" t="s">
        <v>946</v>
      </c>
      <c r="B1" s="1297" t="s">
        <v>1025</v>
      </c>
    </row>
    <row r="2" spans="1:2" s="1302" customFormat="1" ht="15.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5.5" thickBot="1">
      <c r="A5" s="1306" t="s">
        <v>950</v>
      </c>
      <c r="B5" s="1307" t="str">
        <f>'预评函-封皮'!B49</f>
        <v>康正预评字号</v>
      </c>
    </row>
    <row r="6" spans="1:2" s="1302" customFormat="1" ht="15.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5" thickBot="1">
      <c r="A18" s="1306" t="s">
        <v>959</v>
      </c>
      <c r="B18" s="1307" t="str">
        <f>'预评函-1'!A24</f>
        <v>本次评估采用的主估价方法为成本法和收益法。</v>
      </c>
    </row>
    <row r="19" spans="1:2" s="1302" customFormat="1" ht="15.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34104</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34104</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ht="30">
      <c r="A42" s="1303" t="s">
        <v>1015</v>
      </c>
      <c r="B42" s="1304" t="str">
        <f>'预评函-3'!B2</f>
        <v>建筑面积</v>
      </c>
    </row>
    <row r="43" spans="1:2" s="1305" customFormat="1">
      <c r="A43" s="1303" t="s">
        <v>1016</v>
      </c>
      <c r="B43" s="1304">
        <f>'预评函-3'!B4</f>
        <v>98312.17</v>
      </c>
    </row>
    <row r="44" spans="1:2" s="1305" customFormat="1" ht="30">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254817</v>
      </c>
    </row>
    <row r="48" spans="1:2" s="1305" customFormat="1">
      <c r="A48" s="1303" t="s">
        <v>974</v>
      </c>
      <c r="B48" s="1304">
        <f ca="1">'预评函-3'!E4</f>
        <v>25919</v>
      </c>
    </row>
    <row r="49" spans="1:2" s="1305" customFormat="1">
      <c r="A49" s="1303" t="s">
        <v>975</v>
      </c>
      <c r="B49" s="1304" t="str">
        <f ca="1">'预评函-3'!D5</f>
        <v>贰拾伍亿肆仟捌佰壹拾柒万元整</v>
      </c>
    </row>
    <row r="50" spans="1:2" s="1305" customFormat="1">
      <c r="A50" s="1303" t="s">
        <v>999</v>
      </c>
      <c r="B50" s="1304" t="str">
        <f>'预评函-3'!F2</f>
        <v>在建建筑物价值</v>
      </c>
    </row>
    <row r="51" spans="1:2" s="1305" customFormat="1">
      <c r="A51" s="1303" t="s">
        <v>976</v>
      </c>
      <c r="B51" s="1304">
        <f ca="1">'预评函-3'!F4</f>
        <v>80468</v>
      </c>
    </row>
    <row r="52" spans="1:2" s="1305" customFormat="1">
      <c r="A52" s="1303" t="s">
        <v>977</v>
      </c>
      <c r="B52" s="1304">
        <f ca="1">'预评函-3'!G4</f>
        <v>8185</v>
      </c>
    </row>
    <row r="53" spans="1:2" s="1305" customFormat="1">
      <c r="A53" s="1303" t="s">
        <v>1005</v>
      </c>
      <c r="B53" s="1304" t="str">
        <f ca="1">'预评函-3'!F5</f>
        <v>捌亿零肆佰陆拾捌万元整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5" thickBot="1">
      <c r="A57" s="1306" t="s">
        <v>1024</v>
      </c>
      <c r="B57" s="1307" t="str">
        <f>'预评函-3'!A6</f>
        <v>估价师知悉的法定优先受偿款</v>
      </c>
    </row>
    <row r="58" spans="1:2" s="1302" customFormat="1" ht="15.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5" thickBot="1">
      <c r="A69" s="1306" t="s">
        <v>986</v>
      </c>
      <c r="B69" s="1308">
        <f>'预评函-4'!C31</f>
        <v>42551</v>
      </c>
    </row>
    <row r="70" spans="1:2" ht="15.5"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5.5" thickBot="1">
      <c r="A73" s="1306" t="s">
        <v>990</v>
      </c>
      <c r="B73" s="1307">
        <f ca="1">'预评函-4'!B5</f>
        <v>1419970001</v>
      </c>
    </row>
    <row r="74" spans="1:2" ht="15.5" thickTop="1">
      <c r="A74" s="1296" t="s">
        <v>1026</v>
      </c>
      <c r="B74" s="131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79" customWidth="1"/>
    <col min="2" max="2" width="23.08984375" style="1630" customWidth="1"/>
    <col min="3" max="3" width="13" style="1674" customWidth="1"/>
    <col min="4" max="4" width="5.90625" style="1671" customWidth="1"/>
    <col min="5" max="5" width="7.08984375" style="1671" customWidth="1"/>
    <col min="6" max="6" width="10.6328125" style="1671" customWidth="1"/>
    <col min="7" max="7" width="7.453125" style="1671" customWidth="1"/>
    <col min="8" max="8" width="9" style="1674" customWidth="1"/>
    <col min="9" max="9" width="11.6328125" style="1674" customWidth="1"/>
    <col min="10" max="10" width="9" style="1674" customWidth="1"/>
    <col min="11" max="19" width="9" style="1671" customWidth="1"/>
    <col min="20" max="23" width="9" style="1674" customWidth="1"/>
    <col min="24" max="24" width="21.08984375" style="1630" customWidth="1"/>
    <col min="25" max="16384" width="9" style="1630"/>
  </cols>
  <sheetData>
    <row r="1" spans="1:23" s="1668" customFormat="1" ht="28">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2790</v>
      </c>
      <c r="C17" s="1670"/>
    </row>
    <row r="18" spans="1:3">
      <c r="A18" s="1669" t="s">
        <v>1491</v>
      </c>
      <c r="B18" s="1669" t="s">
        <v>2934</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6"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6"/>
      <c r="B54" s="1677" t="s">
        <v>651</v>
      </c>
      <c r="C54" s="1674" t="s">
        <v>1008</v>
      </c>
    </row>
    <row r="55" spans="1:4">
      <c r="A55" s="3336"/>
      <c r="B55" s="1677" t="s">
        <v>652</v>
      </c>
      <c r="C55" s="1674" t="s">
        <v>1009</v>
      </c>
    </row>
    <row r="56" spans="1:4">
      <c r="A56" s="3336"/>
      <c r="B56" s="1677" t="s">
        <v>653</v>
      </c>
      <c r="C56" s="1674" t="s">
        <v>1013</v>
      </c>
    </row>
    <row r="57" spans="1:4">
      <c r="A57" s="3336"/>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5"/>
  <cols>
    <col min="1" max="1" width="16.90625" style="1869" customWidth="1"/>
    <col min="2" max="2" width="10" style="1869" customWidth="1"/>
    <col min="3" max="3" width="11.453125" style="1869" customWidth="1"/>
    <col min="4" max="4" width="10" style="1869" customWidth="1"/>
    <col min="5" max="5" width="12.6328125" style="1869" customWidth="1"/>
    <col min="6" max="6" width="10" style="1869" customWidth="1"/>
    <col min="7" max="7" width="10.90625" style="1869" customWidth="1"/>
    <col min="8" max="8" width="10" style="1869" customWidth="1"/>
    <col min="9" max="9" width="11.08984375" style="1702" customWidth="1"/>
    <col min="10" max="10" width="10" style="1867" customWidth="1"/>
    <col min="11" max="11" width="10" style="2788" customWidth="1"/>
    <col min="12" max="13" width="10" style="278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2669</v>
      </c>
      <c r="B1" s="3337"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38"/>
      <c r="D1" s="3338"/>
      <c r="E1" s="3338"/>
      <c r="F1" s="3338"/>
      <c r="G1" s="3338"/>
      <c r="H1" s="3338"/>
      <c r="I1" s="3339"/>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ht="13">
      <c r="A2" s="2528" t="s">
        <v>2670</v>
      </c>
      <c r="B2" s="2532"/>
      <c r="C2" s="2533"/>
      <c r="D2" s="2831"/>
      <c r="E2" s="2822"/>
      <c r="F2" s="2822"/>
      <c r="G2" s="2823"/>
      <c r="H2" s="2823"/>
      <c r="I2" s="282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ht="13">
      <c r="A3" s="298" t="s">
        <v>2671</v>
      </c>
      <c r="B3" s="2534">
        <v>44692</v>
      </c>
      <c r="C3" s="2535" t="s">
        <v>2672</v>
      </c>
      <c r="D3" s="2534">
        <v>44692</v>
      </c>
      <c r="E3" s="2823"/>
      <c r="F3" s="2823"/>
      <c r="G3" s="2823"/>
      <c r="H3" s="2823"/>
      <c r="I3" s="282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2673</v>
      </c>
      <c r="B4" s="2536" t="s">
        <v>3170</v>
      </c>
      <c r="C4" s="2537">
        <f ca="1">SUMIF(注册房地产估价师,B4,估价师及机构信息!B3:B24)</f>
        <v>1120070131</v>
      </c>
      <c r="D4" s="2536" t="s">
        <v>3171</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15" customHeight="1" thickTop="1" thickBot="1">
      <c r="A5" s="2540" t="s">
        <v>2674</v>
      </c>
      <c r="B5" s="3207" t="s">
        <v>3173</v>
      </c>
      <c r="C5" s="2541"/>
      <c r="D5" s="2542"/>
      <c r="E5" s="2824"/>
      <c r="F5" s="2824"/>
      <c r="G5" s="2824"/>
      <c r="H5" s="2824"/>
      <c r="I5" s="282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2675</v>
      </c>
      <c r="B6" s="3207" t="s">
        <v>3172</v>
      </c>
      <c r="C6" s="2544"/>
      <c r="D6" s="2545"/>
      <c r="E6" s="2822"/>
      <c r="F6" s="2824"/>
      <c r="G6" s="2824"/>
      <c r="H6" s="2824"/>
      <c r="I6" s="2824"/>
      <c r="J6" s="2600"/>
      <c r="K6" s="2774" t="str">
        <f>IF(COUNTIF(B6,"*上海银行*"),"上海银行","")</f>
        <v/>
      </c>
      <c r="L6" s="2772"/>
      <c r="M6" s="2772"/>
      <c r="N6" s="2600"/>
      <c r="O6" s="2611"/>
      <c r="P6" s="2600"/>
      <c r="Q6" s="2600"/>
      <c r="R6" s="2600"/>
    </row>
    <row r="7" spans="1:28" ht="37.5">
      <c r="A7" s="2543" t="s">
        <v>2676</v>
      </c>
      <c r="B7" s="2546" t="str">
        <f>B5</f>
        <v>北京世纪金源大饭店有限责任公司</v>
      </c>
      <c r="C7" s="2544"/>
      <c r="D7" s="2545"/>
      <c r="E7" s="2822"/>
      <c r="F7" s="2824"/>
      <c r="G7" s="2824"/>
      <c r="H7" s="2824"/>
      <c r="I7" s="2824"/>
      <c r="J7" s="2600"/>
      <c r="K7" s="2775"/>
      <c r="L7" s="2772"/>
      <c r="M7" s="2772"/>
      <c r="N7" s="2600"/>
      <c r="O7" s="2611"/>
      <c r="P7" s="2600"/>
      <c r="Q7" s="2600"/>
      <c r="R7" s="2600"/>
    </row>
    <row r="8" spans="1:28" ht="13">
      <c r="A8" s="2547" t="s">
        <v>2677</v>
      </c>
      <c r="B8" s="2548" t="s">
        <v>3174</v>
      </c>
      <c r="C8" s="2549"/>
      <c r="D8" s="3340" t="s">
        <v>2678</v>
      </c>
      <c r="E8" s="2550" t="s">
        <v>3175</v>
      </c>
      <c r="F8" s="2551"/>
      <c r="G8" s="2823"/>
      <c r="H8" s="2823"/>
      <c r="I8" s="2823"/>
      <c r="J8" s="2600"/>
      <c r="K8" s="2773"/>
      <c r="L8" s="2772"/>
      <c r="M8" s="2772"/>
      <c r="N8" s="2600"/>
      <c r="O8" s="2611"/>
      <c r="P8" s="2600"/>
      <c r="Q8" s="2600"/>
      <c r="R8" s="2600"/>
    </row>
    <row r="9" spans="1:28" ht="13.5" thickBot="1">
      <c r="A9" s="2552" t="s">
        <v>2679</v>
      </c>
      <c r="B9" s="2553" t="s">
        <v>3175</v>
      </c>
      <c r="C9" s="2554"/>
      <c r="D9" s="3341"/>
      <c r="E9" s="2553"/>
      <c r="F9" s="2555"/>
      <c r="G9" s="2825"/>
      <c r="H9" s="2825"/>
      <c r="I9" s="2825"/>
      <c r="J9" s="2600"/>
      <c r="K9" s="2775"/>
      <c r="L9" s="2772"/>
      <c r="M9" s="2772"/>
      <c r="N9" s="2600"/>
      <c r="O9" s="2611"/>
      <c r="P9" s="2600"/>
      <c r="Q9" s="2600"/>
      <c r="R9" s="2600"/>
    </row>
    <row r="10" spans="1:28" ht="13.5" thickTop="1">
      <c r="A10" s="2556" t="s">
        <v>2680</v>
      </c>
      <c r="B10" s="2557" t="s">
        <v>3176</v>
      </c>
      <c r="C10" s="2558"/>
      <c r="D10" s="2542"/>
      <c r="E10" s="2559" t="s">
        <v>2681</v>
      </c>
      <c r="F10" s="3208" t="s">
        <v>3177</v>
      </c>
      <c r="G10" s="2826"/>
      <c r="H10" s="2827"/>
      <c r="I10" s="2828"/>
      <c r="J10" s="2600"/>
      <c r="K10" s="2775"/>
      <c r="L10" s="2772"/>
      <c r="M10" s="2772"/>
      <c r="N10" s="2600"/>
      <c r="O10" s="2611"/>
      <c r="P10" s="2600"/>
      <c r="Q10" s="2600"/>
      <c r="R10" s="2600"/>
    </row>
    <row r="11" spans="1:28" ht="13">
      <c r="A11" s="2560" t="s">
        <v>2682</v>
      </c>
      <c r="B11" s="2561" t="s">
        <v>3178</v>
      </c>
      <c r="C11" s="2562"/>
      <c r="D11" s="2563"/>
      <c r="E11" s="2531"/>
      <c r="F11" s="2531"/>
      <c r="G11" s="2531"/>
      <c r="H11" s="2531"/>
      <c r="I11" s="2531"/>
      <c r="J11" s="2600"/>
      <c r="K11" s="2775"/>
      <c r="L11" s="2772"/>
      <c r="M11" s="2772"/>
      <c r="N11" s="2600"/>
      <c r="O11" s="2611"/>
      <c r="P11" s="2600"/>
      <c r="Q11" s="2600"/>
      <c r="R11" s="2600"/>
    </row>
    <row r="12" spans="1:28" ht="13">
      <c r="A12" s="2564" t="s">
        <v>2683</v>
      </c>
      <c r="B12" s="2561" t="s">
        <v>3179</v>
      </c>
      <c r="C12" s="319" t="s">
        <v>2684</v>
      </c>
      <c r="D12" s="2565" t="s">
        <v>2685</v>
      </c>
      <c r="E12" s="2565" t="s">
        <v>2686</v>
      </c>
      <c r="F12" s="2565" t="s">
        <v>2687</v>
      </c>
      <c r="G12" s="2565" t="s">
        <v>2688</v>
      </c>
      <c r="H12" s="2565" t="s">
        <v>2689</v>
      </c>
      <c r="I12" s="2565" t="s">
        <v>2690</v>
      </c>
      <c r="J12" s="2600"/>
      <c r="K12" s="2775"/>
      <c r="L12" s="2772"/>
      <c r="M12" s="2772"/>
      <c r="N12" s="2600"/>
      <c r="O12" s="2611"/>
      <c r="P12" s="2600"/>
      <c r="Q12" s="2600"/>
      <c r="R12" s="2600"/>
    </row>
    <row r="13" spans="1:28" ht="13">
      <c r="A13" s="1182"/>
      <c r="B13" s="2566"/>
      <c r="C13" s="2567" t="s">
        <v>2691</v>
      </c>
      <c r="D13" s="934"/>
      <c r="E13" s="3209">
        <v>51810</v>
      </c>
      <c r="F13" s="3209">
        <v>55462</v>
      </c>
      <c r="G13" s="934"/>
      <c r="H13" s="934"/>
      <c r="I13" s="934"/>
      <c r="J13" s="2600"/>
      <c r="K13" s="2775"/>
      <c r="L13" s="2772"/>
      <c r="M13" s="2772"/>
      <c r="N13" s="2600"/>
      <c r="O13" s="2611"/>
      <c r="P13" s="2600"/>
      <c r="Q13" s="2600"/>
      <c r="R13" s="2600"/>
    </row>
    <row r="14" spans="1:28" ht="13">
      <c r="A14" s="1182"/>
      <c r="B14" s="2566"/>
      <c r="C14" s="2567" t="s">
        <v>2692</v>
      </c>
      <c r="D14" s="2568"/>
      <c r="E14" s="2568">
        <v>40</v>
      </c>
      <c r="F14" s="2568">
        <v>50</v>
      </c>
      <c r="G14" s="2568"/>
      <c r="H14" s="2568"/>
      <c r="I14" s="2568"/>
      <c r="J14" s="2600"/>
      <c r="K14" s="2776"/>
      <c r="L14" s="2772"/>
      <c r="M14" s="2772"/>
      <c r="N14" s="2600"/>
      <c r="O14" s="2611"/>
      <c r="P14" s="2600"/>
      <c r="Q14" s="2600"/>
      <c r="R14" s="2600"/>
    </row>
    <row r="15" spans="1:28" ht="13">
      <c r="A15" s="316"/>
      <c r="B15" s="2569"/>
      <c r="C15" s="2570" t="s">
        <v>2693</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77"/>
      <c r="L15" s="2612"/>
      <c r="M15" s="2612"/>
      <c r="N15" s="2668"/>
      <c r="O15" s="2612"/>
      <c r="P15" s="2668"/>
      <c r="Q15" s="2600"/>
      <c r="R15" s="2600"/>
    </row>
    <row r="16" spans="1:28" ht="13">
      <c r="A16" s="2559" t="s">
        <v>2694</v>
      </c>
      <c r="B16" s="3347"/>
      <c r="C16" s="3348"/>
      <c r="D16" s="3349"/>
      <c r="E16" s="2574" t="s">
        <v>2695</v>
      </c>
      <c r="F16" s="3350"/>
      <c r="G16" s="3351"/>
      <c r="H16" s="3351"/>
      <c r="I16" s="3352"/>
      <c r="J16" s="2600"/>
      <c r="K16" s="2777"/>
      <c r="L16" s="2612"/>
      <c r="M16" s="2612"/>
      <c r="N16" s="2668"/>
      <c r="O16" s="2612"/>
      <c r="P16" s="2668"/>
      <c r="Q16" s="2600"/>
      <c r="R16" s="2600"/>
    </row>
    <row r="17" spans="1:28" ht="13">
      <c r="A17" s="309" t="s">
        <v>2696</v>
      </c>
      <c r="B17" s="298" t="s">
        <v>2697</v>
      </c>
      <c r="C17" s="11">
        <f>'数据-汇总表'!E3</f>
        <v>98312.17</v>
      </c>
      <c r="D17" s="2483" t="s">
        <v>2698</v>
      </c>
      <c r="E17" s="3353" t="s">
        <v>2699</v>
      </c>
      <c r="F17" s="3354"/>
      <c r="G17" s="3354"/>
      <c r="H17" s="3354"/>
      <c r="I17" s="3355"/>
      <c r="J17" s="2600"/>
      <c r="K17" s="2778"/>
      <c r="L17" s="2612"/>
      <c r="M17" s="2612"/>
      <c r="N17" s="2668"/>
      <c r="O17" s="2612"/>
      <c r="P17" s="2668"/>
      <c r="Q17" s="2600"/>
      <c r="R17" s="2600"/>
      <c r="S17" s="2600"/>
      <c r="T17" s="2600"/>
      <c r="U17" s="2600"/>
      <c r="V17" s="2600"/>
    </row>
    <row r="18" spans="1:28" ht="26.5" thickBot="1">
      <c r="A18" s="2575" t="s">
        <v>2700</v>
      </c>
      <c r="B18" s="1191" t="s">
        <v>2701</v>
      </c>
      <c r="C18" s="2576">
        <f>'数据-汇总表'!D3</f>
        <v>28178.74</v>
      </c>
      <c r="D18" s="1193" t="s">
        <v>2702</v>
      </c>
      <c r="E18" s="3356" t="s">
        <v>2703</v>
      </c>
      <c r="F18" s="3357"/>
      <c r="G18" s="3357"/>
      <c r="H18" s="3357"/>
      <c r="I18" s="3358"/>
      <c r="J18" s="2600"/>
      <c r="K18" s="2778"/>
      <c r="L18" s="2612"/>
      <c r="M18" s="2612"/>
      <c r="N18" s="2668"/>
      <c r="O18" s="2612"/>
      <c r="P18" s="2668"/>
      <c r="Q18" s="2600"/>
      <c r="R18" s="2600"/>
      <c r="S18" s="2600"/>
      <c r="T18" s="2600"/>
      <c r="U18" s="2600"/>
      <c r="V18" s="2600"/>
    </row>
    <row r="19" spans="1:28" ht="40" thickTop="1" thickBot="1">
      <c r="A19" s="323" t="s">
        <v>1500</v>
      </c>
      <c r="B19" s="303" t="s">
        <v>2704</v>
      </c>
      <c r="C19" s="1686"/>
      <c r="D19" s="1687" t="s">
        <v>2705</v>
      </c>
      <c r="E19" s="1688"/>
      <c r="F19" s="1689" t="str">
        <f>IF(AND(C19="是",E19="否"),"是否提供他项权证或相关说明","")</f>
        <v/>
      </c>
      <c r="G19" s="1690"/>
      <c r="H19" s="2824"/>
      <c r="I19" s="2824"/>
      <c r="J19" s="2600"/>
      <c r="K19" s="2775"/>
      <c r="L19" s="2772"/>
      <c r="M19" s="2772"/>
      <c r="N19" s="2668"/>
      <c r="O19" s="2612"/>
      <c r="P19" s="2668"/>
      <c r="Q19" s="2600"/>
      <c r="R19" s="2600"/>
      <c r="S19" s="2600"/>
      <c r="T19" s="2600"/>
      <c r="U19" s="2600"/>
      <c r="V19" s="2600"/>
    </row>
    <row r="20" spans="1:28" ht="13">
      <c r="A20" s="2792" t="s">
        <v>2706</v>
      </c>
      <c r="B20" s="3343" t="s">
        <v>2707</v>
      </c>
      <c r="C20" s="3344"/>
      <c r="D20" s="3345" t="s">
        <v>2708</v>
      </c>
      <c r="E20" s="3346"/>
      <c r="F20" s="2807" t="s">
        <v>1501</v>
      </c>
      <c r="G20" s="2824"/>
      <c r="H20" s="2824"/>
      <c r="I20" s="2824"/>
      <c r="J20" s="2600"/>
      <c r="K20" s="3342" t="s">
        <v>2709</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6.5" thickBot="1">
      <c r="A21" s="2792"/>
      <c r="B21" s="2793" t="s">
        <v>2710</v>
      </c>
      <c r="C21" s="2794" t="s">
        <v>1502</v>
      </c>
      <c r="D21" s="1691" t="s">
        <v>2711</v>
      </c>
      <c r="E21" s="2795" t="s">
        <v>1502</v>
      </c>
      <c r="F21" s="2808"/>
      <c r="G21" s="2824"/>
      <c r="H21" s="2824"/>
      <c r="I21" s="2824"/>
      <c r="J21" s="2600"/>
      <c r="K21" s="334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6.5" thickBot="1">
      <c r="A22" s="2792"/>
      <c r="B22" s="2796" t="s">
        <v>2712</v>
      </c>
      <c r="C22" s="2794" t="s">
        <v>1503</v>
      </c>
      <c r="D22" s="2823"/>
      <c r="E22" s="2823"/>
      <c r="F22" s="2823"/>
      <c r="G22" s="2824"/>
      <c r="H22" s="2824"/>
      <c r="I22" s="2824"/>
      <c r="J22" s="2600"/>
      <c r="K22" s="334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ht="13">
      <c r="A23" s="2797" t="s">
        <v>2713</v>
      </c>
      <c r="B23" s="2661" t="s">
        <v>2714</v>
      </c>
      <c r="C23" s="2798"/>
      <c r="D23" s="2799" t="s">
        <v>2714</v>
      </c>
      <c r="E23" s="2800"/>
      <c r="F23" s="2823"/>
      <c r="G23" s="2824"/>
      <c r="H23" s="2824"/>
      <c r="I23" s="2824"/>
      <c r="J23" s="2600"/>
      <c r="K23" s="2779"/>
      <c r="L23" s="2635"/>
      <c r="M23" s="2772"/>
      <c r="N23" s="2668"/>
      <c r="O23" s="2612"/>
      <c r="P23" s="2668"/>
      <c r="Q23" s="2600"/>
      <c r="R23" s="2600"/>
      <c r="S23" s="2600"/>
      <c r="T23" s="2600"/>
      <c r="U23" s="2600"/>
      <c r="V23" s="2600"/>
    </row>
    <row r="24" spans="1:28" ht="13">
      <c r="A24" s="2797"/>
      <c r="B24" s="2661" t="s">
        <v>1504</v>
      </c>
      <c r="C24" s="2801"/>
      <c r="D24" s="2797" t="s">
        <v>1504</v>
      </c>
      <c r="E24" s="2802"/>
      <c r="F24" s="2823"/>
      <c r="G24" s="2824"/>
      <c r="H24" s="2824"/>
      <c r="I24" s="2824"/>
      <c r="J24" s="2600"/>
      <c r="K24" s="2779"/>
      <c r="L24" s="2635"/>
      <c r="M24" s="2772"/>
      <c r="N24" s="2668"/>
      <c r="O24" s="2612"/>
      <c r="P24" s="2668"/>
      <c r="Q24" s="2600"/>
      <c r="R24" s="2600"/>
      <c r="S24" s="2600"/>
      <c r="T24" s="2600"/>
      <c r="U24" s="2600"/>
      <c r="V24" s="2600"/>
    </row>
    <row r="25" spans="1:28" ht="13">
      <c r="A25" s="2797"/>
      <c r="B25" s="2661" t="s">
        <v>1505</v>
      </c>
      <c r="C25" s="2801"/>
      <c r="D25" s="2797" t="s">
        <v>1505</v>
      </c>
      <c r="E25" s="2802"/>
      <c r="F25" s="2823"/>
      <c r="G25" s="2824"/>
      <c r="H25" s="2824"/>
      <c r="I25" s="2824"/>
      <c r="J25" s="2600"/>
      <c r="K25" s="2775"/>
      <c r="L25" s="2772"/>
      <c r="M25" s="2772"/>
      <c r="N25" s="2668"/>
      <c r="O25" s="2612"/>
      <c r="P25" s="2668"/>
      <c r="Q25" s="2600"/>
      <c r="R25" s="2600"/>
      <c r="S25" s="2600"/>
      <c r="T25" s="2600"/>
      <c r="U25" s="2600"/>
      <c r="V25" s="2600"/>
    </row>
    <row r="26" spans="1:28" ht="13.5" thickBot="1">
      <c r="A26" s="2803"/>
      <c r="B26" s="2804" t="s">
        <v>1506</v>
      </c>
      <c r="C26" s="2805"/>
      <c r="D26" s="2803" t="s">
        <v>1506</v>
      </c>
      <c r="E26" s="2806"/>
      <c r="F26" s="2825"/>
      <c r="G26" s="2825"/>
      <c r="H26" s="2825"/>
      <c r="I26" s="2825"/>
      <c r="J26" s="2600"/>
      <c r="K26" s="2775"/>
      <c r="L26" s="2772"/>
      <c r="M26" s="2772"/>
      <c r="N26" s="2668"/>
      <c r="O26" s="2612"/>
      <c r="P26" s="2668"/>
      <c r="Q26" s="2600"/>
      <c r="R26" s="2600"/>
      <c r="S26" s="2600"/>
      <c r="T26" s="2600"/>
      <c r="U26" s="2600"/>
      <c r="V26" s="2600"/>
    </row>
    <row r="27" spans="1:28" ht="13.5" thickTop="1">
      <c r="A27" s="3360" t="s">
        <v>2715</v>
      </c>
      <c r="B27" s="316" t="s">
        <v>2716</v>
      </c>
      <c r="C27" s="2577"/>
      <c r="D27" s="2578"/>
      <c r="E27" s="2824"/>
      <c r="F27" s="2824"/>
      <c r="G27" s="2824"/>
      <c r="H27" s="2824"/>
      <c r="I27" s="2824"/>
      <c r="J27" s="2600"/>
      <c r="K27" s="2777"/>
      <c r="L27" s="2612"/>
      <c r="M27" s="2612"/>
      <c r="N27" s="2668"/>
      <c r="O27" s="2612"/>
      <c r="P27" s="2668"/>
      <c r="Q27" s="2600"/>
      <c r="R27" s="2600"/>
      <c r="S27" s="2600"/>
      <c r="T27" s="2600"/>
      <c r="U27" s="2600"/>
      <c r="V27" s="2600"/>
    </row>
    <row r="28" spans="1:28" ht="13">
      <c r="A28" s="3360"/>
      <c r="B28" s="298" t="s">
        <v>2717</v>
      </c>
      <c r="C28" s="2579"/>
      <c r="D28" s="2580"/>
      <c r="E28" s="2824"/>
      <c r="F28" s="2824"/>
      <c r="G28" s="2824"/>
      <c r="H28" s="2824"/>
      <c r="I28" s="2824"/>
      <c r="J28" s="2600"/>
      <c r="K28" s="2775"/>
      <c r="L28" s="2772"/>
      <c r="M28" s="2772"/>
      <c r="N28" s="2600"/>
      <c r="O28" s="2611"/>
      <c r="P28" s="2600"/>
      <c r="Q28" s="2600"/>
      <c r="R28" s="2600"/>
      <c r="S28" s="2600"/>
      <c r="T28" s="2600"/>
      <c r="U28" s="2600"/>
      <c r="V28" s="2600"/>
    </row>
    <row r="29" spans="1:28" ht="13">
      <c r="A29" s="3360"/>
      <c r="B29" s="298" t="s">
        <v>2718</v>
      </c>
      <c r="C29" s="2581"/>
      <c r="D29" s="2582"/>
      <c r="E29" s="2824"/>
      <c r="F29" s="2824"/>
      <c r="G29" s="2824"/>
      <c r="H29" s="2824"/>
      <c r="I29" s="2824"/>
      <c r="J29" s="2600"/>
      <c r="K29" s="2775"/>
      <c r="L29" s="2772"/>
      <c r="M29" s="2772"/>
      <c r="N29" s="2600"/>
      <c r="O29" s="2611"/>
      <c r="P29" s="2600"/>
      <c r="Q29" s="2600"/>
      <c r="R29" s="2600"/>
      <c r="S29" s="2600"/>
      <c r="T29" s="2600"/>
      <c r="U29" s="2600"/>
      <c r="V29" s="2600"/>
    </row>
    <row r="30" spans="1:28" ht="13">
      <c r="A30" s="3361"/>
      <c r="B30" s="298" t="s">
        <v>2719</v>
      </c>
      <c r="C30" s="3362"/>
      <c r="D30" s="3363"/>
      <c r="E30" s="2824"/>
      <c r="F30" s="2824"/>
      <c r="G30" s="2824"/>
      <c r="H30" s="2824"/>
      <c r="I30" s="2824"/>
      <c r="J30" s="2600"/>
      <c r="K30" s="2775"/>
      <c r="L30" s="2772"/>
      <c r="M30" s="2772"/>
      <c r="N30" s="2600"/>
      <c r="O30" s="2611"/>
      <c r="P30" s="2600"/>
      <c r="Q30" s="2600"/>
      <c r="R30" s="2600"/>
      <c r="S30" s="2600"/>
      <c r="T30" s="2600"/>
      <c r="U30" s="2600"/>
      <c r="V30" s="2600"/>
    </row>
    <row r="31" spans="1:28">
      <c r="A31" s="3364" t="s">
        <v>2720</v>
      </c>
      <c r="B31" s="2583"/>
      <c r="C31" s="2484" t="str">
        <f>IF(B31="现房","成新及维护状况正常否",IF(B31="在建","工程状态是否正常",IF(B31="土地","是否闲置","-")))</f>
        <v>-</v>
      </c>
      <c r="D31" s="1495"/>
      <c r="E31" s="2584"/>
      <c r="F31" s="2824"/>
      <c r="G31" s="2824"/>
      <c r="H31" s="2824"/>
      <c r="I31" s="2824"/>
      <c r="J31" s="2600"/>
      <c r="K31" s="2774"/>
      <c r="L31" s="2772"/>
      <c r="M31" s="2772"/>
      <c r="N31" s="2600"/>
      <c r="O31" s="2611"/>
      <c r="P31" s="2600"/>
      <c r="Q31" s="2600"/>
      <c r="R31" s="2600"/>
      <c r="S31" s="2600"/>
      <c r="T31" s="2600"/>
      <c r="U31" s="2600"/>
      <c r="V31" s="2600"/>
    </row>
    <row r="32" spans="1:28">
      <c r="A32" s="3365"/>
      <c r="B32" s="2583"/>
      <c r="C32" s="2484" t="str">
        <f>IF(B32="现房","成新及维护状况是否正常",IF(B32="在建","工程状态是否正常",IF(B32="土地","是否闲置","-")))</f>
        <v>-</v>
      </c>
      <c r="D32" s="1495"/>
      <c r="E32" s="2584"/>
      <c r="F32" s="2824"/>
      <c r="G32" s="2824"/>
      <c r="H32" s="2824"/>
      <c r="I32" s="2824"/>
      <c r="J32" s="2600"/>
      <c r="K32" s="2775"/>
      <c r="L32" s="2772"/>
      <c r="M32" s="2772"/>
      <c r="N32" s="2600"/>
      <c r="O32" s="2611"/>
      <c r="P32" s="2600"/>
      <c r="Q32" s="2600"/>
      <c r="R32" s="2600"/>
      <c r="S32" s="2600"/>
      <c r="T32" s="2600"/>
      <c r="U32" s="2600"/>
      <c r="V32" s="2600"/>
    </row>
    <row r="33" spans="1:30">
      <c r="A33" s="3365"/>
      <c r="B33" s="2586"/>
      <c r="C33" s="1713" t="str">
        <f>IF(B33="现房","成新及维护状况是否正常",IF(B33="在建","工程状态是否正常",IF(B33="土地","是否闲置","-")))</f>
        <v>-</v>
      </c>
      <c r="D33" s="1487"/>
      <c r="E33" s="2587"/>
      <c r="F33" s="2824"/>
      <c r="G33" s="2824"/>
      <c r="H33" s="2824"/>
      <c r="I33" s="2824"/>
      <c r="J33" s="2600"/>
      <c r="K33" s="2775"/>
      <c r="L33" s="2772"/>
      <c r="M33" s="2772"/>
      <c r="N33" s="2600"/>
      <c r="O33" s="2611"/>
      <c r="P33" s="2600"/>
      <c r="Q33" s="2600"/>
      <c r="R33" s="2600"/>
      <c r="S33" s="2600"/>
      <c r="T33" s="2600"/>
      <c r="U33" s="2600"/>
      <c r="V33" s="2600"/>
    </row>
    <row r="34" spans="1:30" ht="13">
      <c r="A34" s="298" t="s">
        <v>2721</v>
      </c>
      <c r="B34" s="2152"/>
      <c r="C34" s="2152"/>
      <c r="D34" s="2152"/>
      <c r="E34" s="2152"/>
      <c r="F34" s="2152"/>
      <c r="G34" s="2152"/>
      <c r="H34" s="2152"/>
      <c r="I34" s="2824"/>
      <c r="J34" s="2600"/>
      <c r="K34" s="2588">
        <f>COUNTIF(B34:H34,"——")</f>
        <v>0</v>
      </c>
      <c r="L34" s="319" t="s">
        <v>2722</v>
      </c>
      <c r="M34" s="319" t="s">
        <v>2723</v>
      </c>
      <c r="N34" s="319" t="s">
        <v>2724</v>
      </c>
      <c r="O34" s="319" t="s">
        <v>2725</v>
      </c>
      <c r="P34" s="319" t="s">
        <v>2726</v>
      </c>
      <c r="Q34" s="319" t="s">
        <v>2727</v>
      </c>
      <c r="R34" s="319" t="s">
        <v>2728</v>
      </c>
      <c r="S34" s="3359" t="s">
        <v>2729</v>
      </c>
      <c r="T34" s="2589" t="str">
        <f>NUMBERSTRING(7-K34,1)&amp;"通"</f>
        <v>七通</v>
      </c>
      <c r="U34" s="2600"/>
      <c r="V34" s="2600"/>
    </row>
    <row r="35" spans="1:30">
      <c r="A35" s="2590"/>
      <c r="B35" s="3366" t="s">
        <v>2730</v>
      </c>
      <c r="C35" s="3366"/>
      <c r="D35" s="3366"/>
      <c r="E35" s="3366"/>
      <c r="F35" s="663">
        <f>C10</f>
        <v>0</v>
      </c>
      <c r="G35" s="2824"/>
      <c r="H35" s="2824"/>
      <c r="I35" s="282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59"/>
      <c r="T35" s="325" t="str">
        <f>IF(T34="一通",L35,IF(T34="二通",M35,IF(T34="三通",N35,IF(T34="四通",O35,IF(T34="五通",P35,IF(T34="六通",Q35,R35))))))</f>
        <v>、、、、、、</v>
      </c>
      <c r="U35" s="2600"/>
      <c r="V35" s="2600"/>
    </row>
    <row r="36" spans="1:30" ht="13">
      <c r="A36" s="2591"/>
      <c r="B36" s="663" t="s">
        <v>2686</v>
      </c>
      <c r="C36" s="663" t="s">
        <v>2687</v>
      </c>
      <c r="D36" s="663" t="s">
        <v>2685</v>
      </c>
      <c r="E36" s="663" t="s">
        <v>2690</v>
      </c>
      <c r="F36" s="2829"/>
      <c r="G36" s="2824"/>
      <c r="H36" s="2824"/>
      <c r="I36" s="2824"/>
      <c r="J36" s="2600"/>
      <c r="K36" s="2775"/>
      <c r="L36" s="2772"/>
      <c r="M36" s="2772"/>
      <c r="N36" s="2600"/>
      <c r="O36" s="2611"/>
      <c r="P36" s="2600"/>
      <c r="Q36" s="2600"/>
      <c r="R36" s="2600"/>
      <c r="S36" s="2600"/>
      <c r="T36" s="2600"/>
      <c r="U36" s="2600"/>
      <c r="V36" s="2600"/>
    </row>
    <row r="37" spans="1:30" ht="13">
      <c r="A37" s="2790" t="s">
        <v>2731</v>
      </c>
      <c r="B37" s="3210" t="s">
        <v>137</v>
      </c>
      <c r="C37" s="3210" t="s">
        <v>137</v>
      </c>
      <c r="D37" s="3210" t="s">
        <v>137</v>
      </c>
      <c r="E37" s="2592"/>
      <c r="F37" s="2829"/>
      <c r="G37" s="2824"/>
      <c r="H37" s="2824"/>
      <c r="I37" s="2824"/>
      <c r="J37" s="2600"/>
      <c r="K37" s="2775"/>
      <c r="L37" s="2772"/>
      <c r="M37" s="2772"/>
      <c r="N37" s="2600"/>
      <c r="O37" s="2611"/>
      <c r="P37" s="2600"/>
      <c r="Q37" s="2600"/>
      <c r="R37" s="2600"/>
      <c r="S37" s="2600"/>
      <c r="T37" s="2600"/>
      <c r="U37" s="2600"/>
      <c r="V37" s="2600"/>
    </row>
    <row r="38" spans="1:30" ht="13.5" thickBot="1">
      <c r="A38" s="2791" t="s">
        <v>2732</v>
      </c>
      <c r="B38" s="3211" t="s">
        <v>215</v>
      </c>
      <c r="C38" s="3211" t="s">
        <v>215</v>
      </c>
      <c r="D38" s="3211" t="s">
        <v>215</v>
      </c>
      <c r="E38" s="2593"/>
      <c r="F38" s="2830"/>
      <c r="G38" s="2825"/>
      <c r="H38" s="2825"/>
      <c r="I38" s="2825"/>
      <c r="J38" s="2600"/>
      <c r="K38" s="2775"/>
      <c r="L38" s="2772"/>
      <c r="M38" s="2772"/>
      <c r="N38" s="2600"/>
      <c r="O38" s="2611"/>
      <c r="P38" s="2600"/>
      <c r="Q38" s="2600"/>
      <c r="R38" s="2600"/>
      <c r="S38" s="2600"/>
      <c r="T38" s="2600"/>
      <c r="U38" s="2600"/>
      <c r="V38" s="2600"/>
    </row>
    <row r="39" spans="1:30" s="2596" customFormat="1" ht="14" thickTop="1" thickBot="1">
      <c r="A39" s="2594" t="s">
        <v>2733</v>
      </c>
      <c r="B39" s="2595"/>
      <c r="C39" s="2595"/>
      <c r="D39" s="2595"/>
      <c r="E39" s="2595"/>
      <c r="F39" s="2595"/>
      <c r="G39" s="2595"/>
      <c r="H39" s="2595"/>
      <c r="I39" s="2595"/>
      <c r="J39" s="2782"/>
      <c r="K39" s="2783"/>
      <c r="L39" s="2782"/>
      <c r="M39" s="2782"/>
      <c r="N39" s="2782"/>
      <c r="O39" s="2784"/>
      <c r="P39" s="2782"/>
      <c r="Q39" s="2782"/>
      <c r="R39" s="2782"/>
      <c r="S39" s="2782"/>
      <c r="T39" s="2782"/>
      <c r="U39" s="2782"/>
      <c r="V39" s="2782"/>
      <c r="W39" s="2785"/>
      <c r="X39" s="2785"/>
      <c r="Y39" s="2785"/>
      <c r="Z39" s="2785"/>
      <c r="AA39" s="2785"/>
      <c r="AB39" s="2785"/>
      <c r="AC39" s="2785"/>
      <c r="AD39" s="2785"/>
    </row>
    <row r="40" spans="1:30">
      <c r="A40" s="2531"/>
      <c r="B40" s="2531"/>
      <c r="C40" s="2531"/>
      <c r="D40" s="2531"/>
      <c r="E40" s="2531"/>
      <c r="F40" s="2531"/>
      <c r="G40" s="2531"/>
      <c r="H40" s="2531"/>
      <c r="I40" s="1701"/>
      <c r="J40" s="2668"/>
      <c r="K40" s="2774"/>
      <c r="L40" s="2612"/>
      <c r="M40" s="2612"/>
      <c r="N40" s="2668"/>
      <c r="O40" s="2612"/>
      <c r="P40" s="2600"/>
      <c r="Q40" s="2600"/>
      <c r="R40" s="2600"/>
      <c r="S40" s="2600"/>
      <c r="T40" s="2600"/>
      <c r="U40" s="2600"/>
      <c r="V40" s="2600"/>
    </row>
    <row r="41" spans="1:30" ht="13">
      <c r="A41" s="2597" t="s">
        <v>2734</v>
      </c>
      <c r="B41" s="1881"/>
      <c r="C41" s="1495"/>
      <c r="D41" s="2531"/>
      <c r="E41" s="2531"/>
      <c r="F41" s="2531"/>
      <c r="G41" s="2531"/>
      <c r="H41" s="2531"/>
      <c r="I41" s="1699"/>
      <c r="J41" s="2600"/>
      <c r="K41" s="2775"/>
      <c r="L41" s="2772"/>
      <c r="M41" s="2772"/>
      <c r="N41" s="2600"/>
      <c r="O41" s="2611"/>
      <c r="P41" s="2600"/>
      <c r="Q41" s="2600"/>
      <c r="R41" s="2600"/>
      <c r="S41" s="2600"/>
      <c r="T41" s="2600"/>
      <c r="U41" s="2600"/>
      <c r="V41" s="2600"/>
    </row>
    <row r="42" spans="1:30" ht="26">
      <c r="A42" s="319" t="s">
        <v>2735</v>
      </c>
      <c r="B42" s="11" t="s">
        <v>2736</v>
      </c>
      <c r="C42" s="11" t="s">
        <v>2737</v>
      </c>
      <c r="D42" s="11" t="s">
        <v>2738</v>
      </c>
      <c r="E42" s="11" t="s">
        <v>2739</v>
      </c>
      <c r="F42" s="11" t="s">
        <v>2740</v>
      </c>
      <c r="G42" s="11" t="s">
        <v>2741</v>
      </c>
      <c r="H42" s="11" t="s">
        <v>2742</v>
      </c>
      <c r="I42" s="11" t="s">
        <v>2743</v>
      </c>
      <c r="J42" s="2786" t="s">
        <v>2744</v>
      </c>
      <c r="K42" s="2787" t="s">
        <v>2745</v>
      </c>
      <c r="L42" s="2787" t="s">
        <v>2746</v>
      </c>
      <c r="M42" s="2787" t="s">
        <v>2747</v>
      </c>
      <c r="N42" s="2780" t="s">
        <v>2748</v>
      </c>
      <c r="O42" s="2780" t="s">
        <v>2749</v>
      </c>
      <c r="P42" s="2780" t="s">
        <v>2750</v>
      </c>
      <c r="Q42" s="2781" t="s">
        <v>2751</v>
      </c>
      <c r="R42" s="2781" t="s">
        <v>2752</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90625" defaultRowHeight="14"/>
  <cols>
    <col min="1" max="1" width="10.6328125" style="1696" customWidth="1"/>
    <col min="2" max="2" width="11" style="1696" customWidth="1"/>
    <col min="3" max="3" width="10.36328125" style="1696" customWidth="1"/>
    <col min="4" max="4" width="9.08984375" style="1696" customWidth="1"/>
    <col min="5" max="6" width="10" style="1757" customWidth="1"/>
    <col min="7" max="8" width="10" style="1696" customWidth="1"/>
    <col min="9" max="9" width="10.6328125" style="1696" customWidth="1"/>
    <col min="10" max="10" width="9.453125" style="1696" customWidth="1"/>
    <col min="11" max="11" width="11" style="1696" customWidth="1"/>
    <col min="12" max="14" width="9.453125" style="1696" customWidth="1"/>
    <col min="15" max="16" width="9.90625" style="1696" customWidth="1"/>
    <col min="17" max="17" width="9.36328125" style="1696" customWidth="1"/>
    <col min="18" max="18" width="9.08984375" style="1696" customWidth="1"/>
    <col min="19" max="28" width="10.90625" style="1696" customWidth="1"/>
    <col min="29" max="29" width="11" style="1696" bestFit="1" customWidth="1"/>
    <col min="30" max="30" width="10" style="1696" bestFit="1" customWidth="1"/>
    <col min="31" max="31" width="9.90625" style="1696" customWidth="1"/>
    <col min="32" max="46" width="9.453125" style="1696" customWidth="1"/>
    <col min="47" max="47" width="18.08984375" style="1696" customWidth="1"/>
    <col min="48" max="50" width="9.90625" style="1696" customWidth="1"/>
    <col min="51" max="55" width="10.453125" style="1696" bestFit="1" customWidth="1"/>
    <col min="56" max="56" width="9.453125" style="1696" bestFit="1" customWidth="1"/>
    <col min="57" max="63" width="9.08984375" style="1696" bestFit="1" customWidth="1"/>
    <col min="64" max="64" width="9.453125" style="1696" bestFit="1" customWidth="1"/>
    <col min="65" max="65" width="9.08984375" style="1696" bestFit="1" customWidth="1"/>
    <col min="66" max="66" width="9.453125" style="1696" bestFit="1" customWidth="1"/>
    <col min="67" max="69" width="9.08984375" style="1696" bestFit="1" customWidth="1"/>
    <col min="70" max="70" width="9.453125" style="1696" bestFit="1" customWidth="1"/>
    <col min="71" max="71" width="9" style="1696" customWidth="1"/>
    <col min="72" max="72" width="9.08984375" style="1696" bestFit="1" customWidth="1"/>
    <col min="73" max="16384" width="8.90625" style="1696"/>
  </cols>
  <sheetData>
    <row r="1" spans="1:72" ht="21">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6">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3">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3">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3">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6">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6">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3">
      <c r="A9" s="1717"/>
      <c r="B9" s="1717"/>
      <c r="C9" s="1717"/>
      <c r="D9" s="1717"/>
      <c r="E9" s="1717"/>
      <c r="F9" s="1717"/>
      <c r="G9" s="1171"/>
      <c r="H9" s="1725" t="s">
        <v>1536</v>
      </c>
      <c r="I9" s="1726" t="s">
        <v>3182</v>
      </c>
      <c r="J9" s="887"/>
      <c r="K9" s="1726" t="s">
        <v>3184</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3">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3">
      <c r="A11" s="1717"/>
      <c r="B11" s="1717"/>
      <c r="C11" s="1717"/>
      <c r="D11" s="1717"/>
      <c r="E11" s="1717"/>
      <c r="F11" s="1717"/>
      <c r="G11" s="1171"/>
      <c r="H11" s="1734"/>
      <c r="I11" s="1737" t="s">
        <v>3183</v>
      </c>
      <c r="J11" s="1738"/>
      <c r="K11" s="1737" t="s">
        <v>3183</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3">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3">
      <c r="A13" s="1151"/>
      <c r="B13" s="1151"/>
      <c r="C13" s="3212" t="s">
        <v>3180</v>
      </c>
      <c r="D13" s="1748" t="s">
        <v>3181</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367" t="s">
        <v>0</v>
      </c>
      <c r="B1" s="3367" t="s">
        <v>4</v>
      </c>
      <c r="C1" s="3367" t="s">
        <v>5</v>
      </c>
      <c r="D1" s="3368" t="s">
        <v>53</v>
      </c>
      <c r="E1" s="3368" t="s">
        <v>54</v>
      </c>
      <c r="F1" s="3368"/>
      <c r="G1" s="3368"/>
      <c r="H1" s="3368"/>
      <c r="I1" s="3368"/>
      <c r="J1" s="3368"/>
      <c r="K1" s="3368"/>
      <c r="L1" s="3368"/>
      <c r="M1" s="3368"/>
    </row>
    <row r="2" spans="1:13" ht="27" customHeight="1">
      <c r="A2" s="3367"/>
      <c r="B2" s="3367"/>
      <c r="C2" s="3367"/>
      <c r="D2" s="3368"/>
      <c r="E2" s="3368" t="s">
        <v>37</v>
      </c>
      <c r="F2" s="3368" t="s">
        <v>38</v>
      </c>
      <c r="G2" s="3368"/>
      <c r="H2" s="3368"/>
      <c r="I2" s="3368"/>
      <c r="J2" s="3368" t="s">
        <v>39</v>
      </c>
      <c r="K2" s="3368"/>
      <c r="L2" s="3368"/>
      <c r="M2" s="3368"/>
    </row>
    <row r="3" spans="1:13" ht="45">
      <c r="A3" s="3367"/>
      <c r="B3" s="3367"/>
      <c r="C3" s="3367"/>
      <c r="D3" s="3368"/>
      <c r="E3" s="336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8" t="s">
        <v>55</v>
      </c>
      <c r="B9" s="3368"/>
      <c r="C9" s="33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11" sqref="L11"/>
    </sheetView>
  </sheetViews>
  <sheetFormatPr defaultColWidth="9.08984375" defaultRowHeight="14"/>
  <cols>
    <col min="1" max="1" width="12.08984375" style="1761" customWidth="1"/>
    <col min="2" max="2" width="10.08984375" style="1761" customWidth="1"/>
    <col min="3" max="3" width="18.453125" style="1761" customWidth="1"/>
    <col min="4" max="4" width="11.6328125" style="1761" customWidth="1"/>
    <col min="5" max="5" width="13.36328125" style="1761" customWidth="1"/>
    <col min="6" max="8" width="11.453125" style="1761" customWidth="1"/>
    <col min="9" max="9" width="11.08984375" style="1761" customWidth="1"/>
    <col min="10" max="10" width="3.08984375" style="2809" customWidth="1"/>
    <col min="11" max="16" width="10" style="1761" customWidth="1"/>
    <col min="17" max="17" width="2.6328125" style="1761" customWidth="1"/>
    <col min="18" max="18" width="9.36328125" style="1761" bestFit="1" customWidth="1"/>
    <col min="19" max="19" width="10.453125" style="1761" bestFit="1" customWidth="1"/>
    <col min="20" max="16384" width="9.08984375" style="1761"/>
  </cols>
  <sheetData>
    <row r="1" spans="1:16" ht="18.5" thickBot="1">
      <c r="A1" s="1760" t="s">
        <v>1575</v>
      </c>
      <c r="B1" s="1242"/>
      <c r="C1" s="1242"/>
      <c r="D1" s="1242"/>
      <c r="E1" s="1242"/>
      <c r="F1" s="1242"/>
      <c r="G1" s="1242"/>
      <c r="H1" s="1242"/>
      <c r="I1" s="1242"/>
      <c r="J1" s="1242"/>
      <c r="K1" s="1242"/>
      <c r="L1" s="1242"/>
      <c r="M1" s="1242"/>
      <c r="N1" s="1242"/>
      <c r="O1" s="1242"/>
      <c r="P1" s="1242"/>
    </row>
    <row r="2" spans="1:16">
      <c r="A2" s="3378" t="s">
        <v>1576</v>
      </c>
      <c r="B2" s="3378"/>
      <c r="C2" s="3378"/>
      <c r="D2" s="873" t="s">
        <v>1552</v>
      </c>
      <c r="E2" s="1762" t="s">
        <v>1553</v>
      </c>
      <c r="F2" s="2819"/>
      <c r="G2" s="2810"/>
      <c r="H2" s="2811"/>
      <c r="I2" s="2486" t="s">
        <v>1577</v>
      </c>
      <c r="J2" s="2819"/>
      <c r="K2" s="2819"/>
      <c r="L2" s="2819"/>
      <c r="M2" s="2819"/>
      <c r="N2" s="2821"/>
      <c r="O2" s="2819"/>
      <c r="P2" s="2819"/>
    </row>
    <row r="3" spans="1:16" ht="14.5" thickBot="1">
      <c r="A3" s="3379" t="s">
        <v>1550</v>
      </c>
      <c r="B3" s="3379"/>
      <c r="C3" s="3379"/>
      <c r="D3" s="46">
        <f>'数据-基础表'!AY6</f>
        <v>28178.74</v>
      </c>
      <c r="E3" s="46">
        <f>'数据-基础表'!AZ5</f>
        <v>98312.17</v>
      </c>
      <c r="F3" s="2819"/>
      <c r="G3" s="1248"/>
      <c r="H3" s="1126" t="s">
        <v>1551</v>
      </c>
      <c r="I3" s="933">
        <f>ROUND('数据-基础表'!B3/'数据-基础表'!A3,2)</f>
        <v>3.49</v>
      </c>
      <c r="J3" s="2819"/>
      <c r="K3" s="2819"/>
      <c r="L3" s="2819"/>
      <c r="M3" s="2819"/>
      <c r="N3" s="2821"/>
      <c r="O3" s="2819"/>
      <c r="P3" s="2819"/>
    </row>
    <row r="4" spans="1:16">
      <c r="A4" s="3380"/>
      <c r="B4" s="3381"/>
      <c r="C4" s="3382"/>
      <c r="D4" s="1764" t="s">
        <v>1552</v>
      </c>
      <c r="E4" s="1765" t="s">
        <v>1553</v>
      </c>
      <c r="F4" s="2819"/>
      <c r="G4" s="2812" t="s">
        <v>1578</v>
      </c>
      <c r="H4" s="1126" t="s">
        <v>1558</v>
      </c>
      <c r="I4" s="933">
        <f>ROUND(SUMIF('数据-基础表'!I9:AS9,"地上",'数据-基础表'!I5:AS5)/'数据-基础表'!A3,2)</f>
        <v>1.99</v>
      </c>
      <c r="J4" s="2819"/>
      <c r="K4" s="2819"/>
      <c r="L4" s="2819"/>
      <c r="M4" s="2819"/>
      <c r="N4" s="2821"/>
      <c r="O4" s="2819"/>
      <c r="P4" s="2819"/>
    </row>
    <row r="5" spans="1:16">
      <c r="A5" s="47" t="s">
        <v>1554</v>
      </c>
      <c r="B5" s="3383" t="s">
        <v>1555</v>
      </c>
      <c r="C5" s="3383"/>
      <c r="D5" s="48">
        <f>ROUND($D$3*E5/$E$3,2)</f>
        <v>0</v>
      </c>
      <c r="E5" s="49">
        <f>SUMIF('数据-基础表'!$11:$11,"住宅",'数据-基础表'!$5:$5)</f>
        <v>0</v>
      </c>
      <c r="F5" s="2819"/>
      <c r="G5" s="1248"/>
      <c r="H5" s="1126" t="s">
        <v>1551</v>
      </c>
      <c r="I5" s="933">
        <f>ROUND(E31/D31,2)</f>
        <v>3.49</v>
      </c>
      <c r="J5" s="2819"/>
      <c r="K5" s="2819"/>
      <c r="L5" s="2819"/>
      <c r="M5" s="2819"/>
      <c r="N5" s="2819"/>
      <c r="O5" s="2819"/>
      <c r="P5" s="2819"/>
    </row>
    <row r="6" spans="1:16" ht="14.5" thickBot="1">
      <c r="A6" s="1767"/>
      <c r="B6" s="3383" t="s">
        <v>1556</v>
      </c>
      <c r="C6" s="3383"/>
      <c r="D6" s="48">
        <f>ROUND($D$3*E6/$E$3,2)</f>
        <v>28178.74</v>
      </c>
      <c r="E6" s="49">
        <f>E3-E5</f>
        <v>98312.17</v>
      </c>
      <c r="F6" s="2819"/>
      <c r="G6" s="2813" t="s">
        <v>1557</v>
      </c>
      <c r="H6" s="1249" t="s">
        <v>1558</v>
      </c>
      <c r="I6" s="2814">
        <f>ROUND(F31/D31,2)</f>
        <v>1.99</v>
      </c>
      <c r="J6" s="2819"/>
      <c r="K6" s="2819"/>
      <c r="L6" s="2819"/>
      <c r="M6" s="2819"/>
      <c r="N6" s="2819"/>
      <c r="O6" s="2819"/>
      <c r="P6" s="2819"/>
    </row>
    <row r="7" spans="1:16" ht="14.5" thickBot="1">
      <c r="A7" s="3375"/>
      <c r="B7" s="3376"/>
      <c r="C7" s="3377"/>
      <c r="D7" s="1764" t="s">
        <v>1552</v>
      </c>
      <c r="E7" s="1768" t="s">
        <v>1559</v>
      </c>
      <c r="F7" s="2819"/>
      <c r="G7" s="2815" t="s">
        <v>1560</v>
      </c>
      <c r="H7" s="2816"/>
      <c r="I7" s="2817"/>
      <c r="J7" s="2819"/>
      <c r="K7" s="2819"/>
      <c r="L7" s="2819"/>
      <c r="M7" s="2819"/>
      <c r="N7" s="2819"/>
      <c r="O7" s="2819"/>
      <c r="P7" s="2819"/>
    </row>
    <row r="8" spans="1:16">
      <c r="A8" s="47" t="s">
        <v>1561</v>
      </c>
      <c r="B8" s="50" t="s">
        <v>1562</v>
      </c>
      <c r="C8" s="48" t="s">
        <v>1563</v>
      </c>
      <c r="D8" s="48">
        <f t="shared" ref="D8:D15" si="0">ROUND($D$3*E8/$E$3,2)</f>
        <v>16087.83</v>
      </c>
      <c r="E8" s="51">
        <f>SUMIF('数据-基础表'!BB10:BK10,"地上",'数据-基础表'!BB5:BK5)</f>
        <v>56128.46</v>
      </c>
      <c r="F8" s="2819"/>
      <c r="G8" s="2820"/>
      <c r="H8" s="2820"/>
      <c r="I8" s="2819"/>
      <c r="J8" s="2819"/>
      <c r="K8" s="2819"/>
      <c r="L8" s="2819"/>
      <c r="M8" s="2819"/>
      <c r="N8" s="2819"/>
      <c r="O8" s="2819"/>
      <c r="P8" s="2819"/>
    </row>
    <row r="9" spans="1:16">
      <c r="A9" s="1769"/>
      <c r="B9" s="1770"/>
      <c r="C9" s="48" t="s">
        <v>1564</v>
      </c>
      <c r="D9" s="48">
        <f t="shared" si="0"/>
        <v>0</v>
      </c>
      <c r="E9" s="52">
        <v>0</v>
      </c>
      <c r="F9" s="2819"/>
      <c r="G9" s="2820"/>
      <c r="H9" s="2820"/>
      <c r="I9" s="2819"/>
      <c r="J9" s="2819"/>
      <c r="K9" s="2819"/>
      <c r="L9" s="2819"/>
      <c r="M9" s="2819"/>
      <c r="N9" s="2819"/>
      <c r="O9" s="2819"/>
      <c r="P9" s="2819"/>
    </row>
    <row r="10" spans="1:16">
      <c r="A10" s="1769"/>
      <c r="B10" s="1770"/>
      <c r="C10" s="48" t="s">
        <v>1573</v>
      </c>
      <c r="D10" s="48">
        <f t="shared" si="0"/>
        <v>12090.91</v>
      </c>
      <c r="E10" s="51">
        <f>SUMPRODUCT(('数据-基础表'!BB10:BK10="地下")*('数据-基础表'!BB11:BK11="商业")*('数据-基础表'!BB5:BK5))</f>
        <v>42183.71</v>
      </c>
      <c r="F10" s="2819"/>
      <c r="G10" s="2820"/>
      <c r="H10" s="2820"/>
      <c r="I10" s="2819"/>
      <c r="J10" s="2819"/>
      <c r="K10" s="2819"/>
      <c r="L10" s="2819"/>
      <c r="M10" s="2819"/>
      <c r="N10" s="2819"/>
      <c r="O10" s="2819"/>
      <c r="P10" s="2819"/>
    </row>
    <row r="11" spans="1:16">
      <c r="A11" s="1769"/>
      <c r="B11" s="1770"/>
      <c r="C11" s="48" t="s">
        <v>1565</v>
      </c>
      <c r="D11" s="48">
        <f t="shared" si="0"/>
        <v>0</v>
      </c>
      <c r="E11" s="51">
        <f>SUMPRODUCT(('数据-基础表'!BB10:BK10="地下")*('数据-基础表'!BB11:BK11="办公")*('数据-基础表'!BB5:BK5))+'数据-基础表'!BP5</f>
        <v>0</v>
      </c>
      <c r="F11" s="2819"/>
      <c r="G11" s="2820"/>
      <c r="H11" s="2820"/>
      <c r="I11" s="2819"/>
      <c r="J11" s="2819"/>
      <c r="K11" s="2819"/>
      <c r="L11" s="2819"/>
      <c r="M11" s="2819"/>
      <c r="N11" s="2819"/>
      <c r="O11" s="2819"/>
      <c r="P11" s="2819"/>
    </row>
    <row r="12" spans="1:16">
      <c r="A12" s="1769"/>
      <c r="B12" s="1770"/>
      <c r="C12" s="48" t="s">
        <v>1566</v>
      </c>
      <c r="D12" s="48">
        <f t="shared" si="0"/>
        <v>0</v>
      </c>
      <c r="E12" s="51">
        <f>SUMPRODUCT(('数据-基础表'!BB10:BK10="地下")*('数据-基础表'!BB11:BK11="仓储")*('数据-基础表'!BB5:BK5))</f>
        <v>0</v>
      </c>
      <c r="F12" s="2819"/>
      <c r="G12" s="2820"/>
      <c r="H12" s="2820"/>
      <c r="I12" s="2819"/>
      <c r="J12" s="2819"/>
      <c r="K12" s="2819"/>
      <c r="L12" s="2819"/>
      <c r="M12" s="2819"/>
      <c r="N12" s="2819"/>
      <c r="O12" s="2819"/>
      <c r="P12" s="2819"/>
    </row>
    <row r="13" spans="1:16">
      <c r="A13" s="1769"/>
      <c r="B13" s="1770"/>
      <c r="C13" s="48" t="s">
        <v>1567</v>
      </c>
      <c r="D13" s="48">
        <f t="shared" si="0"/>
        <v>0</v>
      </c>
      <c r="E13" s="51">
        <f>SUMPRODUCT(('数据-基础表'!BB10:BK10="地下")*('数据-基础表'!BB11:BK11="车库")*('数据-基础表'!BB5:BK5))</f>
        <v>0</v>
      </c>
      <c r="F13" s="2819"/>
      <c r="G13" s="2820"/>
      <c r="H13" s="2820"/>
      <c r="I13" s="2819"/>
      <c r="J13" s="2819"/>
      <c r="K13" s="2819"/>
      <c r="L13" s="2819"/>
      <c r="M13" s="2819"/>
      <c r="N13" s="2819"/>
      <c r="O13" s="2819"/>
      <c r="P13" s="2819"/>
    </row>
    <row r="14" spans="1:16">
      <c r="A14" s="1769"/>
      <c r="B14" s="1770"/>
      <c r="C14" s="48" t="s">
        <v>1579</v>
      </c>
      <c r="D14" s="48">
        <f t="shared" si="0"/>
        <v>0</v>
      </c>
      <c r="E14" s="51">
        <f>SUMPRODUCT(('数据-基础表'!BB10:BK10="地下")*('数据-基础表'!BB11:BK11="车库—商业")*('数据-基础表'!BB5:BK5))</f>
        <v>0</v>
      </c>
      <c r="F14" s="2819"/>
      <c r="G14" s="2820"/>
      <c r="H14" s="2820"/>
      <c r="I14" s="2819"/>
      <c r="J14" s="2819"/>
      <c r="K14" s="2819"/>
      <c r="L14" s="2819"/>
      <c r="M14" s="2819"/>
      <c r="N14" s="2819"/>
      <c r="O14" s="2819"/>
      <c r="P14" s="2819"/>
    </row>
    <row r="15" spans="1:16" ht="14.5" thickBot="1">
      <c r="A15" s="1769"/>
      <c r="B15" s="1770"/>
      <c r="C15" s="48" t="s">
        <v>1574</v>
      </c>
      <c r="D15" s="48">
        <f t="shared" si="0"/>
        <v>0</v>
      </c>
      <c r="E15" s="51">
        <f>SUMPRODUCT(('数据-基础表'!BB10:BK10="地下")*('数据-基础表'!BB11:BK11="车库—办公")*('数据-基础表'!BB5:BK5))</f>
        <v>0</v>
      </c>
      <c r="F15" s="2819"/>
      <c r="G15" s="2820"/>
      <c r="H15" s="2820"/>
      <c r="I15" s="2819"/>
      <c r="J15" s="2819"/>
      <c r="K15" s="2819"/>
      <c r="L15" s="2819"/>
      <c r="M15" s="2819"/>
      <c r="N15" s="2819"/>
      <c r="O15" s="2819"/>
      <c r="P15" s="2819"/>
    </row>
    <row r="16" spans="1:16" ht="14.5" thickBot="1">
      <c r="A16" s="1767"/>
      <c r="B16" s="1770"/>
      <c r="C16" s="50" t="s">
        <v>1568</v>
      </c>
      <c r="D16" s="50">
        <f>SUM(D8:D15)</f>
        <v>28178.739999999998</v>
      </c>
      <c r="E16" s="53">
        <f>SUM(E8:E15)</f>
        <v>98312.17</v>
      </c>
      <c r="F16" s="2819"/>
      <c r="G16" s="2820"/>
      <c r="H16" s="1771" t="s">
        <v>1580</v>
      </c>
      <c r="I16" s="1772"/>
      <c r="J16" s="1242"/>
      <c r="K16" s="3372" t="s">
        <v>1580</v>
      </c>
      <c r="L16" s="3373"/>
      <c r="M16" s="3373"/>
      <c r="N16" s="3373"/>
      <c r="O16" s="3373"/>
      <c r="P16" s="3374"/>
    </row>
    <row r="17" spans="1:19">
      <c r="A17" s="1773" t="s">
        <v>1581</v>
      </c>
      <c r="B17" s="1774" t="s">
        <v>1582</v>
      </c>
      <c r="C17" s="1775" t="s">
        <v>1583</v>
      </c>
      <c r="D17" s="1776" t="s">
        <v>1571</v>
      </c>
      <c r="E17" s="1777" t="s">
        <v>1572</v>
      </c>
      <c r="F17" s="1778"/>
      <c r="G17" s="1779"/>
      <c r="H17" s="1780" t="s">
        <v>1584</v>
      </c>
      <c r="I17" s="1781" t="s">
        <v>1569</v>
      </c>
      <c r="J17" s="1242"/>
      <c r="K17" s="3369" t="s">
        <v>1585</v>
      </c>
      <c r="L17" s="3370"/>
      <c r="M17" s="3371"/>
      <c r="N17" s="3369" t="s">
        <v>1586</v>
      </c>
      <c r="O17" s="3370"/>
      <c r="P17" s="3371"/>
      <c r="R17" s="1763" t="s">
        <v>1587</v>
      </c>
      <c r="S17" s="60"/>
    </row>
    <row r="18" spans="1:19">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213" t="s">
        <v>3180</v>
      </c>
      <c r="D19" s="48">
        <f>ROUND($D$3*E19/$E$3,2)</f>
        <v>28178.74</v>
      </c>
      <c r="E19" s="56">
        <f t="shared" ref="E19:E26" si="1">SUM(F19:G19)</f>
        <v>98312.17</v>
      </c>
      <c r="F19" s="321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c r="A20" s="1794"/>
      <c r="B20" s="50" t="s">
        <v>1598</v>
      </c>
      <c r="C20" s="1791"/>
      <c r="D20" s="48">
        <f t="shared" ref="D20:D26" si="6">ROUND($D$3*E20/$E$3,2)</f>
        <v>0</v>
      </c>
      <c r="E20" s="56">
        <f t="shared" si="1"/>
        <v>0</v>
      </c>
      <c r="F20" s="2958"/>
      <c r="G20" s="295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58"/>
      <c r="G21" s="295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60"/>
      <c r="G22" s="296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60"/>
      <c r="G23" s="296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60"/>
      <c r="G24" s="296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4.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c r="A28" s="1794"/>
      <c r="B28" s="50" t="s">
        <v>1600</v>
      </c>
      <c r="C28" s="1138" t="s">
        <v>1601</v>
      </c>
      <c r="D28" s="48">
        <f>ROUND($D$3*E28/$E$3,2)</f>
        <v>0</v>
      </c>
      <c r="E28" s="56">
        <f>SUM(F28:G28)</f>
        <v>0</v>
      </c>
      <c r="F28" s="60">
        <f>'数据-基础表'!BQ5+'数据-基础表'!BS5</f>
        <v>0</v>
      </c>
      <c r="G28" s="61">
        <f>'数据-基础表'!BR5+'数据-基础表'!BT5</f>
        <v>0</v>
      </c>
      <c r="H28" s="2819"/>
      <c r="I28" s="2819"/>
      <c r="J28" s="2819"/>
      <c r="K28" s="2819"/>
      <c r="L28" s="2819"/>
      <c r="M28" s="2819"/>
      <c r="N28" s="2819"/>
      <c r="O28" s="2819"/>
      <c r="P28" s="2819"/>
    </row>
    <row r="29" spans="1:19">
      <c r="A29" s="1794"/>
      <c r="B29" s="50" t="s">
        <v>1600</v>
      </c>
      <c r="C29" s="1798" t="s">
        <v>1602</v>
      </c>
      <c r="D29" s="48">
        <f>ROUND($D$3*E29/$E$3,2)</f>
        <v>0</v>
      </c>
      <c r="E29" s="56">
        <f>SUM(F29:G29)</f>
        <v>0</v>
      </c>
      <c r="F29" s="62">
        <f>'数据-基础表'!BM5+'数据-基础表'!BO5</f>
        <v>0</v>
      </c>
      <c r="G29" s="63">
        <f>'数据-基础表'!BN5+'数据-基础表'!BP5</f>
        <v>0</v>
      </c>
      <c r="H29" s="2819"/>
      <c r="I29" s="2819"/>
      <c r="J29" s="2819"/>
      <c r="K29" s="2819"/>
      <c r="L29" s="2819"/>
      <c r="M29" s="2819"/>
      <c r="N29" s="2819"/>
      <c r="O29" s="2819"/>
      <c r="P29" s="2819"/>
    </row>
    <row r="30" spans="1:19">
      <c r="A30" s="1794"/>
      <c r="B30" s="50"/>
      <c r="C30" s="1799" t="s">
        <v>1599</v>
      </c>
      <c r="D30" s="1243">
        <f>SUM(D28:D29)</f>
        <v>0</v>
      </c>
      <c r="E30" s="1243">
        <f>SUM(E28:E29)</f>
        <v>0</v>
      </c>
      <c r="F30" s="1243">
        <f>SUM(F28:F29)</f>
        <v>0</v>
      </c>
      <c r="G30" s="1245">
        <f>SUM(G28:G29)</f>
        <v>0</v>
      </c>
      <c r="H30" s="2819"/>
      <c r="I30" s="2819"/>
      <c r="J30" s="2819"/>
      <c r="K30" s="2819"/>
      <c r="L30" s="2819"/>
      <c r="M30" s="2819"/>
      <c r="N30" s="2819"/>
      <c r="O30" s="2819"/>
      <c r="P30" s="2819"/>
    </row>
    <row r="31" spans="1:19" ht="14.5" thickBot="1">
      <c r="A31" s="1800"/>
      <c r="B31" s="1801"/>
      <c r="C31" s="913" t="s">
        <v>1603</v>
      </c>
      <c r="D31" s="673">
        <f>D27+D30</f>
        <v>28178.74</v>
      </c>
      <c r="E31" s="673">
        <f>E27+E30</f>
        <v>98312.17</v>
      </c>
      <c r="F31" s="674">
        <f>F27+F30</f>
        <v>56128.46</v>
      </c>
      <c r="G31" s="675">
        <f>G27+G30</f>
        <v>42183.71</v>
      </c>
      <c r="H31" s="2819"/>
      <c r="I31" s="2819"/>
      <c r="J31" s="2819"/>
      <c r="K31" s="2819"/>
      <c r="L31" s="2819"/>
      <c r="M31" s="2819"/>
      <c r="N31" s="2819"/>
      <c r="O31" s="2819"/>
      <c r="P31" s="2819"/>
    </row>
    <row r="32" spans="1:19">
      <c r="A32" s="1766"/>
      <c r="B32" s="1766" t="s">
        <v>1604</v>
      </c>
      <c r="C32" s="1766"/>
      <c r="D32" s="1766"/>
      <c r="E32" s="1153">
        <f>SUMIF(C19:C26,"*住宅*",E19:E26)</f>
        <v>0</v>
      </c>
      <c r="F32" s="1766"/>
      <c r="G32" s="1766"/>
      <c r="H32" s="2819"/>
      <c r="I32" s="2819"/>
      <c r="J32" s="2819"/>
      <c r="K32" s="2819"/>
      <c r="L32" s="2819"/>
      <c r="M32" s="2819"/>
      <c r="N32" s="2819"/>
      <c r="O32" s="2819"/>
      <c r="P32" s="281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10" sqref="I10"/>
    </sheetView>
  </sheetViews>
  <sheetFormatPr defaultColWidth="13.90625" defaultRowHeight="12.5"/>
  <cols>
    <col min="1" max="1" width="20.90625" style="1869" customWidth="1"/>
    <col min="2" max="2" width="12" style="1806" customWidth="1"/>
    <col min="3" max="3" width="12.90625" style="1806" customWidth="1"/>
    <col min="4" max="4" width="9.08984375" style="1870" customWidth="1"/>
    <col min="5" max="5" width="15" style="1806" bestFit="1" customWidth="1"/>
    <col min="6" max="10" width="8.90625" style="1806" customWidth="1"/>
    <col min="11" max="12" width="12.36328125" style="1724" customWidth="1"/>
    <col min="13" max="13" width="8.6328125" style="1806" customWidth="1"/>
    <col min="14" max="14" width="11.90625" style="1806" customWidth="1"/>
    <col min="15" max="15" width="8.453125" style="1806" customWidth="1"/>
    <col min="16" max="17" width="10.90625" style="1806" customWidth="1"/>
    <col min="18" max="19" width="12.453125" style="1806" customWidth="1"/>
    <col min="20" max="20" width="12.08984375" style="1806" customWidth="1"/>
    <col min="21" max="21" width="7.453125" style="1806" customWidth="1"/>
    <col min="22" max="22" width="6.36328125" style="1806" customWidth="1"/>
    <col min="23" max="30" width="6.90625" style="1806" customWidth="1"/>
    <col min="31" max="31" width="8" style="1806" customWidth="1"/>
    <col min="32" max="34" width="7.08984375" style="1806" customWidth="1"/>
    <col min="35" max="39" width="8" style="1806" customWidth="1"/>
    <col min="40" max="40" width="13.90625" style="1805"/>
    <col min="41" max="41" width="11.6328125" style="1805" customWidth="1"/>
    <col min="42" max="42" width="9.90625" style="1805" customWidth="1"/>
    <col min="43" max="67" width="13.90625" style="1805"/>
    <col min="68" max="16384" width="13.90625" style="1806"/>
  </cols>
  <sheetData>
    <row r="1" spans="1:67" ht="18"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32"/>
      <c r="AO1" s="2832"/>
      <c r="AP1" s="2832"/>
      <c r="AQ1" s="2832"/>
      <c r="AR1" s="2832"/>
    </row>
    <row r="2" spans="1:67" s="1682" customFormat="1" ht="1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4.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4.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81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56.5">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3185</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
      <c r="A6" s="1836" t="str">
        <f>'数据-汇总表'!C19</f>
        <v>酒店</v>
      </c>
      <c r="B6" s="1837" t="str">
        <f>IF(A6=0,"","经营性")</f>
        <v>经营性</v>
      </c>
      <c r="C6" s="321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216">
        <v>0.05</v>
      </c>
      <c r="I6" s="3216">
        <v>5.5E-2</v>
      </c>
      <c r="J6" s="3217">
        <v>7.0000000000000007E-2</v>
      </c>
      <c r="K6" s="1130">
        <f>SUMIF('数据-汇总表'!C$19:C$33,A6,'数据-汇总表'!E$19:E$33)</f>
        <v>98312.17</v>
      </c>
      <c r="L6" s="3218">
        <v>7500</v>
      </c>
      <c r="M6" s="71">
        <f t="shared" ref="M6:M14" si="0">ROUND(K6*L6/10000,0)</f>
        <v>73734</v>
      </c>
      <c r="N6" s="3219">
        <f>N24</f>
        <v>0.81</v>
      </c>
      <c r="O6" s="71" t="str">
        <f>IF($N$5="成新度","——",ROUND(M6*N6,0))</f>
        <v>——</v>
      </c>
      <c r="P6" s="72" t="str">
        <f>IF($N$5="成新度","——",M6-O6)</f>
        <v>——</v>
      </c>
      <c r="Q6" s="322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8">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4.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4.5" thickBot="1">
      <c r="A18" s="64" t="s">
        <v>1655</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
      <c r="A19" s="1846" t="s">
        <v>1656</v>
      </c>
      <c r="B19" s="3225">
        <v>0</v>
      </c>
      <c r="C19" s="2962" t="s">
        <v>2802</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
      <c r="A20" s="1847" t="s">
        <v>1657</v>
      </c>
      <c r="B20" s="3226">
        <v>3</v>
      </c>
      <c r="C20" s="2963" t="s">
        <v>2800</v>
      </c>
      <c r="D20" s="2837"/>
      <c r="E20" s="2834"/>
      <c r="F20" s="2834"/>
      <c r="G20" s="2834"/>
      <c r="H20" s="2834"/>
      <c r="I20" s="2834"/>
      <c r="J20" s="2834"/>
      <c r="K20" s="2833"/>
      <c r="L20" s="2833"/>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row>
    <row r="21" spans="1:67" ht="14">
      <c r="A21" s="1848" t="s">
        <v>1658</v>
      </c>
      <c r="B21" s="3226">
        <f>B20</f>
        <v>3</v>
      </c>
      <c r="C21" s="2834"/>
      <c r="D21" s="2837"/>
      <c r="E21" s="2834"/>
      <c r="F21" s="2834"/>
      <c r="G21" s="2834"/>
      <c r="H21" s="2834"/>
      <c r="I21" s="2834"/>
      <c r="J21" s="2834"/>
      <c r="K21" s="2833"/>
      <c r="L21" s="2833"/>
      <c r="M21" s="2832"/>
      <c r="N21" s="3220">
        <v>2002</v>
      </c>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row>
    <row r="22" spans="1:67" ht="14">
      <c r="A22" s="1847" t="s">
        <v>1659</v>
      </c>
      <c r="B22" s="108">
        <f>B19+B20</f>
        <v>3</v>
      </c>
      <c r="C22" s="2834"/>
      <c r="D22" s="2837"/>
      <c r="E22" s="2834"/>
      <c r="F22" s="2834"/>
      <c r="G22" s="2834"/>
      <c r="H22" s="2834"/>
      <c r="I22" s="2834"/>
      <c r="J22" s="2834"/>
      <c r="K22" s="2833"/>
      <c r="L22" s="2833"/>
      <c r="M22" s="2832"/>
      <c r="N22" s="3221">
        <f>1-(2022-2002)/60</f>
        <v>0.66666666666666674</v>
      </c>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row>
    <row r="23" spans="1:67" ht="14">
      <c r="A23" s="1848" t="s">
        <v>1660</v>
      </c>
      <c r="B23" s="108">
        <f>B19+B21</f>
        <v>3</v>
      </c>
      <c r="C23" s="2834"/>
      <c r="D23" s="2837"/>
      <c r="E23" s="2834"/>
      <c r="F23" s="2834"/>
      <c r="G23" s="2834"/>
      <c r="H23" s="2834"/>
      <c r="I23" s="2834"/>
      <c r="J23" s="2834"/>
      <c r="K23" s="2833"/>
      <c r="L23" s="2833"/>
      <c r="M23" s="2832"/>
      <c r="N23" s="3222">
        <v>0.95</v>
      </c>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4.5" thickBot="1">
      <c r="A24" s="1849" t="s">
        <v>1661</v>
      </c>
      <c r="B24" s="109">
        <f>B20-B21</f>
        <v>0</v>
      </c>
      <c r="C24" s="2834"/>
      <c r="D24" s="2837"/>
      <c r="E24" s="2834"/>
      <c r="F24" s="2834"/>
      <c r="G24" s="2834"/>
      <c r="H24" s="2834"/>
      <c r="I24" s="2834"/>
      <c r="J24" s="2834"/>
      <c r="K24" s="2833"/>
      <c r="L24" s="2833"/>
      <c r="M24" s="2832"/>
      <c r="N24" s="3223">
        <f>ROUND((N22+N23)/2,2)</f>
        <v>0.81</v>
      </c>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4.5" thickBot="1">
      <c r="A25" s="1680"/>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4.5" thickBot="1">
      <c r="A26" s="1807" t="s">
        <v>1662</v>
      </c>
      <c r="B26" s="1850" t="s">
        <v>1663</v>
      </c>
      <c r="C26" s="2838" t="s">
        <v>1664</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8.5">
      <c r="A27" s="1851" t="s">
        <v>1665</v>
      </c>
      <c r="B27" s="3227">
        <v>160</v>
      </c>
      <c r="C27" s="2964" t="s">
        <v>2804</v>
      </c>
      <c r="D27" s="2840"/>
      <c r="E27" s="2821"/>
      <c r="F27" s="2821"/>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8.5">
      <c r="A28" s="1853" t="s">
        <v>1666</v>
      </c>
      <c r="B28" s="3228">
        <v>200</v>
      </c>
      <c r="C28" s="2841"/>
      <c r="D28" s="2840"/>
      <c r="E28" s="2821"/>
      <c r="F28" s="2821"/>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9" thickBot="1">
      <c r="A29" s="1854" t="s">
        <v>1667</v>
      </c>
      <c r="B29" s="3229">
        <f>[1]成本法!C10</f>
        <v>1966</v>
      </c>
      <c r="C29" s="2965" t="s">
        <v>2791</v>
      </c>
      <c r="D29" s="2840"/>
      <c r="E29" s="2821"/>
      <c r="F29" s="2821"/>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8">
      <c r="A30" s="1855" t="s">
        <v>1668</v>
      </c>
      <c r="B30" s="3230">
        <v>200</v>
      </c>
      <c r="C30" s="2841"/>
      <c r="D30" s="2840"/>
      <c r="E30" s="2821"/>
      <c r="F30" s="2821"/>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8">
      <c r="A31" s="1853" t="s">
        <v>1669</v>
      </c>
      <c r="B31" s="112">
        <f>B30-B32</f>
        <v>200</v>
      </c>
      <c r="C31" s="2839"/>
      <c r="D31" s="2840"/>
      <c r="E31" s="2821"/>
      <c r="F31" s="2821"/>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8.5" thickBot="1">
      <c r="A32" s="1856" t="s">
        <v>1670</v>
      </c>
      <c r="B32" s="670"/>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
      <c r="A33" s="1851" t="s">
        <v>1671</v>
      </c>
      <c r="B33" s="3231">
        <v>0.05</v>
      </c>
      <c r="C33" s="2966" t="s">
        <v>2792</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
      <c r="A34" s="1853" t="s">
        <v>1672</v>
      </c>
      <c r="B34" s="738"/>
      <c r="C34" s="2966" t="s">
        <v>2793</v>
      </c>
      <c r="D34" s="2845" t="s">
        <v>2801</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
      <c r="A35" s="1853" t="s">
        <v>1673</v>
      </c>
      <c r="B35" s="3228">
        <v>200</v>
      </c>
      <c r="C35" s="2966" t="s">
        <v>2794</v>
      </c>
      <c r="D35" s="2840"/>
      <c r="E35" s="2821"/>
      <c r="F35" s="2821"/>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4.5" thickBot="1">
      <c r="A36" s="1854" t="s">
        <v>1674</v>
      </c>
      <c r="B36" s="3232">
        <v>1.4999999999999999E-2</v>
      </c>
      <c r="C36" s="2966" t="s">
        <v>2795</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
      <c r="A37" s="1855" t="s">
        <v>1675</v>
      </c>
      <c r="B37" s="3233">
        <v>0.03</v>
      </c>
      <c r="C37" s="2966" t="s">
        <v>2796</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
      <c r="A38" s="1853" t="s">
        <v>1676</v>
      </c>
      <c r="B38" s="738">
        <v>0.02</v>
      </c>
      <c r="C38" s="2966" t="s">
        <v>2796</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
      <c r="A39" s="1856" t="s">
        <v>1677</v>
      </c>
      <c r="B39" s="313">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28.5" thickBot="1">
      <c r="A40" s="2978" t="s">
        <v>3365</v>
      </c>
      <c r="B40" s="1179">
        <f ca="1">IF(A40="利息：取LPR",存贷款利率!G1,存贷款利率!G1+C40)</f>
        <v>4.2000000000000003E-2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5">
      <c r="A41" s="1851" t="s">
        <v>1678</v>
      </c>
      <c r="B41" s="113">
        <f>B42+B43</f>
        <v>5.6000000000000001E-2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
      <c r="A42" s="1857" t="s">
        <v>1679</v>
      </c>
      <c r="B42" s="11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
      <c r="A43" s="1857" t="s">
        <v>1680</v>
      </c>
      <c r="B43" s="115">
        <f>B42*(B44+B45+B46)+B47</f>
        <v>6.000000000000001E-3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
      <c r="A44" s="1858" t="s">
        <v>1681</v>
      </c>
      <c r="B44" s="116">
        <v>7.0000000000000007E-2</v>
      </c>
      <c r="C44" s="2966" t="s">
        <v>2805</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
      <c r="A45" s="1858" t="s">
        <v>1682</v>
      </c>
      <c r="B45" s="3234">
        <v>0.03</v>
      </c>
      <c r="C45" s="2965" t="s">
        <v>2797</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
      <c r="A46" s="1858" t="s">
        <v>1683</v>
      </c>
      <c r="B46" s="3234">
        <v>0.02</v>
      </c>
      <c r="C46" s="2965" t="s">
        <v>2798</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4.5" thickBot="1">
      <c r="A47" s="1859" t="s">
        <v>1684</v>
      </c>
      <c r="B47" s="3235"/>
      <c r="C47" s="2968" t="s">
        <v>2806</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
      <c r="A48" s="1860" t="s">
        <v>1685</v>
      </c>
      <c r="B48" s="3236">
        <v>0.03</v>
      </c>
      <c r="C48" s="2965" t="s">
        <v>2797</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4.5" thickBot="1">
      <c r="A49" s="1856" t="s">
        <v>1686</v>
      </c>
      <c r="B49" s="3234">
        <v>5.0000000000000001E-4</v>
      </c>
      <c r="C49" s="2965" t="s">
        <v>2799</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5">
      <c r="A50" s="1861" t="s">
        <v>1687</v>
      </c>
      <c r="B50" s="117">
        <v>1.2E-2</v>
      </c>
      <c r="C50" s="2821"/>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1688</v>
      </c>
      <c r="B51" s="118">
        <v>0.12</v>
      </c>
      <c r="C51" s="2821"/>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
      <c r="A52" s="1861" t="s">
        <v>1689</v>
      </c>
      <c r="B52" s="119">
        <f>SUMIF(A54:A63,B53,B54:B63)</f>
        <v>12</v>
      </c>
      <c r="C52" s="2821"/>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8">
      <c r="A53" s="1853" t="s">
        <v>1690</v>
      </c>
      <c r="B53" s="1862" t="s">
        <v>137</v>
      </c>
      <c r="C53" s="2821" t="s">
        <v>1691</v>
      </c>
      <c r="D53" s="2967" t="s">
        <v>2803</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
      <c r="A54" s="1863" t="s">
        <v>1692</v>
      </c>
      <c r="B54" s="80">
        <v>30</v>
      </c>
      <c r="C54" s="2821">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
      <c r="A55" s="1863" t="s">
        <v>1693</v>
      </c>
      <c r="B55" s="80">
        <v>24</v>
      </c>
      <c r="C55" s="2821">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
      <c r="A56" s="1863" t="s">
        <v>1694</v>
      </c>
      <c r="B56" s="80">
        <v>18</v>
      </c>
      <c r="C56" s="2821">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
      <c r="A57" s="1863" t="s">
        <v>1695</v>
      </c>
      <c r="B57" s="80">
        <v>12</v>
      </c>
      <c r="C57" s="2821">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
      <c r="A58" s="1863" t="s">
        <v>1696</v>
      </c>
      <c r="B58" s="80">
        <v>3</v>
      </c>
      <c r="C58" s="2821">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
      <c r="A59" s="1863" t="s">
        <v>1697</v>
      </c>
      <c r="B59" s="80">
        <v>1.5</v>
      </c>
      <c r="C59" s="2821">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
      <c r="A60" s="1863" t="s">
        <v>1698</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
      <c r="A61" s="1863" t="s">
        <v>1699</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
      <c r="A62" s="1863" t="s">
        <v>1700</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4.5" thickBot="1">
      <c r="A63" s="1864" t="s">
        <v>1701</v>
      </c>
      <c r="B63" s="120"/>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4"/>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4"/>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4"/>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4"/>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4"/>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
  <cols>
    <col min="1" max="1" width="9.453125" style="1810" customWidth="1"/>
    <col min="2" max="2" width="24.453125" style="1695" customWidth="1"/>
    <col min="3" max="3" width="24.453125" style="2669" customWidth="1"/>
    <col min="4" max="4" width="2.6328125" style="2669" customWidth="1"/>
    <col min="5" max="5" width="5.90625" style="2669" customWidth="1"/>
    <col min="6" max="6" width="27" style="1695" customWidth="1"/>
    <col min="7" max="7" width="27" style="2670" customWidth="1"/>
    <col min="8" max="8" width="11.90625" style="2650" customWidth="1"/>
    <col min="9" max="9" width="16.90625" style="2651" customWidth="1"/>
    <col min="10" max="10" width="2.6328125" style="2650" customWidth="1"/>
    <col min="11" max="11" width="11.90625" style="2650" customWidth="1"/>
    <col min="12" max="12" width="16.90625" style="2651" customWidth="1"/>
    <col min="13" max="13" width="2.6328125" style="2650" customWidth="1"/>
    <col min="14" max="14" width="11.90625" style="2650" customWidth="1"/>
    <col min="15" max="15" width="16.90625" style="2651" customWidth="1"/>
    <col min="16" max="16" width="2.6328125" style="2650" customWidth="1"/>
    <col min="17" max="17" width="11.90625" style="2650" customWidth="1"/>
    <col min="18" max="18" width="16.90625" style="2652" customWidth="1"/>
    <col min="19" max="29" width="9" style="876"/>
    <col min="30" max="16384" width="9" style="1810"/>
  </cols>
  <sheetData>
    <row r="1" spans="1:29" s="2618" customFormat="1" ht="18.5" thickBot="1">
      <c r="A1" s="3384" t="s">
        <v>2783</v>
      </c>
      <c r="B1" s="3385"/>
      <c r="C1" s="3385"/>
      <c r="D1" s="3385"/>
      <c r="E1" s="3385"/>
      <c r="F1" s="3385"/>
      <c r="G1" s="3385"/>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4.5" thickBot="1">
      <c r="A2" s="2619"/>
      <c r="B2" s="2620"/>
      <c r="C2" s="2621" t="s">
        <v>2779</v>
      </c>
      <c r="D2" s="2622"/>
      <c r="E2" s="2619"/>
      <c r="F2" s="2623"/>
      <c r="G2" s="2621" t="s">
        <v>2780</v>
      </c>
      <c r="H2" s="876"/>
      <c r="I2" s="876"/>
      <c r="J2" s="876"/>
      <c r="K2" s="876"/>
      <c r="L2" s="876"/>
      <c r="M2" s="876"/>
      <c r="N2" s="876"/>
      <c r="O2" s="876"/>
      <c r="P2" s="876"/>
      <c r="Q2" s="876"/>
      <c r="R2" s="876"/>
    </row>
    <row r="3" spans="1:29" ht="26">
      <c r="A3" s="2602" t="s">
        <v>2781</v>
      </c>
      <c r="B3" s="2624" t="s">
        <v>2753</v>
      </c>
      <c r="C3" s="2625"/>
      <c r="D3" s="2626"/>
      <c r="E3" s="2603" t="s">
        <v>2781</v>
      </c>
      <c r="F3" s="2627" t="s">
        <v>2754</v>
      </c>
      <c r="G3" s="2628" t="s">
        <v>2782</v>
      </c>
      <c r="H3" s="876"/>
      <c r="I3" s="876"/>
      <c r="J3" s="876"/>
      <c r="K3" s="876"/>
      <c r="L3" s="876"/>
      <c r="M3" s="876"/>
      <c r="N3" s="876"/>
      <c r="O3" s="876"/>
      <c r="P3" s="876"/>
      <c r="Q3" s="876"/>
      <c r="R3" s="876"/>
    </row>
    <row r="4" spans="1:29" ht="52">
      <c r="A4" s="2603"/>
      <c r="B4" s="319" t="s">
        <v>2755</v>
      </c>
      <c r="C4" s="3238" t="s">
        <v>3187</v>
      </c>
      <c r="D4" s="2626"/>
      <c r="E4" s="2629"/>
      <c r="F4" s="1495" t="s">
        <v>2756</v>
      </c>
      <c r="G4" s="2630" t="s">
        <v>2757</v>
      </c>
      <c r="H4" s="876"/>
      <c r="I4" s="876"/>
      <c r="J4" s="876"/>
      <c r="K4" s="876"/>
      <c r="L4" s="876"/>
      <c r="M4" s="876"/>
      <c r="N4" s="876"/>
      <c r="O4" s="876"/>
      <c r="P4" s="876"/>
      <c r="Q4" s="876"/>
      <c r="R4" s="876"/>
    </row>
    <row r="5" spans="1:29" ht="26">
      <c r="A5" s="2603"/>
      <c r="B5" s="319" t="s">
        <v>2758</v>
      </c>
      <c r="C5" s="3237"/>
      <c r="D5" s="2626"/>
      <c r="E5" s="2629"/>
      <c r="F5" s="319" t="s">
        <v>2759</v>
      </c>
      <c r="G5" s="2630" t="s">
        <v>2760</v>
      </c>
      <c r="H5" s="876"/>
      <c r="I5" s="876"/>
      <c r="J5" s="876"/>
      <c r="K5" s="876"/>
      <c r="L5" s="876"/>
      <c r="M5" s="876"/>
      <c r="N5" s="876"/>
      <c r="O5" s="876"/>
      <c r="P5" s="876"/>
      <c r="Q5" s="876"/>
      <c r="R5" s="876"/>
    </row>
    <row r="6" spans="1:29" ht="39">
      <c r="A6" s="2603"/>
      <c r="B6" s="319" t="s">
        <v>2761</v>
      </c>
      <c r="C6" s="2630" t="s">
        <v>3186</v>
      </c>
      <c r="D6" s="2626"/>
      <c r="E6" s="2629"/>
      <c r="F6" s="319" t="s">
        <v>2762</v>
      </c>
      <c r="G6" s="2630" t="s">
        <v>2763</v>
      </c>
      <c r="H6" s="876"/>
      <c r="I6" s="876"/>
      <c r="J6" s="876"/>
      <c r="K6" s="876"/>
      <c r="L6" s="876"/>
      <c r="M6" s="876"/>
      <c r="N6" s="876"/>
      <c r="O6" s="876"/>
      <c r="P6" s="876"/>
      <c r="Q6" s="876"/>
      <c r="R6" s="876"/>
    </row>
    <row r="7" spans="1:29" ht="39.5" thickBot="1">
      <c r="A7" s="2603"/>
      <c r="B7" s="319" t="s">
        <v>2759</v>
      </c>
      <c r="C7" s="3268" t="s">
        <v>3348</v>
      </c>
      <c r="D7" s="2631"/>
      <c r="E7" s="2632"/>
      <c r="F7" s="2633" t="s">
        <v>2764</v>
      </c>
      <c r="G7" s="2634" t="s">
        <v>2765</v>
      </c>
      <c r="H7" s="876"/>
      <c r="I7" s="876"/>
      <c r="J7" s="876"/>
      <c r="K7" s="876"/>
      <c r="L7" s="876"/>
      <c r="M7" s="876"/>
      <c r="N7" s="876"/>
      <c r="O7" s="876"/>
      <c r="P7" s="876"/>
      <c r="Q7" s="876"/>
      <c r="R7" s="876"/>
    </row>
    <row r="8" spans="1:29">
      <c r="A8" s="2603"/>
      <c r="B8" s="319" t="s">
        <v>2762</v>
      </c>
      <c r="C8" s="3268" t="s">
        <v>3349</v>
      </c>
      <c r="D8" s="2631"/>
      <c r="E8" s="2631"/>
      <c r="F8" s="2635"/>
      <c r="G8" s="2635"/>
      <c r="H8" s="876"/>
      <c r="I8" s="876"/>
      <c r="J8" s="876"/>
      <c r="K8" s="876"/>
      <c r="L8" s="876"/>
      <c r="M8" s="876"/>
      <c r="N8" s="876"/>
      <c r="O8" s="876"/>
      <c r="P8" s="876"/>
      <c r="Q8" s="876"/>
      <c r="R8" s="876"/>
    </row>
    <row r="9" spans="1:29" ht="52">
      <c r="A9" s="2603"/>
      <c r="B9" s="319" t="s">
        <v>2766</v>
      </c>
      <c r="C9" s="3238" t="s">
        <v>3347</v>
      </c>
      <c r="D9" s="2626"/>
      <c r="E9" s="2631"/>
      <c r="F9" s="2635"/>
      <c r="G9" s="2635"/>
      <c r="H9" s="876"/>
      <c r="I9" s="876"/>
      <c r="J9" s="876"/>
      <c r="K9" s="876"/>
      <c r="L9" s="876"/>
      <c r="M9" s="876"/>
      <c r="N9" s="876"/>
      <c r="O9" s="876"/>
      <c r="P9" s="876"/>
      <c r="Q9" s="876"/>
      <c r="R9" s="876"/>
    </row>
    <row r="10" spans="1:29" s="2640" customFormat="1" ht="14.5" thickBot="1">
      <c r="A10" s="2604"/>
      <c r="B10" s="2636" t="s">
        <v>2767</v>
      </c>
      <c r="C10" s="3239" t="s">
        <v>3188</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4.5" thickBot="1">
      <c r="A13" s="2649" t="s">
        <v>2784</v>
      </c>
      <c r="B13" s="2643"/>
      <c r="C13" s="2643"/>
      <c r="D13" s="2641"/>
      <c r="E13" s="2643"/>
      <c r="F13" s="2643"/>
      <c r="G13" s="2643"/>
    </row>
    <row r="14" spans="1:29" ht="14.5" thickBot="1">
      <c r="A14" s="2653"/>
      <c r="B14" s="2653"/>
      <c r="C14" s="2654" t="s">
        <v>2768</v>
      </c>
      <c r="D14" s="2626"/>
      <c r="E14" s="2655"/>
      <c r="F14" s="2655"/>
      <c r="G14" s="2621" t="s">
        <v>2769</v>
      </c>
    </row>
    <row r="15" spans="1:29" ht="26">
      <c r="A15" s="2605" t="s">
        <v>2770</v>
      </c>
      <c r="B15" s="2656" t="s">
        <v>2753</v>
      </c>
      <c r="C15" s="2657">
        <f>C3</f>
        <v>0</v>
      </c>
      <c r="D15" s="2626"/>
      <c r="E15" s="2606" t="s">
        <v>2771</v>
      </c>
      <c r="F15" s="2656" t="s">
        <v>2772</v>
      </c>
      <c r="G15" s="2658" t="str">
        <f>G3</f>
        <v>估价对象位于XX开发区，园区建设成熟度XX，产业集聚程度XX</v>
      </c>
    </row>
    <row r="16" spans="1:29" ht="50">
      <c r="A16" s="2607"/>
      <c r="B16" s="2659" t="s">
        <v>2755</v>
      </c>
      <c r="C16" s="2660" t="str">
        <f>C4</f>
        <v>估价对象位于板井路，周边商业氛围较成熟，人流量较大，世纪金源购物中心等，商业繁华度较好</v>
      </c>
      <c r="D16" s="2626"/>
      <c r="E16" s="2608"/>
      <c r="F16" s="2661" t="s">
        <v>2756</v>
      </c>
      <c r="G16" s="2662" t="str">
        <f>G4</f>
        <v>估价对象周边道路状况、公共交通通达情况、停车便捷程度，综合评价交通便捷度较好</v>
      </c>
    </row>
    <row r="17" spans="1:18">
      <c r="A17" s="2607"/>
      <c r="B17" s="2659" t="s">
        <v>2758</v>
      </c>
      <c r="C17" s="2660">
        <f>C5</f>
        <v>0</v>
      </c>
      <c r="D17" s="2631"/>
      <c r="E17" s="2608"/>
      <c r="F17" s="2661" t="s">
        <v>2773</v>
      </c>
      <c r="G17" s="2663"/>
    </row>
    <row r="18" spans="1:18" ht="37.5">
      <c r="A18" s="2607"/>
      <c r="B18" s="2661" t="s">
        <v>2761</v>
      </c>
      <c r="C18" s="2662" t="str">
        <f>C6</f>
        <v>估价对象周边道路状况、公共交通通达情况、停车便捷程度，综合评价交通便捷度较好</v>
      </c>
      <c r="D18" s="2631"/>
      <c r="E18" s="2608"/>
      <c r="F18" s="2661" t="s">
        <v>2764</v>
      </c>
      <c r="G18" s="2662" t="str">
        <f>G7</f>
        <v>该园区内是否有污染型企业，绿化情况，卫生条件，整体环境状况判断</v>
      </c>
    </row>
    <row r="19" spans="1:18" ht="25">
      <c r="A19" s="2607"/>
      <c r="B19" s="2661" t="s">
        <v>2774</v>
      </c>
      <c r="C19" s="2663"/>
      <c r="D19" s="2626"/>
      <c r="E19" s="2608"/>
      <c r="F19" s="319" t="s">
        <v>2759</v>
      </c>
      <c r="G19" s="2662" t="str">
        <f>G5</f>
        <v>估价对象所在区域公共配套设施齐备情况</v>
      </c>
    </row>
    <row r="20" spans="1:18" ht="50">
      <c r="A20" s="2607"/>
      <c r="B20" s="2661" t="s">
        <v>2775</v>
      </c>
      <c r="C20" s="2660" t="str">
        <f>C9</f>
        <v>区域自然环境：蓝靛厂公园、四季曙光公园、南长河公园；人文环境；综合评价环境状况较好</v>
      </c>
      <c r="D20" s="2631"/>
      <c r="E20" s="2608"/>
      <c r="F20" s="319" t="s">
        <v>2762</v>
      </c>
      <c r="G20" s="2662" t="str">
        <f>G6</f>
        <v>估价对象所在区域基础设施水平</v>
      </c>
    </row>
    <row r="21" spans="1:18" ht="25">
      <c r="A21" s="2607"/>
      <c r="B21" s="319" t="s">
        <v>2759</v>
      </c>
      <c r="C21" s="2662" t="str">
        <f>C7</f>
        <v>估价对象所在区域公共配套设施齐备情况较好</v>
      </c>
      <c r="D21" s="2626"/>
      <c r="E21" s="2608"/>
      <c r="F21" s="2661" t="s">
        <v>2776</v>
      </c>
      <c r="G21" s="2664"/>
    </row>
    <row r="22" spans="1:18" ht="13.5" customHeight="1">
      <c r="A22" s="2607"/>
      <c r="B22" s="319" t="s">
        <v>2762</v>
      </c>
      <c r="C22" s="2662" t="str">
        <f>C8</f>
        <v>七通</v>
      </c>
      <c r="D22" s="2626"/>
      <c r="E22" s="2608"/>
      <c r="F22" s="2661" t="s">
        <v>2767</v>
      </c>
      <c r="G22" s="2663"/>
    </row>
    <row r="23" spans="1:18" s="876" customFormat="1" ht="14.5" thickBot="1">
      <c r="A23" s="2607"/>
      <c r="B23" s="2661" t="s">
        <v>2776</v>
      </c>
      <c r="C23" s="2664"/>
      <c r="D23" s="1865"/>
      <c r="E23" s="2609"/>
      <c r="F23" s="2665" t="s">
        <v>2777</v>
      </c>
      <c r="G23" s="2666"/>
      <c r="H23" s="2650"/>
      <c r="I23" s="2651"/>
      <c r="J23" s="2650"/>
      <c r="K23" s="2650"/>
      <c r="L23" s="2651"/>
      <c r="M23" s="2650"/>
      <c r="N23" s="2650"/>
      <c r="O23" s="2651"/>
      <c r="P23" s="2650"/>
      <c r="Q23" s="2650"/>
      <c r="R23" s="2652"/>
    </row>
    <row r="24" spans="1:18" s="876" customFormat="1" ht="14.5" thickBot="1">
      <c r="A24" s="2610"/>
      <c r="B24" s="2665" t="s">
        <v>2778</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672" customWidth="1"/>
    <col min="2" max="9" width="15.90625" style="2672" customWidth="1"/>
    <col min="10" max="16384" width="9" style="2672"/>
  </cols>
  <sheetData>
    <row r="1" spans="1:11" ht="16.5">
      <c r="A1" s="2671" t="s">
        <v>1090</v>
      </c>
      <c r="B1" s="2671">
        <f>SUM(B14:B23)</f>
        <v>98312.17</v>
      </c>
      <c r="C1" s="2847"/>
      <c r="D1" s="2847"/>
      <c r="E1" s="2847"/>
      <c r="F1" s="2847"/>
      <c r="G1" s="2848"/>
      <c r="H1" s="2849"/>
      <c r="I1" s="2849"/>
      <c r="J1" s="2849"/>
      <c r="K1" s="2849"/>
    </row>
    <row r="2" spans="1:11" ht="16.5">
      <c r="A2" s="2671" t="s">
        <v>1078</v>
      </c>
      <c r="B2" s="2671">
        <f>SUM(C14:C23)</f>
        <v>28178.74</v>
      </c>
      <c r="C2" s="2847"/>
      <c r="D2" s="2847"/>
      <c r="E2" s="2847"/>
      <c r="F2" s="2847"/>
      <c r="G2" s="2848"/>
      <c r="H2" s="2849"/>
      <c r="I2" s="2849"/>
      <c r="J2" s="2849"/>
      <c r="K2" s="2849"/>
    </row>
    <row r="3" spans="1:11" ht="16.5">
      <c r="A3" s="2671" t="s">
        <v>1087</v>
      </c>
      <c r="B3" s="2673">
        <f>项目基本情况!D3</f>
        <v>44692</v>
      </c>
      <c r="C3" s="2847"/>
      <c r="D3" s="2847"/>
      <c r="E3" s="2847"/>
      <c r="F3" s="2847"/>
      <c r="G3" s="2848"/>
      <c r="H3" s="2849"/>
      <c r="I3" s="2849"/>
      <c r="J3" s="2849"/>
      <c r="K3" s="2849"/>
    </row>
    <row r="4" spans="1:11" ht="33">
      <c r="A4" s="2671" t="s">
        <v>1086</v>
      </c>
      <c r="B4" s="2671" t="s">
        <v>1085</v>
      </c>
      <c r="C4" s="2671" t="s">
        <v>1084</v>
      </c>
      <c r="D4" s="2671" t="s">
        <v>1083</v>
      </c>
      <c r="E4" s="2847"/>
      <c r="F4" s="2848"/>
      <c r="G4" s="2848"/>
      <c r="H4" s="2849"/>
      <c r="I4" s="2849"/>
      <c r="J4" s="2849"/>
      <c r="K4" s="2849"/>
    </row>
    <row r="5" spans="1:11" ht="16.5">
      <c r="A5" s="2671" t="s">
        <v>1082</v>
      </c>
      <c r="B5" s="2671">
        <f ca="1">SUM(D14:D23)</f>
        <v>335285</v>
      </c>
      <c r="C5" s="2671">
        <f ca="1">ROUND(B5*10000/$B$1,0)</f>
        <v>34104</v>
      </c>
      <c r="D5" s="2671">
        <f ca="1">ROUND(B5*10000/$B$2,0)</f>
        <v>118985</v>
      </c>
      <c r="E5" s="2847"/>
      <c r="F5" s="2848"/>
      <c r="G5" s="2848"/>
      <c r="H5" s="2849"/>
      <c r="I5" s="2849"/>
      <c r="J5" s="2849"/>
      <c r="K5" s="2849"/>
    </row>
    <row r="6" spans="1:11" ht="16.5">
      <c r="A6" s="2671" t="s">
        <v>1081</v>
      </c>
      <c r="B6" s="2671">
        <f ca="1">SUM(G14:G23)</f>
        <v>335285</v>
      </c>
      <c r="C6" s="2671">
        <f ca="1">ROUND(B6*10000/$B$1,0)</f>
        <v>34104</v>
      </c>
      <c r="D6" s="2671">
        <f ca="1">ROUND(B6*10000/$B$2,0)</f>
        <v>118985</v>
      </c>
      <c r="E6" s="2847"/>
      <c r="F6" s="2848"/>
      <c r="G6" s="2848"/>
      <c r="H6" s="2849"/>
      <c r="I6" s="2849"/>
      <c r="J6" s="2849"/>
      <c r="K6" s="2849"/>
    </row>
    <row r="7" spans="1:11" ht="16.5">
      <c r="A7" s="2671" t="s">
        <v>1089</v>
      </c>
      <c r="B7" s="2671">
        <f>SUM(H14:H23)</f>
        <v>0</v>
      </c>
      <c r="C7" s="2671">
        <f>ROUND(B7*10000/$B$1,0)</f>
        <v>0</v>
      </c>
      <c r="D7" s="2671">
        <f>ROUND(B7*10000/$B$2,0)</f>
        <v>0</v>
      </c>
      <c r="E7" s="2847"/>
      <c r="F7" s="2848"/>
      <c r="G7" s="2848"/>
      <c r="H7" s="2849"/>
      <c r="I7" s="2849"/>
      <c r="J7" s="2849"/>
      <c r="K7" s="2849"/>
    </row>
    <row r="8" spans="1:11" ht="16.5">
      <c r="A8" s="2671" t="s">
        <v>1012</v>
      </c>
      <c r="B8" s="2671">
        <f>SUM(I14:I23)</f>
        <v>0</v>
      </c>
      <c r="C8" s="2671">
        <f>ROUND(B8*10000/$B$1,0)</f>
        <v>0</v>
      </c>
      <c r="D8" s="2671">
        <f>ROUND(B8*10000/$B$2,0)</f>
        <v>0</v>
      </c>
      <c r="E8" s="2847"/>
      <c r="F8" s="2848"/>
      <c r="G8" s="2848"/>
      <c r="H8" s="2849"/>
      <c r="I8" s="2849"/>
      <c r="J8" s="2849"/>
      <c r="K8" s="2849"/>
    </row>
    <row r="9" spans="1:11" ht="16.5">
      <c r="A9" s="2671" t="s">
        <v>1080</v>
      </c>
      <c r="B9" s="2679"/>
      <c r="C9" s="2847"/>
      <c r="D9" s="2847"/>
      <c r="E9" s="2847"/>
      <c r="F9" s="2848"/>
      <c r="G9" s="2848"/>
      <c r="H9" s="2849"/>
      <c r="I9" s="2849"/>
      <c r="J9" s="2849"/>
      <c r="K9" s="2849"/>
    </row>
    <row r="10" spans="1:11" ht="16.5">
      <c r="A10" s="2671" t="s">
        <v>1079</v>
      </c>
      <c r="B10" s="2679"/>
      <c r="C10" s="2847"/>
      <c r="D10" s="2847"/>
      <c r="E10" s="2847"/>
      <c r="F10" s="2848"/>
      <c r="G10" s="2848"/>
      <c r="H10" s="2849"/>
      <c r="I10" s="2849"/>
      <c r="J10" s="2849"/>
      <c r="K10" s="2849"/>
    </row>
    <row r="11" spans="1:11" ht="16.5">
      <c r="A11" s="2671" t="s">
        <v>1095</v>
      </c>
      <c r="B11" s="2679"/>
      <c r="C11" s="2847"/>
      <c r="D11" s="2847"/>
      <c r="E11" s="2847"/>
      <c r="F11" s="2848"/>
      <c r="G11" s="2848"/>
      <c r="H11" s="2849"/>
      <c r="I11" s="2849"/>
      <c r="J11" s="2849"/>
      <c r="K11" s="2849"/>
    </row>
    <row r="12" spans="1:11" ht="16.5">
      <c r="A12" s="2847"/>
      <c r="B12" s="2847"/>
      <c r="C12" s="2847"/>
      <c r="D12" s="2847"/>
      <c r="E12" s="2847"/>
      <c r="F12" s="2848"/>
      <c r="G12" s="2848"/>
      <c r="H12" s="2849"/>
      <c r="I12" s="2849"/>
      <c r="J12" s="2849"/>
      <c r="K12" s="2849"/>
    </row>
    <row r="13" spans="1:11" ht="33">
      <c r="A13" s="2674" t="s">
        <v>1094</v>
      </c>
      <c r="B13" s="2675" t="s">
        <v>1091</v>
      </c>
      <c r="C13" s="2675" t="s">
        <v>1093</v>
      </c>
      <c r="D13" s="2675" t="s">
        <v>1092</v>
      </c>
      <c r="E13" s="2671" t="s">
        <v>1084</v>
      </c>
      <c r="F13" s="2671" t="s">
        <v>1083</v>
      </c>
      <c r="G13" s="2675" t="s">
        <v>1077</v>
      </c>
      <c r="H13" s="2675" t="s">
        <v>1088</v>
      </c>
      <c r="I13" s="2675" t="s">
        <v>1076</v>
      </c>
      <c r="J13" s="2848"/>
      <c r="K13" s="2849"/>
    </row>
    <row r="14" spans="1:11" ht="16.5">
      <c r="A14" s="2676" t="s">
        <v>1075</v>
      </c>
      <c r="B14" s="2677">
        <f>结果表!B118</f>
        <v>98312.17</v>
      </c>
      <c r="C14" s="2677">
        <f>结果表!C118</f>
        <v>28178.74</v>
      </c>
      <c r="D14" s="2677">
        <f ca="1">结果表!H118</f>
        <v>335285</v>
      </c>
      <c r="E14" s="2677">
        <f ca="1">ROUND(D14*10000/B14,0)</f>
        <v>34104</v>
      </c>
      <c r="F14" s="2677">
        <f ca="1">ROUND(D14*10000/C14,0)</f>
        <v>118985</v>
      </c>
      <c r="G14" s="2677">
        <f ca="1">结果表!D122</f>
        <v>335285</v>
      </c>
      <c r="H14" s="2677" t="str">
        <f>结果表!D124</f>
        <v>——</v>
      </c>
      <c r="I14" s="2677" t="str">
        <f>结果表!D126</f>
        <v>——</v>
      </c>
      <c r="J14" s="2848"/>
      <c r="K14" s="2849"/>
    </row>
    <row r="15" spans="1:11" ht="16.5">
      <c r="A15" s="2676" t="s">
        <v>1074</v>
      </c>
      <c r="B15" s="2678"/>
      <c r="C15" s="2678"/>
      <c r="D15" s="2678"/>
      <c r="E15" s="2677" t="e">
        <f t="shared" ref="E15:E23" si="0">ROUND(D15*10000/B15,0)</f>
        <v>#DIV/0!</v>
      </c>
      <c r="F15" s="2677" t="e">
        <f t="shared" ref="F15:F23" si="1">ROUND(D15*10000/C15,0)</f>
        <v>#DIV/0!</v>
      </c>
      <c r="G15" s="1439"/>
      <c r="H15" s="1439"/>
      <c r="I15" s="2678"/>
      <c r="J15" s="2848"/>
      <c r="K15" s="2849"/>
    </row>
    <row r="16" spans="1:11" ht="16.5">
      <c r="A16" s="2676" t="s">
        <v>1073</v>
      </c>
      <c r="B16" s="2678"/>
      <c r="C16" s="2678"/>
      <c r="D16" s="2678"/>
      <c r="E16" s="2677" t="e">
        <f t="shared" si="0"/>
        <v>#DIV/0!</v>
      </c>
      <c r="F16" s="2677" t="e">
        <f t="shared" si="1"/>
        <v>#DIV/0!</v>
      </c>
      <c r="G16" s="1439"/>
      <c r="H16" s="1439"/>
      <c r="I16" s="2678"/>
      <c r="J16" s="2849"/>
      <c r="K16" s="2849"/>
    </row>
    <row r="17" spans="1:11" ht="16.5">
      <c r="A17" s="2676" t="s">
        <v>1072</v>
      </c>
      <c r="B17" s="2678"/>
      <c r="C17" s="2678"/>
      <c r="D17" s="2678"/>
      <c r="E17" s="2677" t="e">
        <f t="shared" si="0"/>
        <v>#DIV/0!</v>
      </c>
      <c r="F17" s="2677" t="e">
        <f t="shared" si="1"/>
        <v>#DIV/0!</v>
      </c>
      <c r="G17" s="1439"/>
      <c r="H17" s="1439"/>
      <c r="I17" s="2678"/>
      <c r="J17" s="2849"/>
      <c r="K17" s="2849"/>
    </row>
    <row r="18" spans="1:11" ht="16.5">
      <c r="A18" s="2676" t="s">
        <v>1071</v>
      </c>
      <c r="B18" s="2678"/>
      <c r="C18" s="2678"/>
      <c r="D18" s="2678"/>
      <c r="E18" s="2677" t="e">
        <f t="shared" si="0"/>
        <v>#DIV/0!</v>
      </c>
      <c r="F18" s="2677" t="e">
        <f t="shared" si="1"/>
        <v>#DIV/0!</v>
      </c>
      <c r="G18" s="2678"/>
      <c r="H18" s="2678"/>
      <c r="I18" s="2678"/>
      <c r="J18" s="2849"/>
      <c r="K18" s="2849"/>
    </row>
    <row r="19" spans="1:11" ht="16.5">
      <c r="A19" s="2676" t="s">
        <v>1070</v>
      </c>
      <c r="B19" s="2678"/>
      <c r="C19" s="2678"/>
      <c r="D19" s="2678"/>
      <c r="E19" s="2677" t="e">
        <f t="shared" si="0"/>
        <v>#DIV/0!</v>
      </c>
      <c r="F19" s="2677" t="e">
        <f t="shared" si="1"/>
        <v>#DIV/0!</v>
      </c>
      <c r="G19" s="2678"/>
      <c r="H19" s="2678"/>
      <c r="I19" s="2678"/>
      <c r="J19" s="2849"/>
      <c r="K19" s="2849"/>
    </row>
    <row r="20" spans="1:11" ht="16.5">
      <c r="A20" s="2676" t="s">
        <v>1069</v>
      </c>
      <c r="B20" s="2678"/>
      <c r="C20" s="2678"/>
      <c r="D20" s="2678"/>
      <c r="E20" s="2677" t="e">
        <f t="shared" si="0"/>
        <v>#DIV/0!</v>
      </c>
      <c r="F20" s="2677" t="e">
        <f t="shared" si="1"/>
        <v>#DIV/0!</v>
      </c>
      <c r="G20" s="2678"/>
      <c r="H20" s="2678"/>
      <c r="I20" s="2678"/>
      <c r="J20" s="2849"/>
      <c r="K20" s="2849"/>
    </row>
    <row r="21" spans="1:11" ht="16.5">
      <c r="A21" s="2676" t="s">
        <v>1068</v>
      </c>
      <c r="B21" s="2678"/>
      <c r="C21" s="2678"/>
      <c r="D21" s="2678"/>
      <c r="E21" s="2677" t="e">
        <f t="shared" si="0"/>
        <v>#DIV/0!</v>
      </c>
      <c r="F21" s="2677" t="e">
        <f t="shared" si="1"/>
        <v>#DIV/0!</v>
      </c>
      <c r="G21" s="2678"/>
      <c r="H21" s="2678"/>
      <c r="I21" s="2678"/>
      <c r="J21" s="2849"/>
      <c r="K21" s="2849"/>
    </row>
    <row r="22" spans="1:11" ht="16.5">
      <c r="A22" s="2676" t="s">
        <v>1067</v>
      </c>
      <c r="B22" s="2678"/>
      <c r="C22" s="2678"/>
      <c r="D22" s="2678"/>
      <c r="E22" s="2677" t="e">
        <f t="shared" si="0"/>
        <v>#DIV/0!</v>
      </c>
      <c r="F22" s="2677" t="e">
        <f t="shared" si="1"/>
        <v>#DIV/0!</v>
      </c>
      <c r="G22" s="2678"/>
      <c r="H22" s="2678"/>
      <c r="I22" s="2678"/>
      <c r="J22" s="2849"/>
      <c r="K22" s="2849"/>
    </row>
    <row r="23" spans="1:11" ht="16.5">
      <c r="A23" s="2676" t="s">
        <v>1066</v>
      </c>
      <c r="B23" s="2678"/>
      <c r="C23" s="2678"/>
      <c r="D23" s="2678"/>
      <c r="E23" s="2679" t="e">
        <f t="shared" si="0"/>
        <v>#DIV/0!</v>
      </c>
      <c r="F23" s="2679" t="e">
        <f t="shared" si="1"/>
        <v>#DIV/0!</v>
      </c>
      <c r="G23" s="2678"/>
      <c r="H23" s="2678"/>
      <c r="I23" s="2678"/>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F26" sqref="F26"/>
    </sheetView>
  </sheetViews>
  <sheetFormatPr defaultColWidth="12.6328125" defaultRowHeight="21.75" customHeight="1"/>
  <cols>
    <col min="1" max="2" width="12.6328125" style="1877"/>
    <col min="3" max="4" width="12.6328125" style="1877" customWidth="1"/>
    <col min="5" max="9" width="12.6328125" style="1877"/>
    <col min="10" max="11" width="12.6328125" style="722" customWidth="1"/>
    <col min="12" max="12" width="12.6328125" style="722"/>
    <col min="13" max="13" width="14.08984375" style="722" bestFit="1" customWidth="1"/>
    <col min="14" max="26" width="12.6328125" style="722"/>
    <col min="27" max="35" width="12.6328125" style="1876"/>
    <col min="36" max="16384" width="12.6328125" style="1877"/>
  </cols>
  <sheetData>
    <row r="1" spans="1:12" ht="21.75" customHeight="1" thickBot="1">
      <c r="A1" s="1760" t="s">
        <v>1707</v>
      </c>
      <c r="B1" s="1871"/>
      <c r="C1" s="1872" t="s">
        <v>3183</v>
      </c>
      <c r="D1" s="1871"/>
      <c r="E1" s="1871"/>
      <c r="F1" s="1873" t="s">
        <v>1708</v>
      </c>
      <c r="G1" s="1684" t="s">
        <v>3361</v>
      </c>
      <c r="H1" s="1874" t="str">
        <f>IF(G1="现房","——","估价对象范围")</f>
        <v>——</v>
      </c>
      <c r="I1" s="1875" t="s">
        <v>3362</v>
      </c>
    </row>
    <row r="2" spans="1:12" ht="21.75" customHeight="1" thickBot="1">
      <c r="A2" s="3456" t="str">
        <f>项目基本情况!S2</f>
        <v>北京市海淀区板井路69号世纪金源大饭店房地产</v>
      </c>
      <c r="B2" s="3457"/>
      <c r="C2" s="3457"/>
      <c r="D2" s="3457"/>
      <c r="E2" s="3457"/>
      <c r="F2" s="3457"/>
      <c r="G2" s="3457"/>
      <c r="H2" s="3457"/>
      <c r="I2" s="3458"/>
    </row>
    <row r="3" spans="1:12" ht="13">
      <c r="A3" s="3460" t="s">
        <v>1709</v>
      </c>
      <c r="B3" s="3461"/>
      <c r="C3" s="3461"/>
      <c r="D3" s="3461"/>
      <c r="E3" s="3461"/>
      <c r="F3" s="3461"/>
      <c r="G3" s="3461"/>
      <c r="H3" s="3461"/>
      <c r="I3" s="3461"/>
    </row>
    <row r="4" spans="1:12" ht="14">
      <c r="A4" s="1878" t="s">
        <v>1710</v>
      </c>
      <c r="B4" s="1879" t="s">
        <v>1711</v>
      </c>
      <c r="C4" s="1880" t="s">
        <v>3356</v>
      </c>
      <c r="D4" s="1880" t="s">
        <v>3357</v>
      </c>
      <c r="E4" s="3465" t="s">
        <v>1712</v>
      </c>
      <c r="F4" s="3466"/>
      <c r="G4" s="3466"/>
      <c r="H4" s="3466"/>
      <c r="I4" s="346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401" t="s">
        <v>1713</v>
      </c>
      <c r="B5" s="3459">
        <v>25</v>
      </c>
      <c r="C5" s="3462"/>
      <c r="D5" s="3450"/>
      <c r="E5" s="126" t="s">
        <v>1714</v>
      </c>
      <c r="F5" s="1881"/>
      <c r="G5" s="1881"/>
      <c r="H5" s="1881"/>
      <c r="I5" s="1495"/>
    </row>
    <row r="6" spans="1:12" ht="13">
      <c r="A6" s="3401"/>
      <c r="B6" s="3459"/>
      <c r="C6" s="3464"/>
      <c r="D6" s="3450"/>
      <c r="E6" s="126" t="s">
        <v>1715</v>
      </c>
      <c r="F6" s="1881"/>
      <c r="G6" s="1881"/>
      <c r="H6" s="1881"/>
      <c r="I6" s="1495"/>
    </row>
    <row r="7" spans="1:12" ht="13">
      <c r="A7" s="3401"/>
      <c r="B7" s="3459"/>
      <c r="C7" s="3463"/>
      <c r="D7" s="3450"/>
      <c r="E7" s="126" t="s">
        <v>1716</v>
      </c>
      <c r="F7" s="1881"/>
      <c r="G7" s="1881"/>
      <c r="H7" s="1881"/>
      <c r="I7" s="1495"/>
    </row>
    <row r="8" spans="1:12" ht="13">
      <c r="A8" s="3401" t="s">
        <v>1717</v>
      </c>
      <c r="B8" s="3459">
        <v>15</v>
      </c>
      <c r="C8" s="3462"/>
      <c r="D8" s="3450"/>
      <c r="E8" s="126" t="s">
        <v>1718</v>
      </c>
      <c r="F8" s="1881"/>
      <c r="G8" s="1881"/>
      <c r="H8" s="1881"/>
      <c r="I8" s="1495"/>
    </row>
    <row r="9" spans="1:12" ht="13">
      <c r="A9" s="3401"/>
      <c r="B9" s="3459"/>
      <c r="C9" s="3463"/>
      <c r="D9" s="3450"/>
      <c r="E9" s="126" t="s">
        <v>1719</v>
      </c>
      <c r="F9" s="1881"/>
      <c r="G9" s="1881"/>
      <c r="H9" s="1881"/>
      <c r="I9" s="1495"/>
    </row>
    <row r="10" spans="1:12" ht="13">
      <c r="A10" s="3401" t="s">
        <v>1720</v>
      </c>
      <c r="B10" s="3459">
        <v>15</v>
      </c>
      <c r="C10" s="3462"/>
      <c r="D10" s="3450"/>
      <c r="E10" s="126" t="s">
        <v>1721</v>
      </c>
      <c r="F10" s="1881"/>
      <c r="G10" s="1881"/>
      <c r="H10" s="1881"/>
      <c r="I10" s="1495"/>
    </row>
    <row r="11" spans="1:12" ht="13">
      <c r="A11" s="3401"/>
      <c r="B11" s="3459"/>
      <c r="C11" s="3463"/>
      <c r="D11" s="3450"/>
      <c r="E11" s="126" t="s">
        <v>1722</v>
      </c>
      <c r="F11" s="1881"/>
      <c r="G11" s="1881"/>
      <c r="H11" s="1881"/>
      <c r="I11" s="1495"/>
    </row>
    <row r="12" spans="1:12" ht="13">
      <c r="A12" s="3401" t="s">
        <v>1723</v>
      </c>
      <c r="B12" s="3459">
        <v>15</v>
      </c>
      <c r="C12" s="3462"/>
      <c r="D12" s="3450"/>
      <c r="E12" s="126" t="s">
        <v>1724</v>
      </c>
      <c r="F12" s="1881"/>
      <c r="G12" s="1881"/>
      <c r="H12" s="1881"/>
      <c r="I12" s="1495"/>
    </row>
    <row r="13" spans="1:12" ht="13">
      <c r="A13" s="3401"/>
      <c r="B13" s="3459"/>
      <c r="C13" s="3463"/>
      <c r="D13" s="3450"/>
      <c r="E13" s="126" t="s">
        <v>1725</v>
      </c>
      <c r="F13" s="1881"/>
      <c r="G13" s="1881"/>
      <c r="H13" s="1881"/>
      <c r="I13" s="1495"/>
    </row>
    <row r="14" spans="1:12" ht="13">
      <c r="A14" s="3401" t="s">
        <v>1726</v>
      </c>
      <c r="B14" s="3459">
        <v>30</v>
      </c>
      <c r="C14" s="3462">
        <v>7</v>
      </c>
      <c r="D14" s="3450">
        <v>3</v>
      </c>
      <c r="E14" s="126" t="s">
        <v>1727</v>
      </c>
      <c r="F14" s="1881"/>
      <c r="G14" s="1881"/>
      <c r="H14" s="1881"/>
      <c r="I14" s="1495"/>
    </row>
    <row r="15" spans="1:12" ht="13">
      <c r="A15" s="3401"/>
      <c r="B15" s="3459"/>
      <c r="C15" s="3464"/>
      <c r="D15" s="3450"/>
      <c r="E15" s="126" t="s">
        <v>1728</v>
      </c>
      <c r="F15" s="1881"/>
      <c r="G15" s="1881"/>
      <c r="H15" s="1881"/>
      <c r="I15" s="1495"/>
    </row>
    <row r="16" spans="1:12" ht="13">
      <c r="A16" s="3401"/>
      <c r="B16" s="3459"/>
      <c r="C16" s="3463"/>
      <c r="D16" s="3450"/>
      <c r="E16" s="126" t="s">
        <v>1729</v>
      </c>
      <c r="F16" s="1881"/>
      <c r="G16" s="1881"/>
      <c r="H16" s="1881"/>
      <c r="I16" s="1495"/>
    </row>
    <row r="17" spans="1:36" ht="14">
      <c r="A17" s="1882" t="s">
        <v>1730</v>
      </c>
      <c r="B17" s="60"/>
      <c r="C17" s="127">
        <f>SUM(C5:C16)</f>
        <v>7</v>
      </c>
      <c r="D17" s="127">
        <f>SUM(D5:D16)</f>
        <v>3</v>
      </c>
      <c r="E17" s="124"/>
      <c r="F17" s="124"/>
      <c r="G17" s="124"/>
      <c r="H17" s="124"/>
      <c r="I17" s="124"/>
      <c r="K17" s="298"/>
      <c r="L17" s="298" t="s">
        <v>1731</v>
      </c>
      <c r="M17" s="298" t="s">
        <v>1732</v>
      </c>
    </row>
    <row r="18" spans="1:36" ht="32.15" customHeight="1" thickBot="1">
      <c r="A18" s="1883" t="s">
        <v>1733</v>
      </c>
      <c r="B18" s="1884"/>
      <c r="C18" s="128">
        <f>ROUND(C17/SUM(C17:D17),2)</f>
        <v>0.7</v>
      </c>
      <c r="D18" s="128">
        <f>1-C18</f>
        <v>0.30000000000000004</v>
      </c>
      <c r="E18" s="3481" t="s">
        <v>2632</v>
      </c>
      <c r="F18" s="3482"/>
      <c r="G18" s="3482"/>
      <c r="H18" s="3482"/>
      <c r="I18" s="3482"/>
      <c r="K18" s="298" t="s">
        <v>1734</v>
      </c>
      <c r="L18" s="298">
        <f>IF(C1="",'数据-汇总表'!E3,SUMIF(项目类型,C1,'数据-汇总表'!E17:E26)+SUMIF(项目类型,C1,'数据-汇总表'!I17:I26))</f>
        <v>98312.17</v>
      </c>
      <c r="M18" s="298">
        <f>IF(C1="",'数据-汇总表'!E3,SUMIF(项目类型,C1,'数据-汇总表'!E17:E26))</f>
        <v>98312.17</v>
      </c>
    </row>
    <row r="19" spans="1:36" ht="14">
      <c r="A19" s="1885" t="s">
        <v>1735</v>
      </c>
      <c r="B19" s="1886" t="s">
        <v>1736</v>
      </c>
      <c r="C19" s="129">
        <f ca="1">SUMIF(INDIRECT("'"&amp;C4&amp;"'"&amp;"!A:A"),结果表!B19,INDIRECT("'"&amp;C4&amp;"'"&amp;"!B:B"))</f>
        <v>384371</v>
      </c>
      <c r="D19" s="130">
        <f ca="1">SUMIF(INDIRECT("'"&amp;D4&amp;"'"&amp;"!A:A"),结果表!B19,INDIRECT("'"&amp;D4&amp;"'"&amp;"!B:B"))</f>
        <v>220750</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4">
      <c r="A20" s="1888"/>
      <c r="B20" s="1126" t="s">
        <v>1740</v>
      </c>
      <c r="C20" s="132">
        <f ca="1">SUMIF(INDIRECT("'"&amp;C4&amp;"'"&amp;"!A:A"),结果表!B20,INDIRECT("'"&amp;C4&amp;"'"&amp;"!B:B"))</f>
        <v>39097</v>
      </c>
      <c r="D20" s="133">
        <f ca="1">SUMIF(INDIRECT("'"&amp;D4&amp;"'"&amp;"!A:A"),结果表!B20,INDIRECT("'"&amp;D4&amp;"'"&amp;"!B:B"))</f>
        <v>22454</v>
      </c>
      <c r="E20" s="1888"/>
      <c r="F20" s="1126" t="s">
        <v>1740</v>
      </c>
      <c r="G20" s="134">
        <f ca="1">ROUND(C20*$C$18+D20*$D$18,0)</f>
        <v>34104</v>
      </c>
      <c r="H20" s="886" t="s">
        <v>1741</v>
      </c>
      <c r="I20" s="124"/>
    </row>
    <row r="21" spans="1:36" ht="15" customHeight="1" thickBot="1">
      <c r="A21" s="906"/>
      <c r="B21" s="1889" t="s">
        <v>1742</v>
      </c>
      <c r="C21" s="716">
        <f ca="1">ROUND(C19*10000/L19,0)</f>
        <v>136405</v>
      </c>
      <c r="D21" s="717">
        <f ca="1">ROUND(D19*10000/L19,0)</f>
        <v>78339</v>
      </c>
      <c r="E21" s="906"/>
      <c r="F21" s="1889" t="s">
        <v>1742</v>
      </c>
      <c r="G21" s="135">
        <f ca="1">ROUND(G19*10000/L19,0)</f>
        <v>118985</v>
      </c>
      <c r="H21" s="1890" t="s">
        <v>1741</v>
      </c>
      <c r="I21" s="124"/>
    </row>
    <row r="22" spans="1:36" ht="14.5" thickBot="1">
      <c r="A22" s="1812" t="s">
        <v>1743</v>
      </c>
      <c r="B22" s="1891"/>
      <c r="C22" s="1892"/>
      <c r="D22" s="718">
        <f ca="1">IF(C19&lt;D19,D19/C19-1,C19/D19-1)</f>
        <v>0.74120498301245763</v>
      </c>
      <c r="E22" s="124"/>
      <c r="F22" s="124"/>
      <c r="G22" s="124"/>
      <c r="H22" s="124"/>
      <c r="I22" s="124"/>
    </row>
    <row r="23" spans="1:36" ht="13" thickBot="1">
      <c r="A23" s="1871"/>
      <c r="B23" s="1871"/>
      <c r="C23" s="1871"/>
      <c r="D23" s="1871"/>
      <c r="E23" s="124"/>
      <c r="F23" s="124"/>
      <c r="G23" s="124"/>
      <c r="H23" s="124"/>
      <c r="I23" s="124"/>
    </row>
    <row r="24" spans="1:36" ht="14">
      <c r="A24" s="3474" t="s">
        <v>1744</v>
      </c>
      <c r="B24" s="1886" t="s">
        <v>1736</v>
      </c>
      <c r="C24" s="131">
        <f>IF(B30=0,0,D30)</f>
        <v>0</v>
      </c>
      <c r="D24" s="1893"/>
      <c r="E24" s="124"/>
      <c r="F24" s="124"/>
      <c r="G24" s="124"/>
      <c r="H24" s="124"/>
      <c r="I24" s="124"/>
    </row>
    <row r="25" spans="1:36" ht="14">
      <c r="A25" s="3475"/>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
      <c r="A27" s="1895"/>
      <c r="B27" s="137">
        <v>0</v>
      </c>
      <c r="C27" s="137">
        <v>0</v>
      </c>
      <c r="D27" s="138">
        <f>ROUND(C27*B27/10000,0)</f>
        <v>0</v>
      </c>
      <c r="E27" s="124"/>
      <c r="F27" s="124"/>
      <c r="G27" s="124"/>
      <c r="H27" s="124"/>
      <c r="I27" s="124"/>
    </row>
    <row r="28" spans="1:36" ht="14">
      <c r="A28" s="1895"/>
      <c r="B28" s="137"/>
      <c r="C28" s="137"/>
      <c r="D28" s="138"/>
      <c r="E28" s="124"/>
      <c r="F28" s="124"/>
      <c r="G28" s="124"/>
      <c r="H28" s="124"/>
      <c r="I28" s="124"/>
    </row>
    <row r="29" spans="1:36" ht="14">
      <c r="A29" s="1895"/>
      <c r="B29" s="137"/>
      <c r="C29" s="137"/>
      <c r="D29" s="138"/>
      <c r="E29" s="124"/>
      <c r="F29" s="124"/>
      <c r="G29" s="124"/>
      <c r="H29" s="124"/>
      <c r="I29" s="124"/>
    </row>
    <row r="30" spans="1:36" ht="14.5" thickBot="1">
      <c r="A30" s="137" t="s">
        <v>1749</v>
      </c>
      <c r="B30" s="137"/>
      <c r="C30" s="137"/>
      <c r="D30" s="137"/>
      <c r="E30" s="2459" t="s">
        <v>2633</v>
      </c>
      <c r="F30" s="124"/>
      <c r="G30" s="124"/>
      <c r="H30" s="124"/>
      <c r="I30" s="124"/>
    </row>
    <row r="31" spans="1:36" s="2465" customFormat="1" ht="26.5" customHeight="1" thickTop="1" thickBot="1">
      <c r="A31" s="2460"/>
      <c r="B31" s="2461"/>
      <c r="C31" s="2461"/>
      <c r="D31" s="2461"/>
      <c r="E31" s="2461"/>
      <c r="F31" s="2461"/>
      <c r="G31" s="2461"/>
      <c r="H31" s="2461"/>
      <c r="I31" s="2462" t="s">
        <v>2634</v>
      </c>
      <c r="J31" s="285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5" thickTop="1" thickBot="1">
      <c r="A32" s="1897" t="s">
        <v>1750</v>
      </c>
      <c r="B32" s="1898"/>
      <c r="C32" s="139">
        <f ca="1">IF(D32="总价",G19-C24,G20-C25)</f>
        <v>335285</v>
      </c>
      <c r="D32" s="1899" t="s">
        <v>3363</v>
      </c>
      <c r="E32" s="124"/>
      <c r="F32" s="124"/>
      <c r="G32" s="124"/>
      <c r="H32" s="124"/>
      <c r="I32" s="124"/>
    </row>
    <row r="33" spans="1:15" ht="14">
      <c r="A33" s="863" t="s">
        <v>1751</v>
      </c>
      <c r="B33" s="1900"/>
      <c r="C33" s="1901" t="s">
        <v>3364</v>
      </c>
      <c r="D33" s="1902" t="s">
        <v>3356</v>
      </c>
      <c r="E33" s="1903" t="s">
        <v>1752</v>
      </c>
      <c r="F33" s="1904" t="str">
        <f>IF(D32="楼面单价","取值（单价）","取值（总价）")</f>
        <v>取值（总价）</v>
      </c>
      <c r="G33" s="124"/>
      <c r="H33" s="124"/>
      <c r="I33" s="124"/>
    </row>
    <row r="34" spans="1:15" ht="14">
      <c r="A34" s="1905"/>
      <c r="B34" s="1906" t="s">
        <v>1753</v>
      </c>
      <c r="C34" s="143">
        <f ca="1">IF(C33="自定义",F34,C32-C35)</f>
        <v>254817</v>
      </c>
      <c r="D34" s="939">
        <f ca="1">IF(C33="自定义",ROUND(C34/C32,3),IF(C33="收益比率",SUMIF(INDIRECT("'"&amp;D33&amp;"'"&amp;"!b:b"),"土地收益比率",INDIRECT("'"&amp;D33&amp;"'"&amp;"!c:c")),SUMIF(INDIRECT("'"&amp;D33&amp;"'"&amp;"!b:b"),"土地成本比率",INDIRECT("'"&amp;D33&amp;"'"&amp;"!c:c"))))</f>
        <v>0.76</v>
      </c>
      <c r="E34" s="1907" t="s">
        <v>1754</v>
      </c>
      <c r="F34" s="1438"/>
      <c r="G34" s="124"/>
      <c r="H34" s="124"/>
      <c r="I34" s="124"/>
    </row>
    <row r="35" spans="1:15" ht="14.5" thickBot="1">
      <c r="A35" s="1908"/>
      <c r="B35" s="1909" t="s">
        <v>1755</v>
      </c>
      <c r="C35" s="1273">
        <f ca="1">IF(C33="自定义",F35,ROUND(C32*D35,0))</f>
        <v>80468</v>
      </c>
      <c r="D35" s="1274">
        <f ca="1">IF(C33="自定义",ROUND(C35/C32,3),IF(C33="收益比率",SUMIF(INDIRECT("'"&amp;D33&amp;"'"&amp;"!b:b"),"建筑物收益比率",INDIRECT("'"&amp;D33&amp;"'"&amp;"!c:c")),SUMIF(INDIRECT("'"&amp;D33&amp;"'"&amp;"!b:b"),"建筑物成本比率",INDIRECT("'"&amp;D33&amp;"'"&amp;"!c:c"))))</f>
        <v>0.24</v>
      </c>
      <c r="E35" s="1910" t="s">
        <v>1756</v>
      </c>
      <c r="F35" s="149"/>
      <c r="G35" s="124"/>
      <c r="H35" s="124"/>
      <c r="I35" s="124"/>
    </row>
    <row r="36" spans="1:15" ht="14.5" thickBot="1">
      <c r="A36" s="3451" t="s">
        <v>1757</v>
      </c>
      <c r="B36" s="1911" t="s">
        <v>1758</v>
      </c>
      <c r="C36" s="140"/>
      <c r="D36" s="1912"/>
      <c r="E36" s="1913"/>
      <c r="F36" s="1914"/>
      <c r="G36" s="124"/>
      <c r="H36" s="124"/>
      <c r="I36" s="124"/>
    </row>
    <row r="37" spans="1:15" ht="14.5" thickBot="1">
      <c r="A37" s="3452"/>
      <c r="B37" s="1798" t="s">
        <v>1759</v>
      </c>
      <c r="C37" s="142"/>
      <c r="D37" s="1242"/>
      <c r="E37" s="1242"/>
      <c r="F37" s="1914"/>
      <c r="G37" s="124"/>
      <c r="H37" s="124"/>
      <c r="I37" s="124"/>
    </row>
    <row r="38" spans="1:15" ht="14.5" thickBot="1">
      <c r="A38" s="3453"/>
      <c r="B38" s="1915" t="s">
        <v>1760</v>
      </c>
      <c r="C38" s="671"/>
      <c r="D38" s="1916" t="s">
        <v>1761</v>
      </c>
      <c r="E38" s="1242"/>
      <c r="F38" s="1914"/>
      <c r="G38" s="124"/>
      <c r="H38" s="124"/>
      <c r="I38" s="124"/>
    </row>
    <row r="39" spans="1:15" ht="14">
      <c r="A39" s="1888" t="s">
        <v>1762</v>
      </c>
      <c r="B39" s="1917" t="s">
        <v>1763</v>
      </c>
      <c r="C39" s="1918" t="s">
        <v>1764</v>
      </c>
      <c r="D39" s="1918" t="s">
        <v>1765</v>
      </c>
      <c r="E39" s="1919" t="s">
        <v>1766</v>
      </c>
      <c r="F39" s="1914"/>
      <c r="G39" s="124"/>
      <c r="H39" s="124"/>
      <c r="I39" s="124"/>
    </row>
    <row r="40" spans="1:15" ht="14">
      <c r="A40" s="1920" t="s">
        <v>1767</v>
      </c>
      <c r="B40" s="144"/>
      <c r="C40" s="145"/>
      <c r="D40" s="145"/>
      <c r="E40" s="146"/>
      <c r="F40" s="1914"/>
      <c r="G40" s="124"/>
      <c r="H40" s="124"/>
      <c r="I40" s="124"/>
    </row>
    <row r="41" spans="1:15" ht="14">
      <c r="A41" s="1920" t="s">
        <v>1768</v>
      </c>
      <c r="B41" s="144"/>
      <c r="C41" s="145"/>
      <c r="D41" s="145"/>
      <c r="E41" s="146"/>
      <c r="F41" s="1914"/>
      <c r="G41" s="124"/>
      <c r="H41" s="124"/>
      <c r="I41" s="124"/>
    </row>
    <row r="42" spans="1:15" ht="14.5" thickBot="1">
      <c r="A42" s="1921"/>
      <c r="B42" s="147"/>
      <c r="C42" s="148"/>
      <c r="D42" s="148"/>
      <c r="E42" s="149"/>
      <c r="F42" s="1914"/>
      <c r="G42" s="124"/>
      <c r="H42" s="124"/>
      <c r="I42" s="124"/>
    </row>
    <row r="43" spans="1:15" ht="12.5">
      <c r="A43" s="1700"/>
      <c r="B43" s="1700"/>
      <c r="C43" s="1700"/>
      <c r="D43" s="1700"/>
      <c r="E43" s="1700"/>
      <c r="F43" s="1922"/>
      <c r="G43" s="1922"/>
      <c r="H43" s="1922"/>
      <c r="I43" s="1923"/>
    </row>
    <row r="44" spans="1:15" ht="18">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471" t="s">
        <v>1771</v>
      </c>
      <c r="B45" s="3472"/>
      <c r="C45" s="3473"/>
      <c r="D45" s="150">
        <f ca="1">ROUND(H101*F45,0)</f>
        <v>335285</v>
      </c>
      <c r="E45" s="151" t="s">
        <v>1772</v>
      </c>
      <c r="F45" s="152">
        <v>1</v>
      </c>
      <c r="G45" s="153" t="s">
        <v>1773</v>
      </c>
      <c r="H45" s="124"/>
      <c r="I45" s="124"/>
      <c r="J45" s="3388" t="s">
        <v>1774</v>
      </c>
      <c r="K45" s="3388"/>
      <c r="L45" s="3388"/>
      <c r="M45" s="3388"/>
      <c r="N45" s="3388"/>
      <c r="O45" s="3388"/>
    </row>
    <row r="46" spans="1:15" ht="14.25" customHeight="1">
      <c r="A46" s="3468" t="s">
        <v>1775</v>
      </c>
      <c r="B46" s="3469"/>
      <c r="C46" s="3469"/>
      <c r="D46" s="3469"/>
      <c r="E46" s="3469"/>
      <c r="F46" s="3469"/>
      <c r="G46" s="3470"/>
      <c r="H46" s="1930"/>
      <c r="I46" s="154"/>
      <c r="J46" s="2682">
        <v>1</v>
      </c>
      <c r="K46" s="3389" t="s">
        <v>1776</v>
      </c>
      <c r="L46" s="3389"/>
      <c r="M46" s="3390"/>
      <c r="N46" s="3390"/>
      <c r="O46" s="3390"/>
    </row>
    <row r="47" spans="1:15" ht="12" customHeight="1">
      <c r="A47" s="155" t="s">
        <v>1777</v>
      </c>
      <c r="B47" s="156"/>
      <c r="C47" s="157"/>
      <c r="D47" s="1188" t="s">
        <v>1778</v>
      </c>
      <c r="E47" s="298" t="s">
        <v>1779</v>
      </c>
      <c r="F47" s="158" t="s">
        <v>1780</v>
      </c>
      <c r="G47" s="2705" t="s">
        <v>1781</v>
      </c>
      <c r="H47" s="2706"/>
      <c r="I47" s="154"/>
      <c r="J47" s="2682">
        <v>2</v>
      </c>
      <c r="K47" s="3389" t="s">
        <v>1782</v>
      </c>
      <c r="L47" s="3389"/>
      <c r="M47" s="3391">
        <f>'数据-取费表'!B2</f>
        <v>44692</v>
      </c>
      <c r="N47" s="3391"/>
      <c r="O47" s="3391"/>
    </row>
    <row r="48" spans="1:15" ht="26">
      <c r="A48" s="3454" t="s">
        <v>1783</v>
      </c>
      <c r="B48" s="3455"/>
      <c r="C48" s="3455"/>
      <c r="D48" s="2485" t="b">
        <f>IF(H48="情况1",0,IF(H48="情况2",D52,IF(H48="情况3",D53,IF(H48="情况4",D54))))</f>
        <v>0</v>
      </c>
      <c r="E48" s="2495" t="str">
        <f>IF(H48="情况4","(销售额-原购置价)×税（费）率","销售额×税（费）率")</f>
        <v>销售额×税（费）率</v>
      </c>
      <c r="F48" s="2707">
        <f>IF(H48="情况1","免征",'数据-取费表'!B41)</f>
        <v>5.6000000000000001E-2</v>
      </c>
      <c r="G48" s="2708" t="s">
        <v>1784</v>
      </c>
      <c r="H48" s="2709"/>
      <c r="I48" s="1930"/>
      <c r="J48" s="2682">
        <v>3</v>
      </c>
      <c r="K48" s="3389" t="s">
        <v>1785</v>
      </c>
      <c r="L48" s="3389"/>
      <c r="M48" s="3392">
        <f ca="1">H101</f>
        <v>335285</v>
      </c>
      <c r="N48" s="3392"/>
      <c r="O48" s="3392"/>
    </row>
    <row r="49" spans="1:35" ht="25.5" customHeight="1">
      <c r="A49" s="2494" t="s">
        <v>1786</v>
      </c>
      <c r="B49" s="3437" t="s">
        <v>1787</v>
      </c>
      <c r="C49" s="3437"/>
      <c r="D49" s="1713">
        <v>0</v>
      </c>
      <c r="E49" s="320" t="s">
        <v>1788</v>
      </c>
      <c r="F49" s="2585" t="s">
        <v>34</v>
      </c>
      <c r="G49" s="3420"/>
      <c r="H49" s="2466" t="s">
        <v>2635</v>
      </c>
      <c r="I49" s="2467"/>
      <c r="J49" s="2682">
        <v>4</v>
      </c>
      <c r="K49" s="3389" t="str">
        <f>IF(项目基本情况!E8="房地产抵押价值","房地产抵押价值","抵押担保权已注销时的房地产抵押价值")</f>
        <v>房地产抵押价值</v>
      </c>
      <c r="L49" s="3389"/>
      <c r="M49" s="3392">
        <f ca="1">IF(项目基本情况!E8="房地产抵押价值",H107,H109)</f>
        <v>335285</v>
      </c>
      <c r="N49" s="3392"/>
      <c r="O49" s="3392"/>
    </row>
    <row r="50" spans="1:35" ht="25.5" customHeight="1">
      <c r="A50" s="2710"/>
      <c r="B50" s="3437" t="s">
        <v>1789</v>
      </c>
      <c r="C50" s="3437"/>
      <c r="D50" s="2711"/>
      <c r="E50" s="328"/>
      <c r="F50" s="2585"/>
      <c r="G50" s="3421"/>
      <c r="H50" s="2468" t="s">
        <v>2636</v>
      </c>
      <c r="I50" s="2467"/>
      <c r="J50" s="3388" t="s">
        <v>1790</v>
      </c>
      <c r="K50" s="3388"/>
      <c r="L50" s="3388"/>
      <c r="M50" s="3388"/>
      <c r="N50" s="3388"/>
      <c r="O50" s="3388"/>
    </row>
    <row r="51" spans="1:35" ht="20.5" customHeight="1">
      <c r="A51" s="2712"/>
      <c r="B51" s="3437" t="s">
        <v>1791</v>
      </c>
      <c r="C51" s="3437"/>
      <c r="D51" s="1188"/>
      <c r="E51" s="323"/>
      <c r="F51" s="2585"/>
      <c r="G51" s="3422"/>
      <c r="H51" s="2468" t="s">
        <v>2637</v>
      </c>
      <c r="I51" s="2467"/>
      <c r="J51" s="2683" t="s">
        <v>1792</v>
      </c>
      <c r="K51" s="3389" t="s">
        <v>1793</v>
      </c>
      <c r="L51" s="3389"/>
      <c r="M51" s="2683" t="s">
        <v>1794</v>
      </c>
      <c r="N51" s="2683" t="s">
        <v>1795</v>
      </c>
      <c r="O51" s="2683" t="s">
        <v>1796</v>
      </c>
    </row>
    <row r="52" spans="1:35" ht="24" customHeight="1">
      <c r="A52" s="2496" t="s">
        <v>1797</v>
      </c>
      <c r="B52" s="3437" t="s">
        <v>1798</v>
      </c>
      <c r="C52" s="3437"/>
      <c r="D52" s="1188">
        <f ca="1">ROUND(D45*'数据-取费表'!B41/(1+'数据-取费表'!C42),0)</f>
        <v>17882</v>
      </c>
      <c r="E52" s="2495" t="s">
        <v>1799</v>
      </c>
      <c r="F52" s="2713">
        <f>'数据-取费表'!B41</f>
        <v>5.6000000000000001E-2</v>
      </c>
      <c r="G52" s="2714"/>
      <c r="H52" s="2703"/>
      <c r="I52" s="1931"/>
      <c r="J52" s="2682">
        <v>1</v>
      </c>
      <c r="K52" s="3414" t="s">
        <v>1800</v>
      </c>
      <c r="L52" s="3414"/>
      <c r="M52" s="2684" t="b">
        <f>D48</f>
        <v>0</v>
      </c>
      <c r="N52" s="2682" t="str">
        <f>E48</f>
        <v>销售额×税（费）率</v>
      </c>
      <c r="O52" s="2685">
        <f>F48</f>
        <v>5.6000000000000001E-2</v>
      </c>
    </row>
    <row r="53" spans="1:35" ht="12" customHeight="1">
      <c r="A53" s="2496" t="s">
        <v>1801</v>
      </c>
      <c r="B53" s="3438" t="s">
        <v>2788</v>
      </c>
      <c r="C53" s="3439"/>
      <c r="D53" s="1188">
        <f ca="1">ROUND(D45*'数据-取费表'!B41/(1+'数据-取费表'!C42),0)</f>
        <v>17882</v>
      </c>
      <c r="E53" s="2495" t="s">
        <v>1799</v>
      </c>
      <c r="F53" s="2713">
        <f>'数据-取费表'!B41</f>
        <v>5.6000000000000001E-2</v>
      </c>
      <c r="G53" s="2714"/>
      <c r="H53" s="2703"/>
      <c r="I53" s="1931"/>
      <c r="J53" s="2682">
        <v>2</v>
      </c>
      <c r="K53" s="3414" t="s">
        <v>1802</v>
      </c>
      <c r="L53" s="3414"/>
      <c r="M53" s="2684">
        <f t="shared" ref="M53:O54" ca="1" si="0">D55</f>
        <v>168</v>
      </c>
      <c r="N53" s="2682" t="str">
        <f t="shared" si="0"/>
        <v>销售额×税（费）率</v>
      </c>
      <c r="O53" s="2685" t="str">
        <f t="shared" si="0"/>
        <v>免征</v>
      </c>
    </row>
    <row r="54" spans="1:35" ht="12" customHeight="1">
      <c r="A54" s="2496" t="s">
        <v>1803</v>
      </c>
      <c r="B54" s="3438" t="s">
        <v>2789</v>
      </c>
      <c r="C54" s="3439"/>
      <c r="D54" s="1188">
        <f ca="1">C68</f>
        <v>17882</v>
      </c>
      <c r="E54" s="323" t="s">
        <v>1804</v>
      </c>
      <c r="F54" s="2713">
        <f>'数据-取费表'!B41</f>
        <v>5.6000000000000001E-2</v>
      </c>
      <c r="G54" s="2714"/>
      <c r="H54" s="2715"/>
      <c r="I54" s="1931"/>
      <c r="J54" s="2682">
        <v>3</v>
      </c>
      <c r="K54" s="3414" t="s">
        <v>1805</v>
      </c>
      <c r="L54" s="3414"/>
      <c r="M54" s="2684">
        <f t="shared" ca="1" si="0"/>
        <v>189771</v>
      </c>
      <c r="N54" s="2682" t="str">
        <f t="shared" si="0"/>
        <v>增值额×税（费）率</v>
      </c>
      <c r="O54" s="2686" t="str">
        <f t="shared" si="0"/>
        <v>免征</v>
      </c>
    </row>
    <row r="55" spans="1:35" ht="24" customHeight="1">
      <c r="A55" s="3477" t="s">
        <v>1806</v>
      </c>
      <c r="B55" s="3455"/>
      <c r="C55" s="3455"/>
      <c r="D55" s="2485">
        <f ca="1">IF(H55="个人住宅",0,ROUND(D45*I55,0))</f>
        <v>168</v>
      </c>
      <c r="E55" s="2495" t="s">
        <v>1807</v>
      </c>
      <c r="F55" s="2713" t="str">
        <f>IF(H55="正常",I55,"免征")</f>
        <v>免征</v>
      </c>
      <c r="G55" s="2714"/>
      <c r="H55" s="2709"/>
      <c r="I55" s="160">
        <f>'数据-取费表'!B49</f>
        <v>5.0000000000000001E-4</v>
      </c>
      <c r="J55" s="2682">
        <f>IF(H59="非个人房产","",4)</f>
        <v>4</v>
      </c>
      <c r="K55" s="3414" t="str">
        <f>IF(H59="非个人房产","——","个人所得税")</f>
        <v>个人所得税</v>
      </c>
      <c r="L55" s="3414"/>
      <c r="M55" s="2687">
        <f ca="1">D59</f>
        <v>3193</v>
      </c>
      <c r="N55" s="2166" t="str">
        <f>E59</f>
        <v>差额计税</v>
      </c>
      <c r="O55" s="2688">
        <f>F59</f>
        <v>0.01</v>
      </c>
    </row>
    <row r="56" spans="1:35" ht="26">
      <c r="A56" s="3477" t="s">
        <v>1808</v>
      </c>
      <c r="B56" s="3455"/>
      <c r="C56" s="3455"/>
      <c r="D56" s="2485">
        <f ca="1">IF(H56="个人住宅",D57,D58)</f>
        <v>189771</v>
      </c>
      <c r="E56" s="2495" t="s">
        <v>1809</v>
      </c>
      <c r="F56" s="2713" t="str">
        <f>IF(H56="正常",F58,"免征")</f>
        <v>免征</v>
      </c>
      <c r="G56" s="2716" t="s">
        <v>1810</v>
      </c>
      <c r="H56" s="2717"/>
      <c r="I56" s="1932"/>
      <c r="J56" s="2682" t="str">
        <f>IF(项目基本情况!K6="上海银行",IF(J55="",4,J55+1),"")</f>
        <v/>
      </c>
      <c r="K56" s="3395" t="str">
        <f>IF(项目基本情况!K6="上海银行","其他处置费用","")</f>
        <v/>
      </c>
      <c r="L56" s="3396"/>
      <c r="M56" s="2684" t="str">
        <f>IF(项目基本情况!K6="上海银行",M69,"")</f>
        <v/>
      </c>
      <c r="N56" s="3395" t="str">
        <f>IF(项目基本情况!K6="上海银行","包含处置中涉及的律师、诉讼、拍卖、评估等费用","")</f>
        <v/>
      </c>
      <c r="O56" s="3398"/>
    </row>
    <row r="57" spans="1:35" ht="13">
      <c r="A57" s="2496" t="s">
        <v>1786</v>
      </c>
      <c r="B57" s="3438" t="s">
        <v>1811</v>
      </c>
      <c r="C57" s="3439"/>
      <c r="D57" s="1713">
        <v>0</v>
      </c>
      <c r="E57" s="320" t="s">
        <v>1788</v>
      </c>
      <c r="F57" s="298"/>
      <c r="G57" s="2714"/>
      <c r="H57" s="2718"/>
      <c r="I57" s="1932"/>
      <c r="J57" s="3414">
        <f>IF(AND(J55="",J56=""),4,IF(项目基本情况!K6="上海银行",结果表!J56+1,结果表!J55+1))</f>
        <v>5</v>
      </c>
      <c r="K57" s="3414" t="s">
        <v>1812</v>
      </c>
      <c r="L57" s="2689" t="s">
        <v>1813</v>
      </c>
      <c r="M57" s="2690"/>
      <c r="N57" s="2691">
        <f ca="1">SUMIF(M52:M56,"&lt;9e307")</f>
        <v>193132</v>
      </c>
      <c r="O57" s="2692"/>
      <c r="P57" s="2851">
        <f ca="1">N57/M49</f>
        <v>0.57602338309199641</v>
      </c>
    </row>
    <row r="58" spans="1:35" ht="26">
      <c r="A58" s="2496" t="s">
        <v>1797</v>
      </c>
      <c r="B58" s="3438" t="s">
        <v>1814</v>
      </c>
      <c r="C58" s="3437"/>
      <c r="D58" s="2485">
        <f ca="1">IF(H58="转让取得",C81,C97)</f>
        <v>189771</v>
      </c>
      <c r="E58" s="2495" t="s">
        <v>1809</v>
      </c>
      <c r="F58" s="298" t="s">
        <v>34</v>
      </c>
      <c r="G58" s="2714"/>
      <c r="H58" s="2717"/>
      <c r="I58" s="1932"/>
      <c r="J58" s="3414"/>
      <c r="K58" s="3414"/>
      <c r="L58" s="2689" t="s">
        <v>1815</v>
      </c>
      <c r="M58" s="2693"/>
      <c r="N58" s="2694" t="str">
        <f ca="1">NUMBERSTRING(INT(N57*10000),2)&amp;"元整"</f>
        <v>壹拾玖亿叁仟壹佰叁拾贰万元整</v>
      </c>
      <c r="O58" s="2695"/>
    </row>
    <row r="59" spans="1:35" ht="26.5" thickBot="1">
      <c r="A59" s="3418" t="s">
        <v>1816</v>
      </c>
      <c r="B59" s="3419"/>
      <c r="C59" s="3419"/>
      <c r="D59" s="2719">
        <f ca="1">IF(H59="非个人房产","——",IF(H59="个人住宅（满五唯一有凭证）",0,IF(H59="个人其他（无凭证）",ROUND(D45*F59,0),ROUND(C67*F59,0))))</f>
        <v>3193</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1810</v>
      </c>
      <c r="H59" s="2470"/>
      <c r="I59" s="2469" t="s">
        <v>2638</v>
      </c>
      <c r="J59" s="3416">
        <f>J57+1</f>
        <v>6</v>
      </c>
      <c r="K59" s="3414" t="s">
        <v>1817</v>
      </c>
      <c r="L59" s="2682" t="s">
        <v>1813</v>
      </c>
      <c r="M59" s="2696"/>
      <c r="N59" s="2697">
        <f ca="1">M49-N57</f>
        <v>142153</v>
      </c>
      <c r="O59" s="2698"/>
    </row>
    <row r="60" spans="1:35" ht="12" customHeight="1">
      <c r="A60" s="1933"/>
      <c r="B60" s="1871"/>
      <c r="C60" s="1871"/>
      <c r="D60" s="1871"/>
      <c r="E60" s="1701"/>
      <c r="F60" s="1932"/>
      <c r="G60" s="1932"/>
      <c r="H60" s="1934"/>
      <c r="I60" s="124"/>
      <c r="J60" s="3417"/>
      <c r="K60" s="3414"/>
      <c r="L60" s="2689" t="s">
        <v>1815</v>
      </c>
      <c r="M60" s="2693"/>
      <c r="N60" s="2694" t="str">
        <f ca="1">NUMBERSTRING(INT(N59*10000),2)&amp;"元整"</f>
        <v>壹拾肆亿贰仟壹佰伍拾叁万元整</v>
      </c>
      <c r="O60" s="2695"/>
    </row>
    <row r="61" spans="1:35" ht="13.5" thickBot="1">
      <c r="A61" s="3476" t="s">
        <v>1818</v>
      </c>
      <c r="B61" s="3476"/>
      <c r="C61" s="3476"/>
      <c r="D61" s="3476"/>
      <c r="E61" s="3476"/>
      <c r="F61" s="1932"/>
      <c r="G61" s="1932"/>
      <c r="H61" s="1934"/>
      <c r="I61" s="124"/>
      <c r="J61" s="2682">
        <f>J59+1</f>
        <v>7</v>
      </c>
      <c r="K61" s="3414" t="s">
        <v>1819</v>
      </c>
      <c r="L61" s="3414"/>
      <c r="M61" s="2699"/>
      <c r="N61" s="2700">
        <f ca="1">ROUND(N59*10000/'数据-汇总表'!E3,0)</f>
        <v>14459</v>
      </c>
      <c r="O61" s="2701"/>
    </row>
    <row r="62" spans="1:35" ht="13">
      <c r="A62" s="3433" t="s">
        <v>1820</v>
      </c>
      <c r="B62" s="3434"/>
      <c r="C62" s="2147"/>
      <c r="D62" s="2147" t="s">
        <v>1821</v>
      </c>
      <c r="E62" s="161" t="s">
        <v>1822</v>
      </c>
      <c r="F62" s="1932"/>
      <c r="G62" s="1932"/>
      <c r="H62" s="1934"/>
      <c r="I62" s="124"/>
    </row>
    <row r="63" spans="1:35" ht="13">
      <c r="A63" s="168" t="s">
        <v>594</v>
      </c>
      <c r="B63" s="162" t="s">
        <v>1823</v>
      </c>
      <c r="C63" s="2723">
        <f ca="1">ROUND((C64+C65)/(1+'数据-取费表'!C42),0)</f>
        <v>319319</v>
      </c>
      <c r="D63" s="162"/>
      <c r="E63" s="163"/>
      <c r="F63" s="1932"/>
      <c r="G63" s="1932"/>
      <c r="H63" s="1934"/>
      <c r="I63" s="124"/>
      <c r="J63" s="3397" t="s">
        <v>1824</v>
      </c>
      <c r="K63" s="1440" t="s">
        <v>1825</v>
      </c>
      <c r="L63" s="1440">
        <f ca="1">IF(M49&gt;10000,M49*0.5%,IF(AND(M49&gt;1000,M49&lt;=10000),M49*1%,IF(AND(M49&gt;100,M49&lt;=1000),M49*3%,IF(AND(M49&gt;10,M49&lt;=100),M49*5%,M49*8%))))</f>
        <v>1676.425</v>
      </c>
      <c r="M63" s="298">
        <f ca="1">ROUND(L63,1)</f>
        <v>1676.4</v>
      </c>
      <c r="N63" s="2702"/>
      <c r="Z63" s="1876"/>
      <c r="AI63" s="1877"/>
    </row>
    <row r="64" spans="1:35" ht="14.25" customHeight="1">
      <c r="A64" s="164" t="s">
        <v>589</v>
      </c>
      <c r="B64" s="165" t="s">
        <v>1826</v>
      </c>
      <c r="C64" s="2724">
        <f ca="1">D45</f>
        <v>335285</v>
      </c>
      <c r="D64" s="165" t="s">
        <v>32</v>
      </c>
      <c r="E64" s="167"/>
      <c r="F64" s="1932"/>
      <c r="G64" s="1932"/>
      <c r="H64" s="1934"/>
      <c r="I64" s="124"/>
      <c r="J64" s="3397"/>
      <c r="K64" s="1440" t="s">
        <v>1827</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703" t="s">
        <v>1828</v>
      </c>
      <c r="Z64" s="1876"/>
      <c r="AI64" s="1877"/>
    </row>
    <row r="65" spans="1:35" ht="14.25" customHeight="1">
      <c r="A65" s="164" t="s">
        <v>590</v>
      </c>
      <c r="B65" s="165" t="s">
        <v>1829</v>
      </c>
      <c r="C65" s="2725"/>
      <c r="D65" s="165"/>
      <c r="E65" s="167"/>
      <c r="F65" s="1932"/>
      <c r="G65" s="1932"/>
      <c r="H65" s="1934"/>
      <c r="I65" s="124"/>
      <c r="J65" s="3397"/>
      <c r="K65" s="1440" t="s">
        <v>1830</v>
      </c>
      <c r="L65" s="1440">
        <f ca="1">IF(M49&gt;1000,M49*0.1%,IF(AND(M49&gt;500,M49&lt;=1000),M49*0.5%,IF(AND(M49&gt;50,M49&lt;=500),M49*1%,IF(AND(M49&gt;1,M49&lt;=50),M49*1.5%))))</f>
        <v>335.28500000000003</v>
      </c>
      <c r="M65" s="298">
        <f t="shared" ca="1" si="1"/>
        <v>335.3</v>
      </c>
      <c r="N65" s="2703" t="s">
        <v>1828</v>
      </c>
      <c r="Z65" s="1876"/>
      <c r="AI65" s="1877"/>
    </row>
    <row r="66" spans="1:35" ht="14.25" customHeight="1">
      <c r="A66" s="168" t="s">
        <v>591</v>
      </c>
      <c r="B66" s="169" t="s">
        <v>1831</v>
      </c>
      <c r="C66" s="2726"/>
      <c r="D66" s="169" t="s">
        <v>32</v>
      </c>
      <c r="E66" s="1447" t="s">
        <v>1096</v>
      </c>
      <c r="F66" s="1932"/>
      <c r="G66" s="1932"/>
      <c r="H66" s="1934"/>
      <c r="I66" s="124"/>
      <c r="J66" s="3397"/>
      <c r="K66" s="1440" t="s">
        <v>1832</v>
      </c>
      <c r="L66" s="1440">
        <f ca="1">M49*0.5%</f>
        <v>1676.425</v>
      </c>
      <c r="M66" s="298">
        <f ca="1">IF(L66&gt;0.5,0.5,ROUND(L66,0))</f>
        <v>0.5</v>
      </c>
      <c r="N66" s="2703" t="s">
        <v>1833</v>
      </c>
      <c r="Z66" s="1876"/>
      <c r="AI66" s="1877"/>
    </row>
    <row r="67" spans="1:35" ht="14.25" customHeight="1">
      <c r="A67" s="168" t="s">
        <v>592</v>
      </c>
      <c r="B67" s="169" t="s">
        <v>1834</v>
      </c>
      <c r="C67" s="2727">
        <f ca="1">C63-C66</f>
        <v>319319</v>
      </c>
      <c r="D67" s="165" t="s">
        <v>32</v>
      </c>
      <c r="E67" s="167"/>
      <c r="F67" s="1932"/>
      <c r="G67" s="1932"/>
      <c r="H67" s="1934"/>
      <c r="I67" s="124"/>
      <c r="J67" s="3397"/>
      <c r="K67" s="1440" t="s">
        <v>1835</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702"/>
      <c r="Z67" s="1876"/>
      <c r="AI67" s="1877"/>
    </row>
    <row r="68" spans="1:35" ht="14.25" customHeight="1" thickBot="1">
      <c r="A68" s="171" t="s">
        <v>593</v>
      </c>
      <c r="B68" s="172" t="s">
        <v>1836</v>
      </c>
      <c r="C68" s="2728">
        <f ca="1">IF(C67&lt;=0,0,ROUND(C67*D68,0))</f>
        <v>17882</v>
      </c>
      <c r="D68" s="2729">
        <f>'数据-取费表'!B41</f>
        <v>5.6000000000000001E-2</v>
      </c>
      <c r="E68" s="174"/>
      <c r="F68" s="1932"/>
      <c r="G68" s="1932"/>
      <c r="H68" s="1934"/>
      <c r="I68" s="124"/>
      <c r="J68" s="3397"/>
      <c r="K68" s="1440" t="s">
        <v>1837</v>
      </c>
      <c r="L68" s="1440">
        <f ca="1">IF(M49&gt;10000,M49*0.5%,IF(AND(M49&gt;5000,M49&lt;=10000),M49*1%,IF(AND(M49&gt;1000,M49&lt;=5000),M49*2%,IF(AND(M49&gt;200,M49&lt;=1000),M49*3%,M49*5%))))</f>
        <v>1676.425</v>
      </c>
      <c r="M68" s="298">
        <f ca="1">ROUND(L68,1)</f>
        <v>1676.4</v>
      </c>
      <c r="N68" s="2702"/>
      <c r="Z68" s="1876"/>
      <c r="AI68" s="1877"/>
    </row>
    <row r="69" spans="1:35" s="1896" customFormat="1" ht="16.5" customHeight="1">
      <c r="A69" s="1935"/>
      <c r="B69" s="1936"/>
      <c r="C69" s="1937"/>
      <c r="D69" s="1938"/>
      <c r="E69" s="1939"/>
      <c r="F69" s="1701"/>
      <c r="G69" s="1701"/>
      <c r="H69" s="1700"/>
      <c r="I69" s="1871"/>
      <c r="J69" s="3397"/>
      <c r="K69" s="1440" t="s">
        <v>1838</v>
      </c>
      <c r="L69" s="1440"/>
      <c r="M69" s="298">
        <f ca="1">ROUND(SUM(M63:M68),0)</f>
        <v>5402</v>
      </c>
      <c r="N69" s="270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4.5" thickBot="1">
      <c r="A70" s="3441" t="s">
        <v>1839</v>
      </c>
      <c r="B70" s="3442"/>
      <c r="C70" s="3442"/>
      <c r="D70" s="3442"/>
      <c r="E70" s="3442"/>
      <c r="F70" s="3442"/>
      <c r="G70" s="3442"/>
      <c r="H70" s="3442"/>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
      <c r="A71" s="3433" t="s">
        <v>1820</v>
      </c>
      <c r="B71" s="3434"/>
      <c r="C71" s="2147"/>
      <c r="D71" s="2147" t="s">
        <v>1821</v>
      </c>
      <c r="E71" s="175" t="s">
        <v>1822</v>
      </c>
      <c r="F71" s="176"/>
      <c r="G71" s="176"/>
      <c r="H71" s="177"/>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
      <c r="A72" s="168" t="s">
        <v>594</v>
      </c>
      <c r="B72" s="169" t="s">
        <v>1840</v>
      </c>
      <c r="C72" s="2727">
        <f ca="1">ROUND(D45/(1+'数据-取费表'!C42),0)</f>
        <v>319319</v>
      </c>
      <c r="D72" s="165" t="s">
        <v>32</v>
      </c>
      <c r="E72" s="2492"/>
      <c r="F72" s="2491"/>
      <c r="G72" s="2491"/>
      <c r="H72" s="178"/>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
      <c r="A73" s="168" t="s">
        <v>591</v>
      </c>
      <c r="B73" s="158" t="s">
        <v>1841</v>
      </c>
      <c r="C73" s="272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6">
      <c r="A74" s="164" t="s">
        <v>589</v>
      </c>
      <c r="B74" s="165" t="s">
        <v>1842</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
      <c r="A75" s="164" t="s">
        <v>595</v>
      </c>
      <c r="B75" s="165" t="s">
        <v>1843</v>
      </c>
      <c r="C75" s="2730"/>
      <c r="D75" s="165" t="s">
        <v>32</v>
      </c>
      <c r="E75" s="180" t="s">
        <v>1844</v>
      </c>
      <c r="F75" s="2731"/>
      <c r="G75" s="180" t="s">
        <v>1845</v>
      </c>
      <c r="H75" s="273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1846</v>
      </c>
      <c r="C76" s="165">
        <f>IF(F75="购房发票",ROUND(C75*H75*D76,0),0)</f>
        <v>0</v>
      </c>
      <c r="D76" s="2733">
        <v>0.05</v>
      </c>
      <c r="E76" s="3438" t="s">
        <v>1847</v>
      </c>
      <c r="F76" s="3437"/>
      <c r="G76" s="3437"/>
      <c r="H76" s="3440"/>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1848</v>
      </c>
      <c r="C77" s="165">
        <f>ROUND(IF(G77="个人住宅",0,IF(G77="2016年5月1日前购买",C75*D77,C75*D77/(1+'数据-取费表'!C42))),0)</f>
        <v>0</v>
      </c>
      <c r="D77" s="2734">
        <f>'数据-取费表'!B48+'数据-取费表'!B49</f>
        <v>3.0499999999999999E-2</v>
      </c>
      <c r="E77" s="2485" t="s">
        <v>1849</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1850</v>
      </c>
      <c r="C78" s="2735">
        <f ca="1">ROUND(D45*D78/(1+'数据-取费表'!C42),0)</f>
        <v>1916</v>
      </c>
      <c r="D78" s="2736">
        <f>'数据-取费表'!B43</f>
        <v>6.000000000000001E-3</v>
      </c>
      <c r="E78" s="3430" t="s">
        <v>1851</v>
      </c>
      <c r="F78" s="3431"/>
      <c r="G78" s="3431"/>
      <c r="H78" s="3432"/>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
      <c r="A79" s="168" t="s">
        <v>598</v>
      </c>
      <c r="B79" s="169" t="s">
        <v>1852</v>
      </c>
      <c r="C79" s="272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6">
      <c r="A80" s="168" t="s">
        <v>599</v>
      </c>
      <c r="B80" s="169" t="s">
        <v>1853</v>
      </c>
      <c r="C80" s="273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6.5" thickBot="1">
      <c r="A81" s="171" t="s">
        <v>600</v>
      </c>
      <c r="B81" s="172" t="s">
        <v>1854</v>
      </c>
      <c r="C81" s="2738">
        <f ca="1">ROUND(IF(C79&lt;=0,0,IF(C80&gt;=200%,C79*60%-C73*35%,IF(C80&gt;=100%,C79*50%-C73*15%,IF(C80&gt;=50%,C79*40%-C73*5%,IF(C80&lt;50%,C79*30%,0))))),0)</f>
        <v>189771</v>
      </c>
      <c r="D81" s="273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4.5" thickBot="1">
      <c r="A83" s="3441" t="s">
        <v>1855</v>
      </c>
      <c r="B83" s="3442"/>
      <c r="C83" s="3442"/>
      <c r="D83" s="3442"/>
      <c r="E83" s="3442"/>
      <c r="F83" s="3442"/>
      <c r="G83" s="3442"/>
      <c r="H83" s="3442"/>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
      <c r="A84" s="3433" t="s">
        <v>1820</v>
      </c>
      <c r="B84" s="3434"/>
      <c r="C84" s="2147"/>
      <c r="D84" s="2147" t="s">
        <v>1821</v>
      </c>
      <c r="E84" s="175" t="s">
        <v>1822</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
      <c r="A85" s="168" t="s">
        <v>594</v>
      </c>
      <c r="B85" s="169" t="s">
        <v>1840</v>
      </c>
      <c r="C85" s="272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
      <c r="A86" s="168" t="s">
        <v>591</v>
      </c>
      <c r="B86" s="158" t="s">
        <v>1841</v>
      </c>
      <c r="C86" s="2727">
        <f ca="1">IF(H88="仅含出让金",C87+C90+C91+C92+C93+C94,C87+C91+C92+C93+C94)</f>
        <v>1916</v>
      </c>
      <c r="D86" s="274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
      <c r="A87" s="164" t="s">
        <v>589</v>
      </c>
      <c r="B87" s="165" t="s">
        <v>1856</v>
      </c>
      <c r="C87" s="2735">
        <f>C88+C89</f>
        <v>0</v>
      </c>
      <c r="D87" s="273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
      <c r="A88" s="164" t="s">
        <v>595</v>
      </c>
      <c r="B88" s="165" t="s">
        <v>1857</v>
      </c>
      <c r="C88" s="2741"/>
      <c r="D88" s="2736"/>
      <c r="E88" s="189" t="s">
        <v>1858</v>
      </c>
      <c r="F88" s="2488"/>
      <c r="G88" s="190" t="s">
        <v>1859</v>
      </c>
      <c r="H88" s="1948"/>
      <c r="I88" s="1945"/>
      <c r="J88" s="2680" t="s">
        <v>2785</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
      <c r="A89" s="164" t="s">
        <v>596</v>
      </c>
      <c r="B89" s="165" t="s">
        <v>1848</v>
      </c>
      <c r="C89" s="2735">
        <f>ROUND(C88*D89,0)</f>
        <v>0</v>
      </c>
      <c r="D89" s="2736">
        <f>'数据-取费表'!B48+'数据-取费表'!B49</f>
        <v>3.0499999999999999E-2</v>
      </c>
      <c r="E89" s="189" t="s">
        <v>1860</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
      <c r="A90" s="164" t="s">
        <v>590</v>
      </c>
      <c r="B90" s="165" t="s">
        <v>1861</v>
      </c>
      <c r="C90" s="2741"/>
      <c r="D90" s="2736"/>
      <c r="E90" s="189" t="str">
        <f>IF(H88="-","土地取得成本中已包含该笔费用"," ")</f>
        <v xml:space="preserve"> </v>
      </c>
      <c r="F90" s="2488"/>
      <c r="G90" s="3399" t="s">
        <v>2630</v>
      </c>
      <c r="H90" s="3400"/>
      <c r="I90" s="1945"/>
      <c r="J90" s="2680" t="s">
        <v>2786</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1862</v>
      </c>
      <c r="B91" s="165" t="s">
        <v>1863</v>
      </c>
      <c r="C91" s="2735">
        <f>IF(H91="——",成本法!C33,I91)</f>
        <v>0</v>
      </c>
      <c r="D91" s="2736"/>
      <c r="E91" s="3430" t="s">
        <v>1864</v>
      </c>
      <c r="F91" s="3431"/>
      <c r="G91" s="3431"/>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1865</v>
      </c>
      <c r="B92" s="165" t="s">
        <v>1866</v>
      </c>
      <c r="C92" s="2735">
        <f>ROUND((C87+C90+C91)*D92,0)</f>
        <v>0</v>
      </c>
      <c r="D92" s="2742"/>
      <c r="E92" s="3430" t="s">
        <v>1867</v>
      </c>
      <c r="F92" s="3431"/>
      <c r="G92" s="3431"/>
      <c r="H92" s="3432"/>
      <c r="I92" s="1945"/>
      <c r="J92" s="2681" t="s">
        <v>2787</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1868</v>
      </c>
      <c r="B93" s="165" t="s">
        <v>1850</v>
      </c>
      <c r="C93" s="2735">
        <f ca="1">ROUND(D45*D93/(1+'数据-取费表'!C42),0)</f>
        <v>1916</v>
      </c>
      <c r="D93" s="2736">
        <f>'数据-取费表'!B43</f>
        <v>6.000000000000001E-3</v>
      </c>
      <c r="E93" s="3430" t="s">
        <v>1851</v>
      </c>
      <c r="F93" s="3431"/>
      <c r="G93" s="3431"/>
      <c r="H93" s="3432"/>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1869</v>
      </c>
      <c r="B94" s="165" t="s">
        <v>1870</v>
      </c>
      <c r="C94" s="2741">
        <f>ROUND((C87+C90+C91)*D94,0)</f>
        <v>0</v>
      </c>
      <c r="D94" s="2736">
        <v>0.2</v>
      </c>
      <c r="E94" s="3478" t="s">
        <v>1871</v>
      </c>
      <c r="F94" s="3479"/>
      <c r="G94" s="3479"/>
      <c r="H94" s="3480"/>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
      <c r="A95" s="168" t="s">
        <v>598</v>
      </c>
      <c r="B95" s="169" t="s">
        <v>1852</v>
      </c>
      <c r="C95" s="2727">
        <f ca="1">ROUND(C85-C86,0)</f>
        <v>317403</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6">
      <c r="A96" s="168" t="s">
        <v>599</v>
      </c>
      <c r="B96" s="169" t="s">
        <v>1853</v>
      </c>
      <c r="C96" s="2737">
        <f ca="1">IF(C95&lt;=0,0,C95/C86)</f>
        <v>165.65918580375782</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增值额超过扣除项目金额200%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6.5" thickBot="1">
      <c r="A97" s="171" t="s">
        <v>600</v>
      </c>
      <c r="B97" s="172" t="s">
        <v>1854</v>
      </c>
      <c r="C97" s="2738">
        <f ca="1">ROUND(IF(C95&lt;=0,0,IF(C96&gt;=200%,C95*60%-C86*35%,IF(C96&gt;=100%,C95*50%-C86*15%,IF(C96&gt;=50%,C95*40%-C86*5%,IF(C96&lt;50%,C95*30%,0))))),0)</f>
        <v>189771</v>
      </c>
      <c r="D97" s="273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1872</v>
      </c>
      <c r="B99" s="1871"/>
      <c r="C99" s="1871"/>
      <c r="D99" s="1871"/>
      <c r="E99" s="1701"/>
      <c r="F99" s="1701"/>
      <c r="G99" s="1701"/>
      <c r="H99" s="1700"/>
      <c r="I99" s="124"/>
    </row>
    <row r="100" spans="1:35" ht="18.75" customHeight="1">
      <c r="A100" s="3380" t="s">
        <v>1873</v>
      </c>
      <c r="B100" s="3381"/>
      <c r="C100" s="3381"/>
      <c r="D100" s="3415"/>
      <c r="E100" s="3381" t="s">
        <v>1874</v>
      </c>
      <c r="F100" s="3381"/>
      <c r="G100" s="3381"/>
      <c r="H100" s="3415"/>
      <c r="I100" s="124"/>
    </row>
    <row r="101" spans="1:35" ht="18.75" customHeight="1">
      <c r="A101" s="3423" t="s">
        <v>1875</v>
      </c>
      <c r="B101" s="3424"/>
      <c r="C101" s="2744" t="str">
        <f>C4</f>
        <v>成本法</v>
      </c>
      <c r="D101" s="2745" t="str">
        <f>D4</f>
        <v>收益法-酒店模型</v>
      </c>
      <c r="E101" s="3393" t="s">
        <v>1876</v>
      </c>
      <c r="F101" s="3394"/>
      <c r="G101" s="1951" t="s">
        <v>1877</v>
      </c>
      <c r="H101" s="2754">
        <f ca="1">H118</f>
        <v>335285</v>
      </c>
      <c r="I101" s="124"/>
    </row>
    <row r="102" spans="1:35" ht="18.75" customHeight="1">
      <c r="A102" s="3425" t="s">
        <v>1878</v>
      </c>
      <c r="B102" s="2743" t="s">
        <v>1877</v>
      </c>
      <c r="C102" s="2744">
        <f ca="1">C19</f>
        <v>384371</v>
      </c>
      <c r="D102" s="2745">
        <f ca="1">D19</f>
        <v>220750</v>
      </c>
      <c r="E102" s="3393"/>
      <c r="F102" s="3394"/>
      <c r="G102" s="1951" t="s">
        <v>1879</v>
      </c>
      <c r="H102" s="2714">
        <f ca="1">I118</f>
        <v>34104</v>
      </c>
      <c r="I102" s="124"/>
    </row>
    <row r="103" spans="1:35" ht="42.75" customHeight="1">
      <c r="A103" s="3425"/>
      <c r="B103" s="2743" t="s">
        <v>1879</v>
      </c>
      <c r="C103" s="2746">
        <f ca="1">C20</f>
        <v>39097</v>
      </c>
      <c r="D103" s="2747">
        <f ca="1">D20</f>
        <v>22454</v>
      </c>
      <c r="E103" s="3386" t="s">
        <v>1880</v>
      </c>
      <c r="F103" s="3387"/>
      <c r="G103" s="1952" t="s">
        <v>1881</v>
      </c>
      <c r="H103" s="2754">
        <f>IF(D36="正常操作",H104+H105+H106,H105+H106)</f>
        <v>0</v>
      </c>
      <c r="I103" s="124"/>
    </row>
    <row r="104" spans="1:35" ht="18.75" customHeight="1">
      <c r="A104" s="3425" t="s">
        <v>1882</v>
      </c>
      <c r="B104" s="2748" t="s">
        <v>1877</v>
      </c>
      <c r="C104" s="2749">
        <f ca="1">H118</f>
        <v>335285</v>
      </c>
      <c r="D104" s="2750"/>
      <c r="E104" s="1798" t="s">
        <v>1883</v>
      </c>
      <c r="F104" s="1789"/>
      <c r="G104" s="1952" t="s">
        <v>1881</v>
      </c>
      <c r="H104" s="2755">
        <f>IF(D36="同一抵押权人同一抵押物续贷",C36&amp;"（续贷，未扣减，详见特别提示）",C36)</f>
        <v>0</v>
      </c>
      <c r="I104" s="124"/>
    </row>
    <row r="105" spans="1:35" ht="18.75" customHeight="1" thickBot="1">
      <c r="A105" s="3435"/>
      <c r="B105" s="2751" t="s">
        <v>1879</v>
      </c>
      <c r="C105" s="2752">
        <f ca="1">I118</f>
        <v>34104</v>
      </c>
      <c r="D105" s="2753"/>
      <c r="E105" s="1798" t="s">
        <v>1884</v>
      </c>
      <c r="F105" s="1789"/>
      <c r="G105" s="1952" t="s">
        <v>1881</v>
      </c>
      <c r="H105" s="2756">
        <f>C37</f>
        <v>0</v>
      </c>
      <c r="I105" s="124"/>
    </row>
    <row r="106" spans="1:35" ht="18.75" customHeight="1">
      <c r="A106" s="1871" t="s">
        <v>1885</v>
      </c>
      <c r="B106" s="1871"/>
      <c r="C106" s="1871"/>
      <c r="D106" s="1871"/>
      <c r="E106" s="1953" t="s">
        <v>1886</v>
      </c>
      <c r="F106" s="1789"/>
      <c r="G106" s="1952" t="s">
        <v>1881</v>
      </c>
      <c r="H106" s="2756">
        <f>C38</f>
        <v>0</v>
      </c>
      <c r="I106" s="124"/>
    </row>
    <row r="107" spans="1:35" ht="18.75" customHeight="1">
      <c r="A107" s="124"/>
      <c r="B107" s="124"/>
      <c r="C107" s="124"/>
      <c r="D107" s="124"/>
      <c r="E107" s="3426" t="str">
        <f>IF(项目基本情况!E8="已注销","——","3.房地产抵押价值")</f>
        <v>3.房地产抵押价值</v>
      </c>
      <c r="F107" s="3394"/>
      <c r="G107" s="1951" t="s">
        <v>1877</v>
      </c>
      <c r="H107" s="2754">
        <f ca="1">IF(E107="——","——",H101-H103)</f>
        <v>335285</v>
      </c>
      <c r="I107" s="124"/>
    </row>
    <row r="108" spans="1:35" ht="18.75" customHeight="1">
      <c r="A108" s="124"/>
      <c r="B108" s="124"/>
      <c r="C108" s="124"/>
      <c r="D108" s="124"/>
      <c r="E108" s="3426"/>
      <c r="F108" s="3394"/>
      <c r="G108" s="1951" t="s">
        <v>1879</v>
      </c>
      <c r="H108" s="2714">
        <f ca="1">ROUND(H107*10000/'数据-汇总表'!E3,0)</f>
        <v>34104</v>
      </c>
      <c r="I108" s="124"/>
    </row>
    <row r="109" spans="1:35" ht="18.75" customHeight="1">
      <c r="A109" s="124"/>
      <c r="B109" s="124"/>
      <c r="C109" s="124"/>
      <c r="D109" s="124"/>
      <c r="E109" s="3426" t="str">
        <f>IF(项目基本情况!E8="已注销及未注销","4.抵押担保权已注销时的房地产抵押价值",IF(项目基本情况!E8="已注销","3.抵押担保权已注销时的房地产抵押价值","——"))</f>
        <v>——</v>
      </c>
      <c r="F109" s="3394"/>
      <c r="G109" s="1951" t="s">
        <v>1877</v>
      </c>
      <c r="H109" s="2757" t="str">
        <f>IF(E109="——","——",H101-H105-H106)</f>
        <v>——</v>
      </c>
      <c r="I109" s="124"/>
    </row>
    <row r="110" spans="1:35" ht="18.75" customHeight="1">
      <c r="A110" s="124"/>
      <c r="B110" s="124"/>
      <c r="C110" s="124"/>
      <c r="D110" s="124"/>
      <c r="E110" s="3426"/>
      <c r="F110" s="3394"/>
      <c r="G110" s="1951" t="s">
        <v>1879</v>
      </c>
      <c r="H110" s="2714" t="str">
        <f>IF(H109="——","——",ROUND(H109*10000/'数据-汇总表'!E3,0))</f>
        <v>——</v>
      </c>
      <c r="I110" s="124"/>
    </row>
    <row r="111" spans="1:35" ht="18.75" customHeight="1">
      <c r="A111" s="124"/>
      <c r="B111" s="124"/>
      <c r="C111" s="124"/>
      <c r="D111" s="124"/>
      <c r="E111" s="3427" t="str">
        <f>IF(项目基本情况!E9="抵押净值",IF(OR(项目基本情况!E8="已注销",项目基本情况!E8="房地产抵押价值"),"4.抵押净值","5.抵押净值"),"——")</f>
        <v>——</v>
      </c>
      <c r="F111" s="3413"/>
      <c r="G111" s="1951" t="s">
        <v>1877</v>
      </c>
      <c r="H111" s="2754" t="str">
        <f>IF(E111="——","——",N59)</f>
        <v>——</v>
      </c>
      <c r="I111" s="124"/>
    </row>
    <row r="112" spans="1:35" ht="18.75" customHeight="1" thickBot="1">
      <c r="A112" s="124"/>
      <c r="B112" s="124"/>
      <c r="C112" s="124"/>
      <c r="D112" s="124"/>
      <c r="E112" s="3428"/>
      <c r="F112" s="3429"/>
      <c r="G112" s="1954" t="s">
        <v>1879</v>
      </c>
      <c r="H112" s="2758" t="str">
        <f>IF(E111="——","——",N61)</f>
        <v>——</v>
      </c>
      <c r="I112" s="124"/>
    </row>
    <row r="113" spans="1:27" ht="18.75" customHeight="1">
      <c r="A113" s="124"/>
      <c r="B113" s="124"/>
      <c r="C113" s="124"/>
      <c r="D113" s="124"/>
      <c r="E113" s="3436" t="s">
        <v>1885</v>
      </c>
      <c r="F113" s="3436"/>
      <c r="G113" s="3436"/>
      <c r="H113" s="3436"/>
      <c r="I113" s="124"/>
    </row>
    <row r="114" spans="1:27" ht="3.75" customHeight="1">
      <c r="A114" s="1871"/>
      <c r="B114" s="1871"/>
      <c r="C114" s="1871"/>
      <c r="D114" s="1871"/>
      <c r="E114" s="1933"/>
      <c r="F114" s="1933"/>
      <c r="G114" s="1933"/>
      <c r="H114" s="1933"/>
      <c r="I114" s="1871"/>
    </row>
    <row r="115" spans="1:27" ht="18.75" customHeight="1">
      <c r="A115" s="3447" t="s">
        <v>1887</v>
      </c>
      <c r="B115" s="3448"/>
      <c r="C115" s="3448"/>
      <c r="D115" s="3448"/>
      <c r="E115" s="3448"/>
      <c r="F115" s="3448"/>
      <c r="G115" s="3448"/>
      <c r="H115" s="3448"/>
      <c r="I115" s="3449"/>
    </row>
    <row r="116" spans="1:27" ht="27" customHeight="1">
      <c r="A116" s="3401" t="s">
        <v>1888</v>
      </c>
      <c r="B116" s="3405" t="s">
        <v>1889</v>
      </c>
      <c r="C116" s="3405" t="s">
        <v>1890</v>
      </c>
      <c r="D116" s="3411" t="s">
        <v>1891</v>
      </c>
      <c r="E116" s="3412"/>
      <c r="F116" s="3443" t="s">
        <v>1892</v>
      </c>
      <c r="G116" s="3443"/>
      <c r="H116" s="3401" t="s">
        <v>1893</v>
      </c>
      <c r="I116" s="3401"/>
    </row>
    <row r="117" spans="1:27" ht="18.75" customHeight="1">
      <c r="A117" s="3401"/>
      <c r="B117" s="3406"/>
      <c r="C117" s="3406"/>
      <c r="D117" s="2490" t="s">
        <v>1894</v>
      </c>
      <c r="E117" s="2490" t="s">
        <v>1895</v>
      </c>
      <c r="F117" s="2490" t="s">
        <v>1894</v>
      </c>
      <c r="G117" s="2490" t="s">
        <v>1896</v>
      </c>
      <c r="H117" s="2490" t="s">
        <v>1894</v>
      </c>
      <c r="I117" s="2490" t="s">
        <v>1896</v>
      </c>
    </row>
    <row r="118" spans="1:27" ht="24.75" customHeight="1">
      <c r="A118" s="2759" t="str">
        <f>项目基本情况!S2</f>
        <v>北京市海淀区板井路69号世纪金源大饭店房地产</v>
      </c>
      <c r="B118" s="2490">
        <f>M18</f>
        <v>98312.17</v>
      </c>
      <c r="C118" s="2490">
        <f>M19</f>
        <v>28178.74</v>
      </c>
      <c r="D118" s="2490">
        <f ca="1">ROUND(IF(D32="总价",C34,E118*B118/10000),0)</f>
        <v>254817</v>
      </c>
      <c r="E118" s="2490">
        <f ca="1">ROUND(IF(C33="自定义",IF(D32="楼面单价",C34,D118*10000/B118),I118-G118),0)</f>
        <v>25919</v>
      </c>
      <c r="F118" s="2490">
        <f ca="1">ROUND(IF(D32="总价",C35,G118*B118/10000),0)</f>
        <v>80468</v>
      </c>
      <c r="G118" s="2490">
        <f ca="1">ROUND(IF(D32="楼面单价",C35,F118*10000/B118),0)</f>
        <v>8185</v>
      </c>
      <c r="H118" s="2490">
        <f ca="1">ROUND(IF(D32="总价",C32,I118*B118/10000),0)</f>
        <v>335285</v>
      </c>
      <c r="I118" s="2490">
        <f ca="1">ROUND(IF(D32="楼面单价",C32,H118*10000/B118),0)</f>
        <v>34104</v>
      </c>
    </row>
    <row r="119" spans="1:27" ht="18.75" customHeight="1">
      <c r="A119" s="3401" t="s">
        <v>1897</v>
      </c>
      <c r="B119" s="3401"/>
      <c r="C119" s="3401"/>
      <c r="D119" s="3407" t="str">
        <f ca="1">NUMBERSTRING(INT(D118*10000),2)&amp;"元整"</f>
        <v>贰拾伍亿肆仟捌佰壹拾柒万元整</v>
      </c>
      <c r="E119" s="3408"/>
      <c r="F119" s="3407" t="str">
        <f ca="1">NUMBERSTRING(INT(F118*10000),2)&amp;"元整"</f>
        <v>捌亿零肆佰陆拾捌万元整</v>
      </c>
      <c r="G119" s="3408"/>
      <c r="H119" s="3407" t="str">
        <f ca="1">NUMBERSTRING(INT(H118*10000),2)&amp;"元整"</f>
        <v>叁拾叁亿伍仟贰佰捌拾伍万元整</v>
      </c>
      <c r="I119" s="3408"/>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44" t="s">
        <v>1897</v>
      </c>
      <c r="B121" s="3445"/>
      <c r="C121" s="3446"/>
      <c r="D121" s="3407" t="str">
        <f>IF(D120=0,"零元整",NUMBERSTRING(INT(D120*10000),2)&amp;"元整")</f>
        <v>零元整</v>
      </c>
      <c r="E121" s="3409"/>
      <c r="F121" s="3409"/>
      <c r="G121" s="3409"/>
      <c r="H121" s="3409"/>
      <c r="I121" s="3408"/>
      <c r="AA121" s="722"/>
    </row>
    <row r="122" spans="1:27" ht="18.75" customHeight="1">
      <c r="A122" s="3413" t="str">
        <f>IF(项目基本情况!B9="房地产市场价值","",MID(E107,3,LEN(E107)-2))</f>
        <v>房地产抵押价值</v>
      </c>
      <c r="B122" s="3413"/>
      <c r="C122" s="3413"/>
      <c r="D122" s="3402">
        <f ca="1">H107</f>
        <v>335285</v>
      </c>
      <c r="E122" s="3403"/>
      <c r="F122" s="3403"/>
      <c r="G122" s="3403"/>
      <c r="H122" s="3403"/>
      <c r="I122" s="3404"/>
      <c r="AA122" s="722"/>
    </row>
    <row r="123" spans="1:27" ht="18.75" customHeight="1">
      <c r="A123" s="3401" t="s">
        <v>1897</v>
      </c>
      <c r="B123" s="3401"/>
      <c r="C123" s="3401"/>
      <c r="D123" s="3407" t="str">
        <f ca="1">NUMBERSTRING(INT(D122*10000),2)&amp;"元整"</f>
        <v>叁拾叁亿伍仟贰佰捌拾伍万元整</v>
      </c>
      <c r="E123" s="3409"/>
      <c r="F123" s="3409"/>
      <c r="G123" s="3409"/>
      <c r="H123" s="3409"/>
      <c r="I123" s="3408"/>
      <c r="AA123" s="722"/>
    </row>
    <row r="124" spans="1:27" ht="18.75" customHeight="1">
      <c r="A124" s="3413" t="str">
        <f>IF(项目基本情况!B9="房地产市场价值","",MID(E109,3,LEN(E109)-2))</f>
        <v/>
      </c>
      <c r="B124" s="3413"/>
      <c r="C124" s="3413"/>
      <c r="D124" s="3402" t="str">
        <f>H109</f>
        <v>——</v>
      </c>
      <c r="E124" s="3403"/>
      <c r="F124" s="3403"/>
      <c r="G124" s="3403"/>
      <c r="H124" s="3403"/>
      <c r="I124" s="3404"/>
      <c r="AA124" s="722"/>
    </row>
    <row r="125" spans="1:27" ht="18.75" customHeight="1">
      <c r="A125" s="3401" t="s">
        <v>1897</v>
      </c>
      <c r="B125" s="3401"/>
      <c r="C125" s="3401"/>
      <c r="D125" s="3407" t="e">
        <f>NUMBERSTRING(INT(D124*10000),2)&amp;"元整"</f>
        <v>#VALUE!</v>
      </c>
      <c r="E125" s="3409"/>
      <c r="F125" s="3409"/>
      <c r="G125" s="3409"/>
      <c r="H125" s="3409"/>
      <c r="I125" s="3408"/>
      <c r="AA125" s="722"/>
    </row>
    <row r="126" spans="1:27" ht="18.75" customHeight="1">
      <c r="A126" s="3413" t="str">
        <f>IF(项目基本情况!B9="房地产市场价值","",MID(E111,3,LEN(E111)-2))</f>
        <v/>
      </c>
      <c r="B126" s="3413"/>
      <c r="C126" s="3413"/>
      <c r="D126" s="3402" t="str">
        <f>H111</f>
        <v>——</v>
      </c>
      <c r="E126" s="3403"/>
      <c r="F126" s="3403"/>
      <c r="G126" s="3403"/>
      <c r="H126" s="3403"/>
      <c r="I126" s="3404"/>
      <c r="AA126" s="722"/>
    </row>
    <row r="127" spans="1:27" ht="18.75" customHeight="1">
      <c r="A127" s="3401" t="s">
        <v>1897</v>
      </c>
      <c r="B127" s="3401"/>
      <c r="C127" s="3401"/>
      <c r="D127" s="3407" t="e">
        <f>NUMBERSTRING(INT(D126*10000),2)&amp;"元整"</f>
        <v>#VALUE!</v>
      </c>
      <c r="E127" s="3409"/>
      <c r="F127" s="3409"/>
      <c r="G127" s="3409"/>
      <c r="H127" s="3409"/>
      <c r="I127" s="3408"/>
      <c r="AA127" s="722"/>
    </row>
    <row r="128" spans="1:27" ht="21.75" customHeight="1">
      <c r="A128" s="3410" t="s">
        <v>1898</v>
      </c>
      <c r="B128" s="3410"/>
      <c r="C128" s="3410"/>
      <c r="D128" s="3410"/>
      <c r="E128" s="3410"/>
      <c r="F128" s="3410"/>
      <c r="G128" s="3410"/>
      <c r="H128" s="3410"/>
      <c r="I128" s="3410"/>
      <c r="AA128" s="722"/>
    </row>
    <row r="129" spans="1:35" ht="21.75" customHeight="1">
      <c r="A129" s="1955" t="s">
        <v>1899</v>
      </c>
      <c r="B129" s="1956"/>
      <c r="C129" s="1957" t="s">
        <v>1900</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1901</v>
      </c>
      <c r="G135" s="1972"/>
      <c r="H135" s="1972"/>
      <c r="I135" s="1973" t="s">
        <v>1902</v>
      </c>
    </row>
    <row r="136" spans="1:35" ht="21.75" customHeight="1">
      <c r="A136" s="722"/>
      <c r="B136" s="1974" t="s">
        <v>1903</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1904</v>
      </c>
    </row>
    <row r="139" spans="1:35" ht="21.75" customHeight="1">
      <c r="A139" s="722"/>
      <c r="B139" s="1974" t="s">
        <v>1905</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1904</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1"/>
  <sheetViews>
    <sheetView view="pageBreakPreview" topLeftCell="A37" zoomScale="85" zoomScaleNormal="60" zoomScaleSheetLayoutView="85" workbookViewId="0">
      <selection activeCell="F56" sqref="F56:F58"/>
    </sheetView>
  </sheetViews>
  <sheetFormatPr defaultColWidth="9" defaultRowHeight="14"/>
  <cols>
    <col min="1" max="1" width="14.36328125" style="353" customWidth="1"/>
    <col min="2" max="2" width="15.90625" style="353" customWidth="1"/>
    <col min="3" max="3" width="19.08984375" style="353" customWidth="1"/>
    <col min="4" max="4" width="14.08984375" style="353" customWidth="1"/>
    <col min="5" max="5" width="16.26953125" style="353" bestFit="1" customWidth="1"/>
    <col min="6" max="6" width="12.08984375" style="353" customWidth="1"/>
    <col min="7" max="7" width="16.269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2324</v>
      </c>
      <c r="B1" s="345"/>
      <c r="C1" s="346" t="s">
        <v>2325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1907</v>
      </c>
      <c r="B2" s="617">
        <f>F65</f>
        <v>188943</v>
      </c>
      <c r="C2" s="1007"/>
      <c r="D2" s="1007"/>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c r="AD2" s="347"/>
    </row>
    <row r="3" spans="1:30" s="348" customFormat="1" ht="28.5" customHeight="1" thickBot="1">
      <c r="A3" s="199" t="s">
        <v>1909</v>
      </c>
      <c r="B3" s="556">
        <f>ROUND(IF(D3="",B2*10000/'数据-汇总表'!E3,B2*10000/D3),0)</f>
        <v>19219</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30">
      <c r="A4" s="351" t="s">
        <v>2225</v>
      </c>
      <c r="B4" s="352"/>
      <c r="C4" s="3501" t="s">
        <v>2226</v>
      </c>
      <c r="D4" s="3502"/>
      <c r="E4" s="3503" t="s">
        <v>2227</v>
      </c>
      <c r="F4" s="3504"/>
      <c r="G4" s="3501" t="s">
        <v>2228</v>
      </c>
      <c r="H4" s="3502"/>
      <c r="I4" s="3501" t="s">
        <v>2229</v>
      </c>
      <c r="J4" s="3502"/>
      <c r="K4" s="557" t="s">
        <v>2230</v>
      </c>
      <c r="L4" s="2876"/>
      <c r="M4" s="2877"/>
      <c r="N4" s="2877"/>
      <c r="O4" s="2877"/>
      <c r="P4" s="3505" t="s">
        <v>2231</v>
      </c>
      <c r="Q4" s="3506"/>
      <c r="R4" s="3488" t="s">
        <v>2227</v>
      </c>
      <c r="S4" s="3489"/>
      <c r="T4" s="3488" t="s">
        <v>2228</v>
      </c>
      <c r="U4" s="3489"/>
      <c r="V4" s="3513" t="s">
        <v>2229</v>
      </c>
      <c r="W4" s="3513"/>
      <c r="X4" s="1477"/>
      <c r="Y4" s="3488" t="s">
        <v>2231</v>
      </c>
      <c r="Z4" s="3489"/>
      <c r="AA4" s="3483" t="s">
        <v>2227</v>
      </c>
      <c r="AB4" s="3484" t="s">
        <v>2228</v>
      </c>
      <c r="AC4" s="3483" t="s">
        <v>2229</v>
      </c>
    </row>
    <row r="5" spans="1:30" ht="60.65" customHeight="1">
      <c r="A5" s="354"/>
      <c r="B5" s="355"/>
      <c r="C5" s="3494" t="s">
        <v>2122</v>
      </c>
      <c r="D5" s="3495"/>
      <c r="E5" s="3492" t="str">
        <f>土地案例!A5</f>
        <v xml:space="preserve">北京市海淀区西八里庄0711-652、640、641地块B4综合性商业金融服务业用地    </v>
      </c>
      <c r="F5" s="3493"/>
      <c r="G5" s="3494" t="str">
        <f>土地案例!A6</f>
        <v xml:space="preserve">北京市海淀区学院路北端A、B、C、J地块B4综合性商业金融服务业用地、B23研发设计用地    </v>
      </c>
      <c r="H5" s="3495"/>
      <c r="I5" s="3494" t="str">
        <f>土地案例!A8</f>
        <v xml:space="preserve">北京市海淀区"海淀北部地区整体开发"西北旺镇HD00-0402-0102地块(永丰产业基地)B1商业用地    </v>
      </c>
      <c r="J5" s="3495"/>
      <c r="K5" s="557"/>
      <c r="L5" s="2876"/>
      <c r="M5" s="2877"/>
      <c r="N5" s="2877"/>
      <c r="O5" s="2877"/>
      <c r="P5" s="3507"/>
      <c r="Q5" s="3508"/>
      <c r="R5" s="3490"/>
      <c r="S5" s="3491"/>
      <c r="T5" s="3490"/>
      <c r="U5" s="3491"/>
      <c r="V5" s="3513"/>
      <c r="W5" s="3513"/>
      <c r="X5" s="1477"/>
      <c r="Y5" s="3490"/>
      <c r="Z5" s="3491"/>
      <c r="AA5" s="3484"/>
      <c r="AB5" s="3484"/>
      <c r="AC5" s="3484"/>
    </row>
    <row r="6" spans="1:30" ht="15" thickBot="1">
      <c r="A6" s="356"/>
      <c r="B6" s="357"/>
      <c r="C6" s="3496" t="s">
        <v>2126</v>
      </c>
      <c r="D6" s="3497"/>
      <c r="E6" s="3498" t="s">
        <v>2126</v>
      </c>
      <c r="F6" s="3499"/>
      <c r="G6" s="3496" t="s">
        <v>2126</v>
      </c>
      <c r="H6" s="3497"/>
      <c r="I6" s="3496" t="s">
        <v>2126</v>
      </c>
      <c r="J6" s="3497"/>
      <c r="K6" s="557" t="s">
        <v>2127</v>
      </c>
      <c r="L6" s="2876"/>
      <c r="M6" s="2877"/>
      <c r="N6" s="2877"/>
      <c r="O6" s="2877"/>
      <c r="P6" s="3509"/>
      <c r="Q6" s="3510"/>
      <c r="R6" s="3490"/>
      <c r="S6" s="3491"/>
      <c r="T6" s="3511"/>
      <c r="U6" s="3512"/>
      <c r="V6" s="3513"/>
      <c r="W6" s="3513"/>
      <c r="X6" s="1477"/>
      <c r="Y6" s="3511"/>
      <c r="Z6" s="3512"/>
      <c r="AA6" s="3485"/>
      <c r="AB6" s="3485"/>
      <c r="AC6" s="3485"/>
    </row>
    <row r="7" spans="1:30" s="110" customFormat="1" ht="14.5" thickBot="1">
      <c r="A7" s="358" t="s">
        <v>2128</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78"/>
      <c r="M7" s="2879"/>
      <c r="N7" s="2879"/>
      <c r="O7" s="2879"/>
      <c r="P7" s="3486" t="s">
        <v>2129</v>
      </c>
      <c r="Q7" s="3514"/>
      <c r="R7" s="698" t="s">
        <v>17</v>
      </c>
      <c r="S7" s="699">
        <f t="shared" ref="S7:S15" si="0">F7</f>
        <v>97</v>
      </c>
      <c r="T7" s="698" t="s">
        <v>17</v>
      </c>
      <c r="U7" s="699">
        <f t="shared" ref="U7:U15" si="1">H7</f>
        <v>95</v>
      </c>
      <c r="V7" s="698" t="s">
        <v>17</v>
      </c>
      <c r="W7" s="699">
        <f t="shared" ref="W7:W15" si="2">J7</f>
        <v>94</v>
      </c>
      <c r="X7" s="700"/>
      <c r="Y7" s="3486" t="s">
        <v>2129</v>
      </c>
      <c r="Z7" s="3487"/>
      <c r="AA7" s="701">
        <f>D7/F7</f>
        <v>1.0309278350515463</v>
      </c>
      <c r="AB7" s="701">
        <f>D7/H7</f>
        <v>1.0526315789473684</v>
      </c>
      <c r="AC7" s="701">
        <f>D7/J7</f>
        <v>1.0638297872340425</v>
      </c>
    </row>
    <row r="8" spans="1:30" s="110" customFormat="1" ht="14.5" thickBot="1">
      <c r="A8" s="358" t="s">
        <v>2130</v>
      </c>
      <c r="B8" s="359"/>
      <c r="C8" s="364" t="s">
        <v>2131</v>
      </c>
      <c r="D8" s="361">
        <v>100</v>
      </c>
      <c r="E8" s="364" t="s">
        <v>2131</v>
      </c>
      <c r="F8" s="363">
        <f>SUMIF(72:72,E8,73:73)-SUMIF(72:72,C8,73:73)+100</f>
        <v>100</v>
      </c>
      <c r="G8" s="364" t="s">
        <v>2131</v>
      </c>
      <c r="H8" s="361">
        <f>SUMIF(72:72,G8,73:73)-SUMIF(72:72,C8,73:73)+100</f>
        <v>100</v>
      </c>
      <c r="I8" s="364" t="s">
        <v>2131</v>
      </c>
      <c r="J8" s="361">
        <f>SUMIF(72:72,I8,73:73)-SUMIF(72:72,C8,73:73)+100</f>
        <v>100</v>
      </c>
      <c r="K8" s="558"/>
      <c r="L8" s="2878"/>
      <c r="M8" s="2879"/>
      <c r="N8" s="2879"/>
      <c r="O8" s="2879"/>
      <c r="P8" s="3486" t="s">
        <v>2132</v>
      </c>
      <c r="Q8" s="3487"/>
      <c r="R8" s="698" t="s">
        <v>17</v>
      </c>
      <c r="S8" s="699">
        <f t="shared" si="0"/>
        <v>100</v>
      </c>
      <c r="T8" s="698" t="s">
        <v>17</v>
      </c>
      <c r="U8" s="699">
        <f t="shared" si="1"/>
        <v>100</v>
      </c>
      <c r="V8" s="698" t="s">
        <v>17</v>
      </c>
      <c r="W8" s="699">
        <f t="shared" si="2"/>
        <v>100</v>
      </c>
      <c r="X8" s="700"/>
      <c r="Y8" s="3486" t="s">
        <v>2132</v>
      </c>
      <c r="Z8" s="3487"/>
      <c r="AA8" s="701">
        <f t="shared" ref="AA8:AA45" si="3">D8/F8</f>
        <v>1</v>
      </c>
      <c r="AB8" s="701">
        <f t="shared" ref="AB8:AB45" si="4">D8/H8</f>
        <v>1</v>
      </c>
      <c r="AC8" s="701">
        <f t="shared" ref="AC8:AC45" si="5">D8/J8</f>
        <v>1</v>
      </c>
    </row>
    <row r="9" spans="1:30" s="110" customFormat="1">
      <c r="A9" s="365" t="s">
        <v>2133</v>
      </c>
      <c r="B9" s="67" t="s">
        <v>2134</v>
      </c>
      <c r="C9" s="2101" t="s">
        <v>1102</v>
      </c>
      <c r="D9" s="121">
        <v>100</v>
      </c>
      <c r="E9" s="2101" t="s">
        <v>1102</v>
      </c>
      <c r="F9" s="121">
        <f>SUMIF(74:74,E9,75:75)-SUMIF(74:74,C9,75:75)+100</f>
        <v>100</v>
      </c>
      <c r="G9" s="2101" t="s">
        <v>3350</v>
      </c>
      <c r="H9" s="121">
        <f>SUMIF(74:74,G9,75:75)-SUMIF(74:74,C9,75:75)+100</f>
        <v>85</v>
      </c>
      <c r="I9" s="2101" t="s">
        <v>1102</v>
      </c>
      <c r="J9" s="121">
        <f>SUMIF(74:74,I9,75:75)-SUMIF(74:74,C9,75:75)+100</f>
        <v>100</v>
      </c>
      <c r="K9" s="558"/>
      <c r="L9" s="2878"/>
      <c r="M9" s="2879"/>
      <c r="N9" s="2879"/>
      <c r="O9" s="2933"/>
      <c r="P9" s="3500" t="s">
        <v>2135</v>
      </c>
      <c r="Q9" s="1465" t="str">
        <f t="shared" ref="Q9:Q15" si="6">B9</f>
        <v>用途</v>
      </c>
      <c r="R9" s="698" t="s">
        <v>17</v>
      </c>
      <c r="S9" s="699">
        <f t="shared" si="0"/>
        <v>100</v>
      </c>
      <c r="T9" s="698" t="s">
        <v>17</v>
      </c>
      <c r="U9" s="699">
        <f t="shared" si="1"/>
        <v>85</v>
      </c>
      <c r="V9" s="698" t="s">
        <v>17</v>
      </c>
      <c r="W9" s="699">
        <f t="shared" si="2"/>
        <v>100</v>
      </c>
      <c r="X9" s="700"/>
      <c r="Y9" s="3459" t="s">
        <v>2136</v>
      </c>
      <c r="Z9" s="55" t="str">
        <f t="shared" ref="Z9:Z15" si="7">Q9</f>
        <v>用途</v>
      </c>
      <c r="AA9" s="701">
        <f t="shared" si="3"/>
        <v>1</v>
      </c>
      <c r="AB9" s="701">
        <f t="shared" si="4"/>
        <v>1.1764705882352942</v>
      </c>
      <c r="AC9" s="701">
        <f t="shared" si="5"/>
        <v>1</v>
      </c>
    </row>
    <row r="10" spans="1:30" s="376" customFormat="1" ht="28">
      <c r="A10" s="370"/>
      <c r="B10" s="371" t="s">
        <v>2137</v>
      </c>
      <c r="C10" s="381"/>
      <c r="D10" s="122">
        <v>100</v>
      </c>
      <c r="E10" s="414"/>
      <c r="F10" s="122">
        <f>ROUND(100/'数据-取费表'!G16,0)</f>
        <v>140</v>
      </c>
      <c r="G10" s="412"/>
      <c r="H10" s="122">
        <f>ROUND(100/'数据-取费表'!G16,0)</f>
        <v>140</v>
      </c>
      <c r="I10" s="412"/>
      <c r="J10" s="122">
        <f>ROUND(100/'数据-取费表'!G16,0)</f>
        <v>140</v>
      </c>
      <c r="K10" s="618"/>
      <c r="L10" s="2880"/>
      <c r="M10" s="2881"/>
      <c r="N10" s="2881"/>
      <c r="O10" s="2934"/>
      <c r="P10" s="3500"/>
      <c r="Q10" s="1465" t="str">
        <f t="shared" si="6"/>
        <v>土地使用年限（年）</v>
      </c>
      <c r="R10" s="698" t="s">
        <v>17</v>
      </c>
      <c r="S10" s="699">
        <f t="shared" si="0"/>
        <v>140</v>
      </c>
      <c r="T10" s="698" t="s">
        <v>17</v>
      </c>
      <c r="U10" s="699">
        <f t="shared" si="1"/>
        <v>140</v>
      </c>
      <c r="V10" s="698" t="s">
        <v>17</v>
      </c>
      <c r="W10" s="699">
        <f t="shared" si="2"/>
        <v>140</v>
      </c>
      <c r="X10" s="700"/>
      <c r="Y10" s="3459"/>
      <c r="Z10" s="55" t="str">
        <f t="shared" si="7"/>
        <v>土地使用年限（年）</v>
      </c>
      <c r="AA10" s="701">
        <f t="shared" si="3"/>
        <v>0.7142857142857143</v>
      </c>
      <c r="AB10" s="701">
        <f t="shared" si="4"/>
        <v>0.7142857142857143</v>
      </c>
      <c r="AC10" s="701">
        <f t="shared" si="5"/>
        <v>0.7142857142857143</v>
      </c>
    </row>
    <row r="11" spans="1:30" ht="15.5">
      <c r="A11" s="377"/>
      <c r="B11" s="371" t="s">
        <v>2138</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82"/>
      <c r="M11" s="2877"/>
      <c r="N11" s="2877"/>
      <c r="O11" s="2935"/>
      <c r="P11" s="3500"/>
      <c r="Q11" s="1465" t="str">
        <f t="shared" si="6"/>
        <v>容积率</v>
      </c>
      <c r="R11" s="698" t="s">
        <v>17</v>
      </c>
      <c r="S11" s="699">
        <f t="shared" si="0"/>
        <v>96</v>
      </c>
      <c r="T11" s="698" t="s">
        <v>17</v>
      </c>
      <c r="U11" s="699">
        <f t="shared" si="1"/>
        <v>94</v>
      </c>
      <c r="V11" s="698" t="s">
        <v>17</v>
      </c>
      <c r="W11" s="699">
        <f t="shared" si="2"/>
        <v>96</v>
      </c>
      <c r="X11" s="700"/>
      <c r="Y11" s="3459"/>
      <c r="Z11" s="55" t="str">
        <f t="shared" si="7"/>
        <v>容积率</v>
      </c>
      <c r="AA11" s="701">
        <f t="shared" si="3"/>
        <v>1.0416666666666667</v>
      </c>
      <c r="AB11" s="701">
        <f t="shared" si="4"/>
        <v>1.0638297872340425</v>
      </c>
      <c r="AC11" s="701">
        <f t="shared" si="5"/>
        <v>1.0416666666666667</v>
      </c>
    </row>
    <row r="12" spans="1:30" s="110" customFormat="1" ht="15.5">
      <c r="A12" s="380"/>
      <c r="B12" s="2017" t="s">
        <v>2327</v>
      </c>
      <c r="C12" s="3286" t="s">
        <v>3358</v>
      </c>
      <c r="D12" s="382">
        <v>100</v>
      </c>
      <c r="E12" s="3287" t="s">
        <v>3360</v>
      </c>
      <c r="F12" s="122">
        <f>SUMIF(81:81,E12,82:82)-SUMIF(81:81,C12,82:82)+100</f>
        <v>98</v>
      </c>
      <c r="G12" s="3288" t="s">
        <v>3358</v>
      </c>
      <c r="H12" s="122">
        <f>SUMIF(81:81,G12,82:82)-SUMIF(81:81,C12,82:82)+100</f>
        <v>100</v>
      </c>
      <c r="I12" s="3287" t="s">
        <v>3360</v>
      </c>
      <c r="J12" s="122">
        <f>SUMIF(81:81,I12,82:82)-SUMIF(81:81,C12,82:82)+100</f>
        <v>98</v>
      </c>
      <c r="K12" s="618"/>
      <c r="L12" s="2878"/>
      <c r="M12" s="2879"/>
      <c r="N12" s="2879"/>
      <c r="O12" s="2933"/>
      <c r="P12" s="3500"/>
      <c r="Q12" s="1465" t="str">
        <f t="shared" si="6"/>
        <v>配建</v>
      </c>
      <c r="R12" s="698" t="s">
        <v>17</v>
      </c>
      <c r="S12" s="699">
        <f t="shared" si="0"/>
        <v>98</v>
      </c>
      <c r="T12" s="698" t="s">
        <v>17</v>
      </c>
      <c r="U12" s="699">
        <f t="shared" si="1"/>
        <v>100</v>
      </c>
      <c r="V12" s="698" t="s">
        <v>17</v>
      </c>
      <c r="W12" s="699">
        <f t="shared" si="2"/>
        <v>98</v>
      </c>
      <c r="X12" s="700"/>
      <c r="Y12" s="3459"/>
      <c r="Z12" s="55" t="str">
        <f t="shared" si="7"/>
        <v>配建</v>
      </c>
      <c r="AA12" s="701">
        <f>D12/F12</f>
        <v>1.0204081632653061</v>
      </c>
      <c r="AB12" s="701">
        <f>D12/H12</f>
        <v>1</v>
      </c>
      <c r="AC12" s="701">
        <f>D12/J12</f>
        <v>1.0204081632653061</v>
      </c>
    </row>
    <row r="13" spans="1:30" ht="15.5">
      <c r="A13" s="377"/>
      <c r="B13" s="3289" t="s">
        <v>3366</v>
      </c>
      <c r="C13" s="3290" t="s">
        <v>3367</v>
      </c>
      <c r="D13" s="384">
        <v>100</v>
      </c>
      <c r="E13" s="3291" t="s">
        <v>3367</v>
      </c>
      <c r="F13" s="122">
        <f>SUMIF(83:83,E13,84:84)-SUMIF(83:83,C13,84:84)+100</f>
        <v>100</v>
      </c>
      <c r="G13" s="3292" t="s">
        <v>3368</v>
      </c>
      <c r="H13" s="384">
        <f>SUMIF(83:83,G13,84:84)-SUMIF(83:83,C13,84:84)+100</f>
        <v>90</v>
      </c>
      <c r="I13" s="3292" t="s">
        <v>3367</v>
      </c>
      <c r="J13" s="384">
        <f>SUMIF(83:83,I13,84:84)-SUMIF(83:83,C13,84:84)+100</f>
        <v>100</v>
      </c>
      <c r="K13" s="618"/>
      <c r="L13" s="2883"/>
      <c r="M13" s="2877"/>
      <c r="N13" s="2877"/>
      <c r="O13" s="2935"/>
      <c r="P13" s="3500"/>
      <c r="Q13" s="1465" t="str">
        <f t="shared" si="6"/>
        <v>是否自持</v>
      </c>
      <c r="R13" s="698" t="s">
        <v>17</v>
      </c>
      <c r="S13" s="699">
        <f t="shared" si="0"/>
        <v>100</v>
      </c>
      <c r="T13" s="698" t="s">
        <v>17</v>
      </c>
      <c r="U13" s="699">
        <f t="shared" si="1"/>
        <v>90</v>
      </c>
      <c r="V13" s="698" t="s">
        <v>17</v>
      </c>
      <c r="W13" s="699">
        <f t="shared" si="2"/>
        <v>100</v>
      </c>
      <c r="X13" s="700"/>
      <c r="Y13" s="3459"/>
      <c r="Z13" s="55" t="str">
        <f t="shared" si="7"/>
        <v>是否自持</v>
      </c>
      <c r="AA13" s="701">
        <f>D13/F13</f>
        <v>1</v>
      </c>
      <c r="AB13" s="701">
        <f>D13/H13</f>
        <v>1.1111111111111112</v>
      </c>
      <c r="AC13" s="701">
        <f>D13/J13</f>
        <v>1</v>
      </c>
    </row>
    <row r="14" spans="1:30" ht="16"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83"/>
      <c r="M14" s="2877"/>
      <c r="N14" s="2877"/>
      <c r="O14" s="2935"/>
      <c r="P14" s="3500"/>
      <c r="Q14" s="1465">
        <f t="shared" si="6"/>
        <v>111</v>
      </c>
      <c r="R14" s="698" t="s">
        <v>17</v>
      </c>
      <c r="S14" s="699">
        <f t="shared" si="0"/>
        <v>100</v>
      </c>
      <c r="T14" s="698" t="s">
        <v>17</v>
      </c>
      <c r="U14" s="699">
        <f t="shared" si="1"/>
        <v>100</v>
      </c>
      <c r="V14" s="698" t="s">
        <v>17</v>
      </c>
      <c r="W14" s="699">
        <f t="shared" si="2"/>
        <v>100</v>
      </c>
      <c r="X14" s="700"/>
      <c r="Y14" s="3459"/>
      <c r="Z14" s="55">
        <f t="shared" si="7"/>
        <v>111</v>
      </c>
      <c r="AA14" s="701">
        <f>D14/F14</f>
        <v>1</v>
      </c>
      <c r="AB14" s="701">
        <f>D14/H14</f>
        <v>1</v>
      </c>
      <c r="AC14" s="701">
        <f>D14/J14</f>
        <v>1</v>
      </c>
    </row>
    <row r="15" spans="1:30" ht="23.5" customHeight="1">
      <c r="A15" s="389" t="s">
        <v>2139</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83"/>
      <c r="M15" s="2877"/>
      <c r="N15" s="2877"/>
      <c r="O15" s="2935"/>
      <c r="P15" s="3515" t="s">
        <v>2140</v>
      </c>
      <c r="Q15" s="1474" t="str">
        <f t="shared" si="6"/>
        <v>居住社区成熟度</v>
      </c>
      <c r="R15" s="702" t="s">
        <v>17</v>
      </c>
      <c r="S15" s="703">
        <f t="shared" si="0"/>
        <v>100</v>
      </c>
      <c r="T15" s="702" t="s">
        <v>17</v>
      </c>
      <c r="U15" s="703">
        <f t="shared" si="1"/>
        <v>100</v>
      </c>
      <c r="V15" s="702" t="s">
        <v>17</v>
      </c>
      <c r="W15" s="703">
        <f t="shared" si="2"/>
        <v>100</v>
      </c>
      <c r="X15" s="1477"/>
      <c r="Y15" s="3515" t="s">
        <v>2140</v>
      </c>
      <c r="Z15" s="1478" t="str">
        <f t="shared" si="7"/>
        <v>居住社区成熟度</v>
      </c>
      <c r="AA15" s="1475">
        <f t="shared" si="3"/>
        <v>1</v>
      </c>
      <c r="AB15" s="1475">
        <f t="shared" si="4"/>
        <v>1</v>
      </c>
      <c r="AC15" s="1475">
        <f t="shared" si="5"/>
        <v>1</v>
      </c>
    </row>
    <row r="16" spans="1:30" ht="15.5">
      <c r="A16" s="377"/>
      <c r="B16" s="395"/>
      <c r="C16" s="396"/>
      <c r="D16" s="397"/>
      <c r="E16" s="2022"/>
      <c r="F16" s="397"/>
      <c r="G16" s="2022"/>
      <c r="H16" s="399"/>
      <c r="I16" s="2021"/>
      <c r="J16" s="397"/>
      <c r="K16" s="618"/>
      <c r="L16" s="2883"/>
      <c r="M16" s="2877"/>
      <c r="N16" s="2877"/>
      <c r="O16" s="2935"/>
      <c r="P16" s="3516"/>
      <c r="Q16" s="1474"/>
      <c r="R16" s="702"/>
      <c r="S16" s="703"/>
      <c r="T16" s="702"/>
      <c r="U16" s="703"/>
      <c r="V16" s="702"/>
      <c r="W16" s="703"/>
      <c r="X16" s="1477"/>
      <c r="Y16" s="3516"/>
      <c r="Z16" s="1478"/>
      <c r="AA16" s="1475">
        <v>1</v>
      </c>
      <c r="AB16" s="1475">
        <v>1</v>
      </c>
      <c r="AC16" s="1475">
        <v>1</v>
      </c>
    </row>
    <row r="17" spans="1:29" ht="70">
      <c r="A17" s="377"/>
      <c r="B17" s="400" t="s">
        <v>2233</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83"/>
      <c r="M17" s="2877"/>
      <c r="N17" s="2877"/>
      <c r="O17" s="2935"/>
      <c r="P17" s="3516"/>
      <c r="Q17" s="1474" t="str">
        <f>B17</f>
        <v>商业繁华度</v>
      </c>
      <c r="R17" s="702" t="s">
        <v>17</v>
      </c>
      <c r="S17" s="703">
        <f>F17</f>
        <v>100</v>
      </c>
      <c r="T17" s="702" t="s">
        <v>17</v>
      </c>
      <c r="U17" s="703">
        <f>H17</f>
        <v>100</v>
      </c>
      <c r="V17" s="702" t="s">
        <v>17</v>
      </c>
      <c r="W17" s="703">
        <f>J17</f>
        <v>97</v>
      </c>
      <c r="X17" s="1477"/>
      <c r="Y17" s="3516"/>
      <c r="Z17" s="1478" t="str">
        <f>Q17</f>
        <v>商业繁华度</v>
      </c>
      <c r="AA17" s="1475">
        <f t="shared" si="3"/>
        <v>1</v>
      </c>
      <c r="AB17" s="1475">
        <f t="shared" si="4"/>
        <v>1</v>
      </c>
      <c r="AC17" s="1475">
        <f t="shared" si="5"/>
        <v>1.0309278350515463</v>
      </c>
    </row>
    <row r="18" spans="1:29" ht="15.5">
      <c r="A18" s="377"/>
      <c r="B18" s="405"/>
      <c r="C18" s="2025" t="s">
        <v>3338</v>
      </c>
      <c r="D18" s="399"/>
      <c r="E18" s="2027" t="s">
        <v>3338</v>
      </c>
      <c r="F18" s="399"/>
      <c r="G18" s="2027" t="s">
        <v>3338</v>
      </c>
      <c r="H18" s="397"/>
      <c r="I18" s="2026" t="s">
        <v>3339</v>
      </c>
      <c r="J18" s="397"/>
      <c r="K18" s="618"/>
      <c r="L18" s="2883"/>
      <c r="M18" s="2877"/>
      <c r="N18" s="2877"/>
      <c r="O18" s="2935"/>
      <c r="P18" s="3516"/>
      <c r="Q18" s="1474"/>
      <c r="R18" s="702"/>
      <c r="S18" s="703"/>
      <c r="T18" s="702"/>
      <c r="U18" s="703"/>
      <c r="V18" s="702"/>
      <c r="W18" s="703"/>
      <c r="X18" s="1477"/>
      <c r="Y18" s="3516"/>
      <c r="Z18" s="1478"/>
      <c r="AA18" s="1475">
        <v>1</v>
      </c>
      <c r="AB18" s="1475">
        <v>1</v>
      </c>
      <c r="AC18" s="1475">
        <v>1</v>
      </c>
    </row>
    <row r="19" spans="1:29" ht="19.5" customHeight="1">
      <c r="A19" s="377"/>
      <c r="B19" s="400" t="s">
        <v>2267</v>
      </c>
      <c r="C19" s="2079">
        <f>估价对象房地状况!C17</f>
        <v>0</v>
      </c>
      <c r="D19" s="404">
        <v>100</v>
      </c>
      <c r="E19" s="3269"/>
      <c r="F19" s="404">
        <f>SUMIF(91:91,E20,92:92)-SUMIF(91:91,C20,92:92)+100</f>
        <v>100</v>
      </c>
      <c r="G19" s="3269"/>
      <c r="H19" s="399">
        <f>SUMIF(91:91,G20,92:92)-SUMIF(91:91,C20,92:92)+100</f>
        <v>100</v>
      </c>
      <c r="I19" s="3270"/>
      <c r="J19" s="399">
        <f>SUMIF(91:91,I20,92:92)-SUMIF(91:91,C20,92:92)+100</f>
        <v>100</v>
      </c>
      <c r="K19" s="619"/>
      <c r="L19" s="2883"/>
      <c r="M19" s="2877"/>
      <c r="N19" s="2877"/>
      <c r="O19" s="2935"/>
      <c r="P19" s="3516"/>
      <c r="Q19" s="1474" t="str">
        <f>B19</f>
        <v>办公集聚程度</v>
      </c>
      <c r="R19" s="702" t="s">
        <v>17</v>
      </c>
      <c r="S19" s="703">
        <f>F19</f>
        <v>100</v>
      </c>
      <c r="T19" s="702" t="s">
        <v>17</v>
      </c>
      <c r="U19" s="703">
        <f>H19</f>
        <v>100</v>
      </c>
      <c r="V19" s="702" t="s">
        <v>17</v>
      </c>
      <c r="W19" s="703">
        <f>J19</f>
        <v>100</v>
      </c>
      <c r="X19" s="1477"/>
      <c r="Y19" s="3516"/>
      <c r="Z19" s="1478" t="str">
        <f>Q19</f>
        <v>办公集聚程度</v>
      </c>
      <c r="AA19" s="1475">
        <f t="shared" si="3"/>
        <v>1</v>
      </c>
      <c r="AB19" s="1475">
        <f t="shared" si="4"/>
        <v>1</v>
      </c>
      <c r="AC19" s="1475">
        <f t="shared" si="5"/>
        <v>1</v>
      </c>
    </row>
    <row r="20" spans="1:29" ht="15.5">
      <c r="A20" s="377"/>
      <c r="B20" s="405"/>
      <c r="C20" s="396"/>
      <c r="D20" s="397"/>
      <c r="E20" s="2022"/>
      <c r="F20" s="397"/>
      <c r="G20" s="2022"/>
      <c r="H20" s="397"/>
      <c r="I20" s="2021"/>
      <c r="J20" s="397"/>
      <c r="K20" s="618"/>
      <c r="L20" s="2883"/>
      <c r="M20" s="2877"/>
      <c r="N20" s="2877"/>
      <c r="O20" s="2935"/>
      <c r="P20" s="3516"/>
      <c r="Q20" s="1474"/>
      <c r="R20" s="702"/>
      <c r="S20" s="703"/>
      <c r="T20" s="702"/>
      <c r="U20" s="703"/>
      <c r="V20" s="702"/>
      <c r="W20" s="703"/>
      <c r="X20" s="1477"/>
      <c r="Y20" s="3516"/>
      <c r="Z20" s="1478"/>
      <c r="AA20" s="1475">
        <v>1</v>
      </c>
      <c r="AB20" s="1475">
        <v>1</v>
      </c>
      <c r="AC20" s="1475">
        <v>1</v>
      </c>
    </row>
    <row r="21" spans="1:29" ht="75" customHeight="1">
      <c r="A21" s="377"/>
      <c r="B21" s="400" t="s">
        <v>2289</v>
      </c>
      <c r="C21" s="2024" t="str">
        <f>估价对象房地状况!C18</f>
        <v>估价对象周边道路状况、公共交通通达情况、停车便捷程度，综合评价交通便捷度较好</v>
      </c>
      <c r="D21" s="399">
        <v>100</v>
      </c>
      <c r="E21" s="3263"/>
      <c r="F21" s="404">
        <f>SUMIF(93:93,E22,94:94)-SUMIF(93:93,C22,94:94)+100</f>
        <v>100</v>
      </c>
      <c r="G21" s="3263"/>
      <c r="H21" s="399">
        <f>SUMIF(93:93,G22,94:94)-SUMIF(93:93,C22,94:94)+100</f>
        <v>100</v>
      </c>
      <c r="I21" s="3257"/>
      <c r="J21" s="399">
        <f>SUMIF(93:93,I22,94:94)-SUMIF(93:93,C22,94:94)+100</f>
        <v>97</v>
      </c>
      <c r="K21" s="619">
        <v>3</v>
      </c>
      <c r="L21" s="2883"/>
      <c r="M21" s="2877"/>
      <c r="N21" s="2877"/>
      <c r="O21" s="2935"/>
      <c r="P21" s="3516"/>
      <c r="Q21" s="1474" t="str">
        <f>B21</f>
        <v>交通便捷度</v>
      </c>
      <c r="R21" s="702" t="s">
        <v>17</v>
      </c>
      <c r="S21" s="703">
        <f>F21</f>
        <v>100</v>
      </c>
      <c r="T21" s="702" t="s">
        <v>17</v>
      </c>
      <c r="U21" s="703">
        <f>H21</f>
        <v>100</v>
      </c>
      <c r="V21" s="702" t="s">
        <v>17</v>
      </c>
      <c r="W21" s="703">
        <f>J21</f>
        <v>97</v>
      </c>
      <c r="X21" s="1477"/>
      <c r="Y21" s="3516"/>
      <c r="Z21" s="1478" t="str">
        <f>Q21</f>
        <v>交通便捷度</v>
      </c>
      <c r="AA21" s="1475">
        <f t="shared" si="3"/>
        <v>1</v>
      </c>
      <c r="AB21" s="1475">
        <f t="shared" si="4"/>
        <v>1</v>
      </c>
      <c r="AC21" s="1475">
        <f t="shared" si="5"/>
        <v>1.0309278350515463</v>
      </c>
    </row>
    <row r="22" spans="1:29" ht="15.5">
      <c r="A22" s="377"/>
      <c r="B22" s="1234"/>
      <c r="C22" s="396" t="s">
        <v>3338</v>
      </c>
      <c r="D22" s="399"/>
      <c r="E22" s="3258" t="s">
        <v>3338</v>
      </c>
      <c r="F22" s="397"/>
      <c r="G22" s="3258" t="s">
        <v>3338</v>
      </c>
      <c r="H22" s="397"/>
      <c r="I22" s="2021" t="s">
        <v>3339</v>
      </c>
      <c r="J22" s="397"/>
      <c r="K22" s="618"/>
      <c r="L22" s="2883"/>
      <c r="M22" s="2877"/>
      <c r="N22" s="2877"/>
      <c r="O22" s="2935"/>
      <c r="P22" s="3516"/>
      <c r="Q22" s="1474"/>
      <c r="R22" s="702"/>
      <c r="S22" s="703"/>
      <c r="T22" s="702"/>
      <c r="U22" s="703"/>
      <c r="V22" s="702"/>
      <c r="W22" s="703"/>
      <c r="X22" s="1477"/>
      <c r="Y22" s="3516"/>
      <c r="Z22" s="1478"/>
      <c r="AA22" s="1475">
        <v>1</v>
      </c>
      <c r="AB22" s="1475">
        <v>1</v>
      </c>
      <c r="AC22" s="1475">
        <v>1</v>
      </c>
    </row>
    <row r="23" spans="1:29" ht="28">
      <c r="A23" s="354"/>
      <c r="B23" s="400" t="s">
        <v>2328</v>
      </c>
      <c r="C23" s="1239">
        <f>估价对象房地状况!C19</f>
        <v>0</v>
      </c>
      <c r="D23" s="404">
        <v>100</v>
      </c>
      <c r="E23" s="3263"/>
      <c r="F23" s="404">
        <f>SUMIF(95:95,E24,96:96)-SUMIF(95:95,C24,96:96)+100</f>
        <v>100</v>
      </c>
      <c r="G23" s="3257"/>
      <c r="H23" s="404">
        <f>SUMIF(95:95,G24,96:96)-SUMIF(95:95,C24,96:96)+100</f>
        <v>100</v>
      </c>
      <c r="I23" s="3257"/>
      <c r="J23" s="404">
        <f>SUMIF(95:95,I24,96:96)-SUMIF(95:95,C24,96:96)+100</f>
        <v>100</v>
      </c>
      <c r="K23" s="619">
        <v>2</v>
      </c>
      <c r="L23" s="2883"/>
      <c r="M23" s="2877"/>
      <c r="N23" s="2877"/>
      <c r="O23" s="2935"/>
      <c r="P23" s="3516"/>
      <c r="Q23" s="1474" t="str">
        <f t="shared" ref="Q23:Q37" si="8">B23</f>
        <v>区域土地利用方向</v>
      </c>
      <c r="R23" s="702" t="s">
        <v>17</v>
      </c>
      <c r="S23" s="703">
        <f>F23</f>
        <v>100</v>
      </c>
      <c r="T23" s="702" t="s">
        <v>17</v>
      </c>
      <c r="U23" s="703">
        <f>H23</f>
        <v>100</v>
      </c>
      <c r="V23" s="702" t="s">
        <v>17</v>
      </c>
      <c r="W23" s="703">
        <f>J23</f>
        <v>100</v>
      </c>
      <c r="X23" s="1477"/>
      <c r="Y23" s="3516"/>
      <c r="Z23" s="1478" t="str">
        <f>Q23</f>
        <v>区域土地利用方向</v>
      </c>
      <c r="AA23" s="1475">
        <f t="shared" si="3"/>
        <v>1</v>
      </c>
      <c r="AB23" s="1475">
        <f t="shared" si="4"/>
        <v>1</v>
      </c>
      <c r="AC23" s="1475">
        <f t="shared" si="5"/>
        <v>1</v>
      </c>
    </row>
    <row r="24" spans="1:29" ht="15.5">
      <c r="A24" s="354"/>
      <c r="B24" s="405"/>
      <c r="C24" s="563" t="s">
        <v>3338</v>
      </c>
      <c r="D24" s="397"/>
      <c r="E24" s="3256" t="s">
        <v>3338</v>
      </c>
      <c r="F24" s="397"/>
      <c r="G24" s="3256" t="s">
        <v>3338</v>
      </c>
      <c r="H24" s="397"/>
      <c r="I24" s="3256" t="s">
        <v>3338</v>
      </c>
      <c r="J24" s="397"/>
      <c r="K24" s="739"/>
      <c r="L24" s="2883"/>
      <c r="M24" s="2877"/>
      <c r="N24" s="2877"/>
      <c r="O24" s="2935"/>
      <c r="P24" s="3516"/>
      <c r="Q24" s="1474"/>
      <c r="R24" s="702"/>
      <c r="S24" s="703"/>
      <c r="T24" s="702"/>
      <c r="U24" s="703"/>
      <c r="V24" s="702"/>
      <c r="W24" s="703"/>
      <c r="X24" s="1477"/>
      <c r="Y24" s="3516"/>
      <c r="Z24" s="1478"/>
      <c r="AA24" s="1475"/>
      <c r="AB24" s="1475"/>
      <c r="AC24" s="1475"/>
    </row>
    <row r="25" spans="1:29" ht="69.650000000000006" customHeight="1">
      <c r="A25" s="354"/>
      <c r="B25" s="1234" t="s">
        <v>2329</v>
      </c>
      <c r="C25" s="2079" t="str">
        <f>估价对象房地状况!C20</f>
        <v>区域自然环境：蓝靛厂公园、四季曙光公园、南长河公园；人文环境；综合评价环境状况较好</v>
      </c>
      <c r="D25" s="399">
        <v>100</v>
      </c>
      <c r="E25" s="3263"/>
      <c r="F25" s="399">
        <f>SUMIF(97:97,E26,98:98)-SUMIF(97:97,C26,98:98)+100</f>
        <v>100</v>
      </c>
      <c r="G25" s="3263"/>
      <c r="H25" s="399">
        <f>SUMIF(97:97,G26,98:98)-SUMIF(97:97,C26,98:98)+100</f>
        <v>100</v>
      </c>
      <c r="I25" s="3257"/>
      <c r="J25" s="399">
        <f>SUMIF(97:97,I26,98:98)-SUMIF(97:97,C26,98:98)+100</f>
        <v>97</v>
      </c>
      <c r="K25" s="619">
        <v>3</v>
      </c>
      <c r="L25" s="2883"/>
      <c r="M25" s="2877"/>
      <c r="N25" s="2877"/>
      <c r="O25" s="2935"/>
      <c r="P25" s="3516"/>
      <c r="Q25" s="1474" t="str">
        <f t="shared" si="8"/>
        <v>自然及人文环境状况</v>
      </c>
      <c r="R25" s="702" t="s">
        <v>17</v>
      </c>
      <c r="S25" s="703">
        <f>F25</f>
        <v>100</v>
      </c>
      <c r="T25" s="702" t="s">
        <v>17</v>
      </c>
      <c r="U25" s="703">
        <f>H25</f>
        <v>100</v>
      </c>
      <c r="V25" s="702" t="s">
        <v>17</v>
      </c>
      <c r="W25" s="703">
        <f>J25</f>
        <v>97</v>
      </c>
      <c r="X25" s="1477"/>
      <c r="Y25" s="3516"/>
      <c r="Z25" s="1478" t="str">
        <f>Q25</f>
        <v>自然及人文环境状况</v>
      </c>
      <c r="AA25" s="1475">
        <f t="shared" si="3"/>
        <v>1</v>
      </c>
      <c r="AB25" s="1475">
        <f t="shared" si="4"/>
        <v>1</v>
      </c>
      <c r="AC25" s="1475">
        <f t="shared" si="5"/>
        <v>1.0309278350515463</v>
      </c>
    </row>
    <row r="26" spans="1:29" ht="15.5">
      <c r="A26" s="354"/>
      <c r="B26" s="405"/>
      <c r="C26" s="396" t="s">
        <v>3338</v>
      </c>
      <c r="D26" s="397"/>
      <c r="E26" s="3258" t="s">
        <v>3338</v>
      </c>
      <c r="F26" s="397"/>
      <c r="G26" s="3258" t="s">
        <v>3338</v>
      </c>
      <c r="H26" s="397"/>
      <c r="I26" s="3258" t="s">
        <v>3339</v>
      </c>
      <c r="J26" s="397"/>
      <c r="K26" s="618"/>
      <c r="L26" s="2883"/>
      <c r="M26" s="2877"/>
      <c r="N26" s="2877"/>
      <c r="O26" s="2935"/>
      <c r="P26" s="3516"/>
      <c r="Q26" s="1474"/>
      <c r="R26" s="702"/>
      <c r="S26" s="703"/>
      <c r="T26" s="702"/>
      <c r="U26" s="703"/>
      <c r="V26" s="702"/>
      <c r="W26" s="703"/>
      <c r="X26" s="1477"/>
      <c r="Y26" s="3516"/>
      <c r="Z26" s="1478"/>
      <c r="AA26" s="1475">
        <v>1</v>
      </c>
      <c r="AB26" s="1475">
        <v>1</v>
      </c>
      <c r="AC26" s="1475">
        <v>1</v>
      </c>
    </row>
    <row r="27" spans="1:29" s="110" customFormat="1" ht="52" customHeight="1">
      <c r="A27" s="595"/>
      <c r="B27" s="1234" t="s">
        <v>2234</v>
      </c>
      <c r="C27" s="2024" t="str">
        <f>估价对象房地状况!C21</f>
        <v>估价对象所在区域公共配套设施齐备情况较好</v>
      </c>
      <c r="D27" s="399">
        <v>100</v>
      </c>
      <c r="E27" s="3263"/>
      <c r="F27" s="399">
        <f>SUMIF(99:99,E28,100:100)-SUMIF(99:99,C28,100:100)+100</f>
        <v>100</v>
      </c>
      <c r="G27" s="3263"/>
      <c r="H27" s="399">
        <f>SUMIF(99:99,G28,100:100)-SUMIF(99:99,C28,100:100)+100</f>
        <v>100</v>
      </c>
      <c r="I27" s="3257"/>
      <c r="J27" s="399">
        <f>SUMIF(99:99,I28,100:100)-SUMIF(99:99,C28,100:100)+100</f>
        <v>98</v>
      </c>
      <c r="K27" s="619">
        <v>2</v>
      </c>
      <c r="L27" s="2878"/>
      <c r="M27" s="2879"/>
      <c r="N27" s="2879"/>
      <c r="O27" s="2933"/>
      <c r="P27" s="3516"/>
      <c r="Q27" s="1465" t="str">
        <f t="shared" si="8"/>
        <v>公共配套设施</v>
      </c>
      <c r="R27" s="698" t="s">
        <v>17</v>
      </c>
      <c r="S27" s="699">
        <f>F27</f>
        <v>100</v>
      </c>
      <c r="T27" s="698" t="s">
        <v>17</v>
      </c>
      <c r="U27" s="699">
        <f>H27</f>
        <v>100</v>
      </c>
      <c r="V27" s="698" t="s">
        <v>17</v>
      </c>
      <c r="W27" s="699">
        <f>J27</f>
        <v>98</v>
      </c>
      <c r="X27" s="700"/>
      <c r="Y27" s="3516"/>
      <c r="Z27" s="55" t="str">
        <f>Q27</f>
        <v>公共配套设施</v>
      </c>
      <c r="AA27" s="1475">
        <f>D27/F27</f>
        <v>1</v>
      </c>
      <c r="AB27" s="1475">
        <f>D27/H27</f>
        <v>1</v>
      </c>
      <c r="AC27" s="1475">
        <f>D27/J27</f>
        <v>1.0204081632653061</v>
      </c>
    </row>
    <row r="28" spans="1:29" s="110" customFormat="1" ht="15.5">
      <c r="A28" s="595"/>
      <c r="B28" s="405"/>
      <c r="C28" s="2102" t="s">
        <v>3338</v>
      </c>
      <c r="D28" s="397"/>
      <c r="E28" s="3255" t="s">
        <v>3338</v>
      </c>
      <c r="F28" s="397"/>
      <c r="G28" s="3255" t="s">
        <v>3338</v>
      </c>
      <c r="H28" s="397"/>
      <c r="I28" s="3258" t="s">
        <v>3339</v>
      </c>
      <c r="J28" s="397"/>
      <c r="K28" s="618"/>
      <c r="L28" s="2878"/>
      <c r="M28" s="2879"/>
      <c r="N28" s="2879"/>
      <c r="O28" s="2933"/>
      <c r="P28" s="3516"/>
      <c r="Q28" s="1465"/>
      <c r="R28" s="698"/>
      <c r="S28" s="699"/>
      <c r="T28" s="698"/>
      <c r="U28" s="699"/>
      <c r="V28" s="698"/>
      <c r="W28" s="699"/>
      <c r="X28" s="700"/>
      <c r="Y28" s="3516"/>
      <c r="Z28" s="55"/>
      <c r="AA28" s="1475">
        <v>1</v>
      </c>
      <c r="AB28" s="1475">
        <v>1</v>
      </c>
      <c r="AC28" s="1475">
        <v>1</v>
      </c>
    </row>
    <row r="29" spans="1:29" s="110" customFormat="1" ht="20.149999999999999" customHeight="1">
      <c r="A29" s="595"/>
      <c r="B29" s="1234" t="s">
        <v>2235</v>
      </c>
      <c r="C29" s="2024" t="str">
        <f>估价对象房地状况!C22</f>
        <v>七通</v>
      </c>
      <c r="D29" s="399">
        <v>100</v>
      </c>
      <c r="E29" s="3263"/>
      <c r="F29" s="399">
        <f>SUMIF(101:101,E30,102:102)-SUMIF(101:101,C30,102:102)+100</f>
        <v>100</v>
      </c>
      <c r="G29" s="3263"/>
      <c r="H29" s="399">
        <f>SUMIF(101:101,G30,102:102)-SUMIF(101:101,C30,102:102)+100</f>
        <v>100</v>
      </c>
      <c r="I29" s="3257"/>
      <c r="J29" s="399">
        <f>SUMIF(101:101,I30,102:102)-SUMIF(101:101,C30,102:102)+100</f>
        <v>100</v>
      </c>
      <c r="K29" s="619">
        <v>1</v>
      </c>
      <c r="L29" s="2878"/>
      <c r="M29" s="2879"/>
      <c r="N29" s="2879"/>
      <c r="O29" s="2933"/>
      <c r="P29" s="3516"/>
      <c r="Q29" s="1465" t="str">
        <f t="shared" ref="Q29" si="9">B29</f>
        <v>基础设施水平</v>
      </c>
      <c r="R29" s="698" t="s">
        <v>17</v>
      </c>
      <c r="S29" s="699">
        <f>F29</f>
        <v>100</v>
      </c>
      <c r="T29" s="698" t="s">
        <v>17</v>
      </c>
      <c r="U29" s="699">
        <f>H29</f>
        <v>100</v>
      </c>
      <c r="V29" s="698" t="s">
        <v>17</v>
      </c>
      <c r="W29" s="699">
        <f>J29</f>
        <v>100</v>
      </c>
      <c r="X29" s="700"/>
      <c r="Y29" s="3516"/>
      <c r="Z29" s="55" t="str">
        <f>Q29</f>
        <v>基础设施水平</v>
      </c>
      <c r="AA29" s="1475">
        <f>D29/F29</f>
        <v>1</v>
      </c>
      <c r="AB29" s="1475">
        <f>D29/H29</f>
        <v>1</v>
      </c>
      <c r="AC29" s="1475">
        <f>D29/J29</f>
        <v>1</v>
      </c>
    </row>
    <row r="30" spans="1:29" s="110" customFormat="1" ht="15.5">
      <c r="A30" s="595"/>
      <c r="B30" s="405"/>
      <c r="C30" s="3255" t="s">
        <v>3332</v>
      </c>
      <c r="D30" s="397"/>
      <c r="E30" s="3255" t="s">
        <v>3332</v>
      </c>
      <c r="F30" s="397"/>
      <c r="G30" s="3255" t="s">
        <v>3332</v>
      </c>
      <c r="H30" s="397"/>
      <c r="I30" s="3255" t="s">
        <v>3332</v>
      </c>
      <c r="J30" s="397"/>
      <c r="K30" s="618"/>
      <c r="L30" s="2878"/>
      <c r="M30" s="2879"/>
      <c r="N30" s="2879"/>
      <c r="O30" s="2933"/>
      <c r="P30" s="3516"/>
      <c r="Q30" s="1465"/>
      <c r="R30" s="698"/>
      <c r="S30" s="699"/>
      <c r="T30" s="698"/>
      <c r="U30" s="699"/>
      <c r="V30" s="698"/>
      <c r="W30" s="699"/>
      <c r="X30" s="700"/>
      <c r="Y30" s="3516"/>
      <c r="Z30" s="55"/>
      <c r="AA30" s="1475">
        <v>1</v>
      </c>
      <c r="AB30" s="1475">
        <v>1</v>
      </c>
      <c r="AC30" s="1475">
        <v>1</v>
      </c>
    </row>
    <row r="31" spans="1:29" ht="15.5">
      <c r="A31" s="377"/>
      <c r="B31" s="405" t="s">
        <v>2236</v>
      </c>
      <c r="C31" s="3256" t="s">
        <v>3342</v>
      </c>
      <c r="D31" s="384">
        <v>100</v>
      </c>
      <c r="E31" s="3262" t="s">
        <v>3345</v>
      </c>
      <c r="F31" s="384">
        <f>SUMIF(103:103,E31,104:104)-SUMIF(103:103,C31,104:104)+100</f>
        <v>98</v>
      </c>
      <c r="G31" s="3262" t="s">
        <v>3345</v>
      </c>
      <c r="H31" s="384">
        <f>SUMIF(103:103,G31,104:104)-SUMIF(103:103,C31,104:104)+100</f>
        <v>98</v>
      </c>
      <c r="I31" s="3262" t="s">
        <v>3342</v>
      </c>
      <c r="J31" s="384">
        <f>SUMIF(103:103,I31,104:104)-SUMIF(103:103,C31,104:104)+100</f>
        <v>100</v>
      </c>
      <c r="K31" s="619">
        <v>2</v>
      </c>
      <c r="L31" s="2883"/>
      <c r="M31" s="2877"/>
      <c r="N31" s="2877"/>
      <c r="O31" s="2935"/>
      <c r="P31" s="3516"/>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516"/>
      <c r="Z31" s="1478" t="str">
        <f t="shared" ref="Z31:Z45" si="13">Q31</f>
        <v>临街状况</v>
      </c>
      <c r="AA31" s="1475">
        <f t="shared" si="3"/>
        <v>1.0204081632653061</v>
      </c>
      <c r="AB31" s="1475">
        <f t="shared" si="4"/>
        <v>1.0204081632653061</v>
      </c>
      <c r="AC31" s="1475">
        <f t="shared" si="5"/>
        <v>1</v>
      </c>
    </row>
    <row r="32" spans="1:29" ht="28">
      <c r="A32" s="377"/>
      <c r="B32" s="1234" t="s">
        <v>2271</v>
      </c>
      <c r="C32" s="3257"/>
      <c r="D32" s="399">
        <v>100</v>
      </c>
      <c r="E32" s="3263"/>
      <c r="F32" s="399">
        <f>SUMIF(105:105,E33,106:106)-SUMIF(105:105,C33,106:106)+100</f>
        <v>99</v>
      </c>
      <c r="G32" s="3263"/>
      <c r="H32" s="399">
        <f>SUMIF(105:105,G33,106:106)-SUMIF(105:105,C33,106:106)+100</f>
        <v>100</v>
      </c>
      <c r="I32" s="3257"/>
      <c r="J32" s="399">
        <f>SUMIF(105:105,I33,106:106)-SUMIF(105:105,C33,106:106)+100</f>
        <v>100</v>
      </c>
      <c r="K32" s="619">
        <v>1</v>
      </c>
      <c r="L32" s="2883"/>
      <c r="M32" s="2877"/>
      <c r="N32" s="2877"/>
      <c r="O32" s="2935"/>
      <c r="P32" s="3516"/>
      <c r="Q32" s="1474" t="str">
        <f t="shared" si="8"/>
        <v>毗邻道路的类型与等级</v>
      </c>
      <c r="R32" s="702" t="s">
        <v>17</v>
      </c>
      <c r="S32" s="703">
        <f t="shared" si="10"/>
        <v>99</v>
      </c>
      <c r="T32" s="702" t="s">
        <v>17</v>
      </c>
      <c r="U32" s="703">
        <f t="shared" si="11"/>
        <v>100</v>
      </c>
      <c r="V32" s="702" t="s">
        <v>17</v>
      </c>
      <c r="W32" s="703">
        <f t="shared" si="12"/>
        <v>100</v>
      </c>
      <c r="X32" s="1477"/>
      <c r="Y32" s="3516"/>
      <c r="Z32" s="1478" t="str">
        <f t="shared" si="13"/>
        <v>毗邻道路的类型与等级</v>
      </c>
      <c r="AA32" s="1475">
        <f t="shared" si="3"/>
        <v>1.0101010101010102</v>
      </c>
      <c r="AB32" s="1475">
        <f t="shared" si="4"/>
        <v>1</v>
      </c>
      <c r="AC32" s="1475">
        <f t="shared" si="5"/>
        <v>1</v>
      </c>
    </row>
    <row r="33" spans="1:29" ht="15.5">
      <c r="A33" s="377"/>
      <c r="B33" s="405"/>
      <c r="C33" s="3258" t="s">
        <v>3343</v>
      </c>
      <c r="D33" s="397"/>
      <c r="E33" s="3264" t="s">
        <v>3346</v>
      </c>
      <c r="F33" s="397"/>
      <c r="G33" s="3264" t="s">
        <v>3343</v>
      </c>
      <c r="H33" s="397"/>
      <c r="I33" s="3264" t="s">
        <v>3343</v>
      </c>
      <c r="J33" s="397"/>
      <c r="K33" s="560"/>
      <c r="L33" s="2883"/>
      <c r="M33" s="2877"/>
      <c r="N33" s="2877"/>
      <c r="O33" s="2935"/>
      <c r="P33" s="3516"/>
      <c r="Q33" s="1474"/>
      <c r="R33" s="702"/>
      <c r="S33" s="703"/>
      <c r="T33" s="702"/>
      <c r="U33" s="703"/>
      <c r="V33" s="702"/>
      <c r="W33" s="703"/>
      <c r="X33" s="1477"/>
      <c r="Y33" s="3516"/>
      <c r="Z33" s="1478"/>
      <c r="AA33" s="1475">
        <v>1</v>
      </c>
      <c r="AB33" s="1475">
        <v>1</v>
      </c>
      <c r="AC33" s="1475">
        <v>1</v>
      </c>
    </row>
    <row r="34" spans="1:29" ht="15.5">
      <c r="A34" s="377"/>
      <c r="B34" s="371" t="s">
        <v>2330</v>
      </c>
      <c r="C34" s="3256"/>
      <c r="D34" s="384">
        <v>100</v>
      </c>
      <c r="E34" s="3262"/>
      <c r="F34" s="384">
        <f>SUMIF(107:107,E34,108:108)-SUMIF(107:107,C34,108:108)+100</f>
        <v>100</v>
      </c>
      <c r="G34" s="3262"/>
      <c r="H34" s="384">
        <f>SUMIF(107:107,G34,108:108)-SUMIF(107:107,C34,108:108)+100</f>
        <v>100</v>
      </c>
      <c r="I34" s="3256"/>
      <c r="J34" s="384">
        <f>SUMIF(107:107,I34,108:108)-SUMIF(107:107,C34,108:108)+100</f>
        <v>100</v>
      </c>
      <c r="K34" s="559"/>
      <c r="L34" s="2883"/>
      <c r="M34" s="2877"/>
      <c r="N34" s="2877"/>
      <c r="O34" s="2935"/>
      <c r="P34" s="3516"/>
      <c r="Q34" s="1474" t="str">
        <f t="shared" si="8"/>
        <v>土地级别</v>
      </c>
      <c r="R34" s="702" t="s">
        <v>17</v>
      </c>
      <c r="S34" s="703">
        <f t="shared" si="10"/>
        <v>100</v>
      </c>
      <c r="T34" s="702" t="s">
        <v>17</v>
      </c>
      <c r="U34" s="703">
        <f t="shared" si="11"/>
        <v>100</v>
      </c>
      <c r="V34" s="702" t="s">
        <v>17</v>
      </c>
      <c r="W34" s="703">
        <f t="shared" si="12"/>
        <v>100</v>
      </c>
      <c r="X34" s="1477"/>
      <c r="Y34" s="3516"/>
      <c r="Z34" s="1478" t="str">
        <f t="shared" si="13"/>
        <v>土地级别</v>
      </c>
      <c r="AA34" s="1475">
        <f t="shared" si="3"/>
        <v>1</v>
      </c>
      <c r="AB34" s="1475">
        <f t="shared" si="4"/>
        <v>1</v>
      </c>
      <c r="AC34" s="1475">
        <f t="shared" si="5"/>
        <v>1</v>
      </c>
    </row>
    <row r="35" spans="1:29" ht="15.5">
      <c r="A35" s="354"/>
      <c r="B35" s="1236">
        <v>111</v>
      </c>
      <c r="C35" s="3259"/>
      <c r="D35" s="384">
        <v>100</v>
      </c>
      <c r="E35" s="3265"/>
      <c r="F35" s="384">
        <f>SUMIF(109:109,E35,110:110)-SUMIF(109:109,C35,110:110)+100</f>
        <v>100</v>
      </c>
      <c r="G35" s="3265"/>
      <c r="H35" s="384">
        <f>SUMIF(109:109,G35,110:110)-SUMIF(109:109,C35,110:110)+100</f>
        <v>100</v>
      </c>
      <c r="I35" s="3259"/>
      <c r="J35" s="384">
        <f>SUMIF(109:109,I35,110:110)-SUMIF(109:109,C35,110:110)+100</f>
        <v>100</v>
      </c>
      <c r="K35" s="560"/>
      <c r="L35" s="2883"/>
      <c r="M35" s="2877"/>
      <c r="N35" s="2877"/>
      <c r="O35" s="2935"/>
      <c r="P35" s="3516"/>
      <c r="Q35" s="1474">
        <f t="shared" si="8"/>
        <v>111</v>
      </c>
      <c r="R35" s="702" t="s">
        <v>17</v>
      </c>
      <c r="S35" s="703">
        <f t="shared" si="10"/>
        <v>100</v>
      </c>
      <c r="T35" s="702" t="s">
        <v>17</v>
      </c>
      <c r="U35" s="703">
        <f t="shared" si="11"/>
        <v>100</v>
      </c>
      <c r="V35" s="702" t="s">
        <v>17</v>
      </c>
      <c r="W35" s="703">
        <f t="shared" si="12"/>
        <v>100</v>
      </c>
      <c r="X35" s="1477"/>
      <c r="Y35" s="3516"/>
      <c r="Z35" s="1478">
        <f t="shared" si="13"/>
        <v>111</v>
      </c>
      <c r="AA35" s="1475">
        <f t="shared" si="3"/>
        <v>1</v>
      </c>
      <c r="AB35" s="1475">
        <f t="shared" si="4"/>
        <v>1</v>
      </c>
      <c r="AC35" s="1475">
        <f t="shared" si="5"/>
        <v>1</v>
      </c>
    </row>
    <row r="36" spans="1:29" ht="15.5">
      <c r="A36" s="621"/>
      <c r="B36" s="1237">
        <v>111</v>
      </c>
      <c r="C36" s="3259"/>
      <c r="D36" s="384">
        <v>100</v>
      </c>
      <c r="E36" s="3265"/>
      <c r="F36" s="384">
        <f>SUMIF(111:111,E37,112:112)-SUMIF(111:111,C37,112:112)+100</f>
        <v>100</v>
      </c>
      <c r="G36" s="3265"/>
      <c r="H36" s="384">
        <f>SUMIF(111:111,G36,112:112)-SUMIF(111:111,C36,112:112)+100</f>
        <v>100</v>
      </c>
      <c r="I36" s="3259"/>
      <c r="J36" s="384">
        <f>SUMIF(111:111,I36,112:112)-SUMIF(111:111,C36,112:112)+100</f>
        <v>100</v>
      </c>
      <c r="K36" s="560"/>
      <c r="L36" s="2883"/>
      <c r="M36" s="2877"/>
      <c r="N36" s="2877"/>
      <c r="O36" s="2935"/>
      <c r="P36" s="3517" t="s">
        <v>2145</v>
      </c>
      <c r="Q36" s="1474">
        <f t="shared" si="8"/>
        <v>111</v>
      </c>
      <c r="R36" s="702" t="s">
        <v>17</v>
      </c>
      <c r="S36" s="703">
        <f t="shared" si="10"/>
        <v>100</v>
      </c>
      <c r="T36" s="702" t="s">
        <v>17</v>
      </c>
      <c r="U36" s="703">
        <f t="shared" si="11"/>
        <v>100</v>
      </c>
      <c r="V36" s="702" t="s">
        <v>17</v>
      </c>
      <c r="W36" s="703">
        <f t="shared" si="12"/>
        <v>100</v>
      </c>
      <c r="X36" s="1477"/>
      <c r="Y36" s="3518" t="s">
        <v>2145</v>
      </c>
      <c r="Z36" s="1478">
        <f t="shared" si="13"/>
        <v>111</v>
      </c>
      <c r="AA36" s="1475">
        <f t="shared" si="3"/>
        <v>1</v>
      </c>
      <c r="AB36" s="1475">
        <f t="shared" si="4"/>
        <v>1</v>
      </c>
      <c r="AC36" s="1475">
        <f t="shared" si="5"/>
        <v>1</v>
      </c>
    </row>
    <row r="37" spans="1:29" s="420" customFormat="1" ht="16" thickBot="1">
      <c r="A37" s="622"/>
      <c r="B37" s="1238">
        <v>111</v>
      </c>
      <c r="C37" s="3260"/>
      <c r="D37" s="123">
        <v>100</v>
      </c>
      <c r="E37" s="3266"/>
      <c r="F37" s="387">
        <f>SUMIF(113:113,E37,114:114)-SUMIF(113:113,C37,114:114)+100</f>
        <v>100</v>
      </c>
      <c r="G37" s="3266"/>
      <c r="H37" s="387">
        <f>SUMIF(113:113,G37,114:114)-SUMIF(113:113,C37,114:114)+100</f>
        <v>100</v>
      </c>
      <c r="I37" s="3260"/>
      <c r="J37" s="387">
        <f>SUMIF(113:113,I37,114:114)-SUMIF(113:113,C37,114:114)+100</f>
        <v>100</v>
      </c>
      <c r="K37" s="560"/>
      <c r="L37" s="2882"/>
      <c r="M37" s="2884"/>
      <c r="N37" s="2884"/>
      <c r="O37" s="2936"/>
      <c r="P37" s="3518"/>
      <c r="Q37" s="1474">
        <f t="shared" si="8"/>
        <v>111</v>
      </c>
      <c r="R37" s="705" t="s">
        <v>17</v>
      </c>
      <c r="S37" s="706">
        <f t="shared" si="10"/>
        <v>100</v>
      </c>
      <c r="T37" s="705" t="s">
        <v>17</v>
      </c>
      <c r="U37" s="706">
        <f t="shared" si="11"/>
        <v>100</v>
      </c>
      <c r="V37" s="705" t="s">
        <v>17</v>
      </c>
      <c r="W37" s="706">
        <f t="shared" si="12"/>
        <v>100</v>
      </c>
      <c r="X37" s="707"/>
      <c r="Y37" s="3518"/>
      <c r="Z37" s="708">
        <f t="shared" si="13"/>
        <v>111</v>
      </c>
      <c r="AA37" s="1475">
        <f t="shared" si="3"/>
        <v>1</v>
      </c>
      <c r="AB37" s="1475">
        <f t="shared" si="4"/>
        <v>1</v>
      </c>
      <c r="AC37" s="1475">
        <f t="shared" si="5"/>
        <v>1</v>
      </c>
    </row>
    <row r="38" spans="1:29" ht="15.5">
      <c r="A38" s="421" t="s">
        <v>2143</v>
      </c>
      <c r="B38" s="405" t="s">
        <v>2331</v>
      </c>
      <c r="C38" s="3261">
        <f>'[1]数据-基础表'!A3</f>
        <v>28178.74</v>
      </c>
      <c r="D38" s="416">
        <v>100</v>
      </c>
      <c r="E38" s="3261">
        <f>[1]土地案例!I5</f>
        <v>51788.13</v>
      </c>
      <c r="F38" s="416">
        <f>LOOKUP(E38,116:116,117:117)-LOOKUP(C38,116:116,117:117)+100</f>
        <v>101</v>
      </c>
      <c r="G38" s="3261">
        <f>[1]土地案例!I6</f>
        <v>70601.070000000007</v>
      </c>
      <c r="H38" s="416">
        <f>LOOKUP(G38,116:116,117:117)-LOOKUP(C38,116:116,117:117)+100</f>
        <v>100</v>
      </c>
      <c r="I38" s="3267">
        <f>[1]土地案例!I8</f>
        <v>32158.94</v>
      </c>
      <c r="J38" s="416">
        <f>LOOKUP(I38,116:116,117:117)-LOOKUP(C38,116:116,117:117)+100</f>
        <v>101</v>
      </c>
      <c r="K38" s="560"/>
      <c r="L38" s="2883"/>
      <c r="M38" s="2877"/>
      <c r="N38" s="2877"/>
      <c r="O38" s="2935"/>
      <c r="P38" s="3518"/>
      <c r="Q38" s="1474" t="str">
        <f>B38</f>
        <v>宗地面积</v>
      </c>
      <c r="R38" s="702" t="s">
        <v>17</v>
      </c>
      <c r="S38" s="703">
        <f t="shared" si="10"/>
        <v>101</v>
      </c>
      <c r="T38" s="702" t="s">
        <v>17</v>
      </c>
      <c r="U38" s="703">
        <f t="shared" si="11"/>
        <v>100</v>
      </c>
      <c r="V38" s="702" t="s">
        <v>17</v>
      </c>
      <c r="W38" s="703">
        <f t="shared" si="12"/>
        <v>101</v>
      </c>
      <c r="X38" s="1477"/>
      <c r="Y38" s="3518"/>
      <c r="Z38" s="1478" t="str">
        <f t="shared" si="13"/>
        <v>宗地面积</v>
      </c>
      <c r="AA38" s="1475">
        <f t="shared" si="3"/>
        <v>0.99009900990099009</v>
      </c>
      <c r="AB38" s="1475">
        <f t="shared" si="4"/>
        <v>1</v>
      </c>
      <c r="AC38" s="1475">
        <f t="shared" si="5"/>
        <v>0.99009900990099009</v>
      </c>
    </row>
    <row r="39" spans="1:29" ht="15.5">
      <c r="A39" s="421"/>
      <c r="B39" s="371" t="s">
        <v>2332</v>
      </c>
      <c r="C39" s="2030" t="s">
        <v>3344</v>
      </c>
      <c r="D39" s="384">
        <v>100</v>
      </c>
      <c r="E39" s="2030" t="s">
        <v>3344</v>
      </c>
      <c r="F39" s="384">
        <f>SUMIF(118:118,E39,119:119)-SUMIF(118:118,C39,119:119)+100</f>
        <v>100</v>
      </c>
      <c r="G39" s="2030" t="s">
        <v>3344</v>
      </c>
      <c r="H39" s="384">
        <f>SUMIF(118:118,G39,119:119)-SUMIF(118:118,C39,119:119)+100</f>
        <v>100</v>
      </c>
      <c r="I39" s="2030" t="s">
        <v>3344</v>
      </c>
      <c r="J39" s="384">
        <f>SUMIF(118:118,I39,119:119)-SUMIF(118:118,C39,119:119)+100</f>
        <v>100</v>
      </c>
      <c r="K39" s="3271">
        <v>2</v>
      </c>
      <c r="L39" s="2883"/>
      <c r="M39" s="2877"/>
      <c r="N39" s="2877"/>
      <c r="O39" s="2935"/>
      <c r="P39" s="3518"/>
      <c r="Q39" s="1474" t="str">
        <f t="shared" ref="Q39:Q45" si="14">B39</f>
        <v>宗地形状</v>
      </c>
      <c r="R39" s="702" t="s">
        <v>17</v>
      </c>
      <c r="S39" s="703">
        <f t="shared" si="10"/>
        <v>100</v>
      </c>
      <c r="T39" s="702" t="s">
        <v>17</v>
      </c>
      <c r="U39" s="703">
        <f t="shared" si="11"/>
        <v>100</v>
      </c>
      <c r="V39" s="702" t="s">
        <v>17</v>
      </c>
      <c r="W39" s="703">
        <f t="shared" si="12"/>
        <v>100</v>
      </c>
      <c r="X39" s="1477"/>
      <c r="Y39" s="3518"/>
      <c r="Z39" s="1478" t="str">
        <f t="shared" si="13"/>
        <v>宗地形状</v>
      </c>
      <c r="AA39" s="1475">
        <f t="shared" si="3"/>
        <v>1</v>
      </c>
      <c r="AB39" s="1475">
        <f t="shared" si="4"/>
        <v>1</v>
      </c>
      <c r="AC39" s="1475">
        <f t="shared" si="5"/>
        <v>1</v>
      </c>
    </row>
    <row r="40" spans="1:29" ht="15.5">
      <c r="A40" s="421"/>
      <c r="B40" s="371" t="s">
        <v>2333</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71"/>
      <c r="L40" s="2883"/>
      <c r="M40" s="2877"/>
      <c r="N40" s="2877"/>
      <c r="O40" s="2935"/>
      <c r="P40" s="3518"/>
      <c r="Q40" s="1474" t="str">
        <f t="shared" si="14"/>
        <v>临街宽度及深度</v>
      </c>
      <c r="R40" s="702" t="s">
        <v>17</v>
      </c>
      <c r="S40" s="703">
        <f t="shared" si="10"/>
        <v>100</v>
      </c>
      <c r="T40" s="702" t="s">
        <v>17</v>
      </c>
      <c r="U40" s="703">
        <f t="shared" si="11"/>
        <v>100</v>
      </c>
      <c r="V40" s="702" t="s">
        <v>17</v>
      </c>
      <c r="W40" s="703">
        <f t="shared" si="12"/>
        <v>100</v>
      </c>
      <c r="X40" s="1477"/>
      <c r="Y40" s="3518"/>
      <c r="Z40" s="1478" t="str">
        <f t="shared" si="13"/>
        <v>临街宽度及深度</v>
      </c>
      <c r="AA40" s="1475">
        <f t="shared" si="3"/>
        <v>1</v>
      </c>
      <c r="AB40" s="1475">
        <f t="shared" si="4"/>
        <v>1</v>
      </c>
      <c r="AC40" s="1475">
        <f t="shared" si="5"/>
        <v>1</v>
      </c>
    </row>
    <row r="41" spans="1:29" s="110" customFormat="1" ht="15.5">
      <c r="A41" s="422"/>
      <c r="B41" s="371" t="s">
        <v>2334</v>
      </c>
      <c r="C41" s="2104" t="s">
        <v>3333</v>
      </c>
      <c r="D41" s="122">
        <v>100</v>
      </c>
      <c r="E41" s="2104" t="s">
        <v>3335</v>
      </c>
      <c r="F41" s="384">
        <f>SUMIF(122:122,E41,123:123)-SUMIF(122:122,C41,123:123)+100</f>
        <v>98</v>
      </c>
      <c r="G41" s="2104" t="s">
        <v>3336</v>
      </c>
      <c r="H41" s="384">
        <f>SUMIF(122:122,G41,123:123)-SUMIF(122:122,C41,123:123)+100</f>
        <v>97</v>
      </c>
      <c r="I41" s="2104" t="s">
        <v>3333</v>
      </c>
      <c r="J41" s="384">
        <f>SUMIF(122:122,I41,123:123)-SUMIF(122:122,C41,123:123)+100</f>
        <v>100</v>
      </c>
      <c r="K41" s="3271">
        <v>1</v>
      </c>
      <c r="L41" s="2878"/>
      <c r="M41" s="2879"/>
      <c r="N41" s="2879"/>
      <c r="O41" s="2933"/>
      <c r="P41" s="3518"/>
      <c r="Q41" s="1474" t="str">
        <f t="shared" si="14"/>
        <v>宗地开发程度</v>
      </c>
      <c r="R41" s="698" t="s">
        <v>17</v>
      </c>
      <c r="S41" s="699">
        <f t="shared" si="10"/>
        <v>98</v>
      </c>
      <c r="T41" s="698" t="s">
        <v>17</v>
      </c>
      <c r="U41" s="699">
        <f t="shared" si="11"/>
        <v>97</v>
      </c>
      <c r="V41" s="698" t="s">
        <v>17</v>
      </c>
      <c r="W41" s="699">
        <f t="shared" si="12"/>
        <v>100</v>
      </c>
      <c r="X41" s="700"/>
      <c r="Y41" s="3518"/>
      <c r="Z41" s="55" t="str">
        <f t="shared" si="13"/>
        <v>宗地开发程度</v>
      </c>
      <c r="AA41" s="701">
        <f t="shared" si="3"/>
        <v>1.0204081632653061</v>
      </c>
      <c r="AB41" s="701">
        <f t="shared" si="4"/>
        <v>1.0309278350515463</v>
      </c>
      <c r="AC41" s="701">
        <f t="shared" si="5"/>
        <v>1</v>
      </c>
    </row>
    <row r="42" spans="1:29" ht="15.5">
      <c r="A42" s="421"/>
      <c r="B42" s="371" t="s">
        <v>2335</v>
      </c>
      <c r="C42" s="2030" t="s">
        <v>3338</v>
      </c>
      <c r="D42" s="384">
        <v>100</v>
      </c>
      <c r="E42" s="2030" t="s">
        <v>3338</v>
      </c>
      <c r="F42" s="384">
        <f>SUMIF(124:124,E42,125:125)-SUMIF(124:124,C42,125:125)+100</f>
        <v>100</v>
      </c>
      <c r="G42" s="2030" t="s">
        <v>3338</v>
      </c>
      <c r="H42" s="384">
        <f>SUMIF(124:124,G42,125:125)-SUMIF(124:124,C42,125:125)+100</f>
        <v>100</v>
      </c>
      <c r="I42" s="2030" t="s">
        <v>3338</v>
      </c>
      <c r="J42" s="384">
        <f>SUMIF(124:124,I42,125:125)-SUMIF(124:124,C42,125:125)+100</f>
        <v>100</v>
      </c>
      <c r="K42" s="3271">
        <v>2</v>
      </c>
      <c r="L42" s="2883"/>
      <c r="M42" s="2877"/>
      <c r="N42" s="2877"/>
      <c r="O42" s="2935"/>
      <c r="P42" s="3518" t="s">
        <v>2145</v>
      </c>
      <c r="Q42" s="1474" t="str">
        <f t="shared" si="14"/>
        <v>工程地质条件</v>
      </c>
      <c r="R42" s="702" t="s">
        <v>17</v>
      </c>
      <c r="S42" s="703">
        <f t="shared" si="10"/>
        <v>100</v>
      </c>
      <c r="T42" s="702" t="s">
        <v>17</v>
      </c>
      <c r="U42" s="703">
        <f t="shared" si="11"/>
        <v>100</v>
      </c>
      <c r="V42" s="702" t="s">
        <v>17</v>
      </c>
      <c r="W42" s="703">
        <f t="shared" si="12"/>
        <v>100</v>
      </c>
      <c r="X42" s="1477"/>
      <c r="Y42" s="3518" t="s">
        <v>2145</v>
      </c>
      <c r="Z42" s="1478" t="str">
        <f t="shared" si="13"/>
        <v>工程地质条件</v>
      </c>
      <c r="AA42" s="1475">
        <f t="shared" si="3"/>
        <v>1</v>
      </c>
      <c r="AB42" s="1475">
        <f t="shared" si="4"/>
        <v>1</v>
      </c>
      <c r="AC42" s="1475">
        <f t="shared" si="5"/>
        <v>1</v>
      </c>
    </row>
    <row r="43" spans="1:29" ht="15.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83"/>
      <c r="M43" s="2877"/>
      <c r="N43" s="2877"/>
      <c r="O43" s="2935"/>
      <c r="P43" s="3518"/>
      <c r="Q43" s="1474">
        <f t="shared" si="14"/>
        <v>111</v>
      </c>
      <c r="R43" s="702" t="s">
        <v>17</v>
      </c>
      <c r="S43" s="703">
        <f t="shared" si="10"/>
        <v>100</v>
      </c>
      <c r="T43" s="702" t="s">
        <v>17</v>
      </c>
      <c r="U43" s="703">
        <f t="shared" si="11"/>
        <v>100</v>
      </c>
      <c r="V43" s="702" t="s">
        <v>17</v>
      </c>
      <c r="W43" s="703">
        <f t="shared" si="12"/>
        <v>100</v>
      </c>
      <c r="X43" s="1477"/>
      <c r="Y43" s="3518"/>
      <c r="Z43" s="1478">
        <f t="shared" si="13"/>
        <v>111</v>
      </c>
      <c r="AA43" s="1475">
        <f t="shared" si="3"/>
        <v>1</v>
      </c>
      <c r="AB43" s="1475">
        <f t="shared" si="4"/>
        <v>1</v>
      </c>
      <c r="AC43" s="1475">
        <f t="shared" si="5"/>
        <v>1</v>
      </c>
    </row>
    <row r="44" spans="1:29" ht="15.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83"/>
      <c r="M44" s="2877"/>
      <c r="N44" s="2877"/>
      <c r="O44" s="2935"/>
      <c r="P44" s="3518"/>
      <c r="Q44" s="1474">
        <f t="shared" si="14"/>
        <v>111</v>
      </c>
      <c r="R44" s="702" t="s">
        <v>17</v>
      </c>
      <c r="S44" s="703">
        <f t="shared" si="10"/>
        <v>100</v>
      </c>
      <c r="T44" s="702" t="s">
        <v>17</v>
      </c>
      <c r="U44" s="703">
        <f t="shared" si="11"/>
        <v>100</v>
      </c>
      <c r="V44" s="702" t="s">
        <v>17</v>
      </c>
      <c r="W44" s="703">
        <f t="shared" si="12"/>
        <v>100</v>
      </c>
      <c r="X44" s="1477"/>
      <c r="Y44" s="3518"/>
      <c r="Z44" s="1478">
        <f t="shared" si="13"/>
        <v>111</v>
      </c>
      <c r="AA44" s="1475">
        <f t="shared" si="3"/>
        <v>1</v>
      </c>
      <c r="AB44" s="1475">
        <f t="shared" si="4"/>
        <v>1</v>
      </c>
      <c r="AC44" s="1475">
        <f t="shared" si="5"/>
        <v>1</v>
      </c>
    </row>
    <row r="45" spans="1:29" s="420" customFormat="1" ht="16"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82"/>
      <c r="M45" s="2884"/>
      <c r="N45" s="2884"/>
      <c r="O45" s="2936"/>
      <c r="P45" s="3518"/>
      <c r="Q45" s="1474">
        <f t="shared" si="14"/>
        <v>111</v>
      </c>
      <c r="R45" s="705" t="s">
        <v>17</v>
      </c>
      <c r="S45" s="706">
        <f t="shared" si="10"/>
        <v>100</v>
      </c>
      <c r="T45" s="705" t="s">
        <v>17</v>
      </c>
      <c r="U45" s="706">
        <f t="shared" si="11"/>
        <v>100</v>
      </c>
      <c r="V45" s="705" t="s">
        <v>17</v>
      </c>
      <c r="W45" s="706">
        <f t="shared" si="12"/>
        <v>100</v>
      </c>
      <c r="X45" s="707"/>
      <c r="Y45" s="3518"/>
      <c r="Z45" s="708">
        <f t="shared" si="13"/>
        <v>111</v>
      </c>
      <c r="AA45" s="1475">
        <f t="shared" si="3"/>
        <v>1</v>
      </c>
      <c r="AB45" s="1475">
        <f t="shared" si="4"/>
        <v>1</v>
      </c>
      <c r="AC45" s="1475">
        <f t="shared" si="5"/>
        <v>1</v>
      </c>
    </row>
    <row r="46" spans="1:29">
      <c r="A46" s="428" t="s">
        <v>2300</v>
      </c>
      <c r="B46" s="2106" t="s">
        <v>2336</v>
      </c>
      <c r="C46" s="628" t="s">
        <v>1</v>
      </c>
      <c r="D46" s="430"/>
      <c r="E46" s="431">
        <f>土地案例!AN5</f>
        <v>31358</v>
      </c>
      <c r="F46" s="432"/>
      <c r="G46" s="433">
        <f>土地案例!AN6</f>
        <v>23147</v>
      </c>
      <c r="H46" s="434"/>
      <c r="I46" s="431">
        <f>土地案例!AN8</f>
        <v>27343</v>
      </c>
      <c r="J46" s="434"/>
      <c r="K46" s="711"/>
      <c r="L46" s="2885"/>
      <c r="M46" s="2886"/>
      <c r="N46" s="2877"/>
      <c r="O46" s="2886"/>
      <c r="P46" s="3500" t="str">
        <f>A46</f>
        <v>成交单价</v>
      </c>
      <c r="Q46" s="3500"/>
      <c r="R46" s="3513">
        <f>E46</f>
        <v>31358</v>
      </c>
      <c r="S46" s="3513"/>
      <c r="T46" s="3513">
        <f>G46</f>
        <v>23147</v>
      </c>
      <c r="U46" s="3513"/>
      <c r="V46" s="3513">
        <f>I46</f>
        <v>27343</v>
      </c>
      <c r="W46" s="3513"/>
      <c r="X46" s="687"/>
      <c r="Y46" s="709"/>
      <c r="Z46" s="687"/>
      <c r="AA46" s="687"/>
      <c r="AB46" s="687"/>
      <c r="AC46" s="687"/>
    </row>
    <row r="47" spans="1:29" ht="14.5" thickBot="1">
      <c r="A47" s="435" t="s">
        <v>2249</v>
      </c>
      <c r="B47" s="629"/>
      <c r="C47" s="438">
        <f>R48</f>
        <v>25155</v>
      </c>
      <c r="D47" s="2476" t="s">
        <v>2639</v>
      </c>
      <c r="E47" s="438">
        <f>R47</f>
        <v>25559</v>
      </c>
      <c r="F47" s="2477"/>
      <c r="G47" s="437">
        <f>T47</f>
        <v>25460</v>
      </c>
      <c r="H47" s="2477"/>
      <c r="I47" s="438">
        <f>V47</f>
        <v>24447</v>
      </c>
      <c r="J47" s="2477"/>
      <c r="K47" s="2479">
        <f>F47+H47+J47</f>
        <v>0</v>
      </c>
      <c r="L47" s="2885"/>
      <c r="M47" s="2886"/>
      <c r="N47" s="2886"/>
      <c r="O47" s="2886"/>
      <c r="P47" s="3500" t="str">
        <f>A47</f>
        <v>比较价值（元/平方米）</v>
      </c>
      <c r="Q47" s="3500"/>
      <c r="R47" s="3519">
        <f>ROUND(PRODUCT(R46,AA7:AA45),0)</f>
        <v>25559</v>
      </c>
      <c r="S47" s="3519"/>
      <c r="T47" s="3519">
        <f>ROUND(PRODUCT(T46,AB7:AB45),0)</f>
        <v>25460</v>
      </c>
      <c r="U47" s="3519"/>
      <c r="V47" s="3519">
        <f>ROUND(PRODUCT(V46,AC7:AC45),0)</f>
        <v>24447</v>
      </c>
      <c r="W47" s="3519"/>
      <c r="X47" s="687"/>
      <c r="Y47" s="687"/>
      <c r="Z47" s="687"/>
      <c r="AA47" s="687"/>
      <c r="AB47" s="687"/>
      <c r="AC47" s="687"/>
    </row>
    <row r="48" spans="1:29" ht="14.5" thickBot="1">
      <c r="A48" s="439" t="s">
        <v>2337</v>
      </c>
      <c r="B48" s="440"/>
      <c r="C48" s="441">
        <f>R48</f>
        <v>25155</v>
      </c>
      <c r="D48" s="441"/>
      <c r="E48" s="441"/>
      <c r="F48" s="441"/>
      <c r="G48" s="441"/>
      <c r="H48" s="441"/>
      <c r="I48" s="441"/>
      <c r="J48" s="441"/>
      <c r="K48" s="712"/>
      <c r="L48" s="2885"/>
      <c r="M48" s="2886"/>
      <c r="N48" s="2886"/>
      <c r="O48" s="2886"/>
      <c r="P48" s="3520" t="str">
        <f>A48</f>
        <v>估价对象XX用房的比较价值（楼面单价，元/平方米）</v>
      </c>
      <c r="Q48" s="3521"/>
      <c r="R48" s="3522">
        <f>ROUND(IF(D47="简单平均",AVERAGE(R47:W47),R47*F47+T47*H47+V47*J47),0)</f>
        <v>25155</v>
      </c>
      <c r="S48" s="3522"/>
      <c r="T48" s="3522"/>
      <c r="U48" s="3522"/>
      <c r="V48" s="3522"/>
      <c r="W48" s="3522"/>
      <c r="X48" s="687"/>
      <c r="Y48" s="687"/>
      <c r="Z48" s="687"/>
      <c r="AA48" s="687"/>
      <c r="AB48" s="687"/>
      <c r="AC48" s="687"/>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4" t="s">
        <v>2251</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4" t="s">
        <v>2252</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49" customFormat="1" ht="13.5" customHeight="1">
      <c r="A53" s="2889"/>
      <c r="B53" s="2889"/>
      <c r="C53" s="444" t="s">
        <v>2253</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49" customFormat="1" ht="14.5" thickBot="1">
      <c r="A54" s="2889"/>
      <c r="B54" s="2892"/>
      <c r="C54" s="690"/>
      <c r="D54" s="688"/>
      <c r="E54" s="688"/>
      <c r="F54" s="688"/>
      <c r="G54" s="688"/>
      <c r="H54" s="688"/>
      <c r="I54" s="688"/>
      <c r="J54" s="688"/>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0" t="s">
        <v>2338</v>
      </c>
      <c r="B55" s="631" t="s">
        <v>2339</v>
      </c>
      <c r="C55" s="2107" t="s">
        <v>2340</v>
      </c>
      <c r="D55" s="2108" t="s">
        <v>2341</v>
      </c>
      <c r="E55" s="632" t="s">
        <v>2342</v>
      </c>
      <c r="F55" s="990" t="s">
        <v>2343</v>
      </c>
      <c r="G55" s="3501" t="s">
        <v>2344</v>
      </c>
      <c r="H55" s="3523"/>
      <c r="I55" s="130" t="s">
        <v>2345</v>
      </c>
      <c r="J55" s="2109">
        <f>项目基本情况!F35</f>
        <v>0</v>
      </c>
      <c r="K55" s="2110" t="s">
        <v>2346</v>
      </c>
      <c r="L55" s="2887"/>
      <c r="M55" s="2886"/>
      <c r="N55" s="2886"/>
      <c r="O55" s="2886"/>
      <c r="P55" s="2886"/>
      <c r="Q55" s="2886"/>
      <c r="R55" s="2886"/>
      <c r="S55" s="2886"/>
      <c r="T55" s="2886"/>
      <c r="U55" s="2886"/>
      <c r="V55" s="2886"/>
      <c r="W55" s="2886"/>
      <c r="X55" s="2886"/>
      <c r="Y55" s="2886"/>
      <c r="Z55" s="2886"/>
      <c r="AA55" s="2886"/>
      <c r="AB55" s="2886"/>
      <c r="AC55" s="2886"/>
    </row>
    <row r="56" spans="1:29" s="638" customFormat="1">
      <c r="A56" s="634" t="s">
        <v>2347</v>
      </c>
      <c r="B56" s="635">
        <f>C48</f>
        <v>25155</v>
      </c>
      <c r="C56" s="636">
        <v>1</v>
      </c>
      <c r="D56" s="1044">
        <v>1</v>
      </c>
      <c r="E56" s="636">
        <f>'数据-汇总表'!E8+'数据-汇总表'!E9</f>
        <v>56128.46</v>
      </c>
      <c r="F56" s="986">
        <f t="shared" ref="F56:F64" si="15">ROUND(B56*E56/10000,0)</f>
        <v>141191</v>
      </c>
      <c r="G56" s="3524"/>
      <c r="H56" s="3500"/>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38" customFormat="1">
      <c r="A57" s="639" t="s">
        <v>2348</v>
      </c>
      <c r="B57" s="214">
        <f>ROUND($C$48*C57*D57,0)</f>
        <v>15093</v>
      </c>
      <c r="C57" s="166">
        <f t="shared" ref="C57:C64" si="16">IF($C$55="北京市系数",I57,J57)</f>
        <v>0.6</v>
      </c>
      <c r="D57" s="1045">
        <v>1</v>
      </c>
      <c r="E57" s="640">
        <f>'数据-汇总表'!G19/2</f>
        <v>21091.855</v>
      </c>
      <c r="F57" s="986">
        <f t="shared" si="15"/>
        <v>31834</v>
      </c>
      <c r="G57" s="3204" t="s">
        <v>2349</v>
      </c>
      <c r="H57" s="987" t="str">
        <f>项目基本情况!B37</f>
        <v>四级</v>
      </c>
      <c r="I57" s="991">
        <f>SUMIF(修正!A57:A68,H57,修正!B57:B68)</f>
        <v>0.6</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38" customFormat="1">
      <c r="A58" s="639" t="s">
        <v>2350</v>
      </c>
      <c r="B58" s="214">
        <f t="shared" ref="B58:B64" si="17">ROUND($C$48*C58*D58,0)</f>
        <v>7547</v>
      </c>
      <c r="C58" s="166">
        <f t="shared" si="16"/>
        <v>0.3</v>
      </c>
      <c r="D58" s="1045">
        <v>1</v>
      </c>
      <c r="E58" s="640">
        <f>'数据-汇总表'!G19-'土地比较法-住宅、综合'!E57</f>
        <v>21091.855</v>
      </c>
      <c r="F58" s="986">
        <f t="shared" si="15"/>
        <v>15918</v>
      </c>
      <c r="G58" s="3205"/>
      <c r="H58" s="987" t="str">
        <f>项目基本情况!B37</f>
        <v>四级</v>
      </c>
      <c r="I58" s="991">
        <f>SUMIF(修正!A57:A68,H58,修正!C57:C68)</f>
        <v>0.3</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38" customFormat="1">
      <c r="A59" s="639" t="s">
        <v>2351</v>
      </c>
      <c r="B59" s="214">
        <f t="shared" si="17"/>
        <v>1572</v>
      </c>
      <c r="C59" s="166">
        <f t="shared" si="16"/>
        <v>0.25</v>
      </c>
      <c r="D59" s="1045">
        <v>0.25</v>
      </c>
      <c r="E59" s="640"/>
      <c r="F59" s="986">
        <f t="shared" si="15"/>
        <v>0</v>
      </c>
      <c r="G59" s="3205"/>
      <c r="H59" s="987" t="str">
        <f>项目基本情况!B37</f>
        <v>四级</v>
      </c>
      <c r="I59" s="991">
        <f>SUMIF(修正!A57:A68,H59,修正!D57:D68)</f>
        <v>0.25</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38" customFormat="1">
      <c r="A60" s="639" t="s">
        <v>2352</v>
      </c>
      <c r="B60" s="214">
        <f t="shared" si="17"/>
        <v>1572</v>
      </c>
      <c r="C60" s="166">
        <f t="shared" si="16"/>
        <v>0.25</v>
      </c>
      <c r="D60" s="1045">
        <v>0.25</v>
      </c>
      <c r="E60" s="213">
        <f>'数据-汇总表'!E11</f>
        <v>0</v>
      </c>
      <c r="F60" s="986">
        <f t="shared" si="15"/>
        <v>0</v>
      </c>
      <c r="G60" s="2111" t="s">
        <v>2353</v>
      </c>
      <c r="H60" s="987" t="str">
        <f>项目基本情况!C37</f>
        <v>四级</v>
      </c>
      <c r="I60" s="991">
        <f>SUMIF(修正!A57:A68,H60,修正!E57:E68)</f>
        <v>0.25</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38" customFormat="1">
      <c r="A61" s="639" t="s">
        <v>2354</v>
      </c>
      <c r="B61" s="214">
        <f t="shared" si="17"/>
        <v>1572</v>
      </c>
      <c r="C61" s="166">
        <f t="shared" si="16"/>
        <v>0.25</v>
      </c>
      <c r="D61" s="1045">
        <v>0.25</v>
      </c>
      <c r="E61" s="213">
        <f>'数据-汇总表'!E12</f>
        <v>0</v>
      </c>
      <c r="F61" s="986">
        <f t="shared" si="15"/>
        <v>0</v>
      </c>
      <c r="G61" s="992" t="s">
        <v>2355</v>
      </c>
      <c r="H61" s="987" t="str">
        <f>IF(G61="商业",项目基本情况!B37,IF(G61="办公",项目基本情况!C37,IF(G61="住宅",项目基本情况!D37,项目基本情况!E37)))</f>
        <v>四级</v>
      </c>
      <c r="I61" s="991">
        <f>SUMIF(修正!A57:A68,H61,修正!F57:F68)</f>
        <v>0.25</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38" customFormat="1">
      <c r="A62" s="639" t="s">
        <v>2356</v>
      </c>
      <c r="B62" s="214">
        <f t="shared" si="17"/>
        <v>943</v>
      </c>
      <c r="C62" s="166">
        <f t="shared" si="16"/>
        <v>0.15</v>
      </c>
      <c r="D62" s="1045">
        <v>0.25</v>
      </c>
      <c r="E62" s="213">
        <f>'数据-汇总表'!E13</f>
        <v>0</v>
      </c>
      <c r="F62" s="986">
        <f t="shared" si="15"/>
        <v>0</v>
      </c>
      <c r="G62" s="992" t="s">
        <v>2357</v>
      </c>
      <c r="H62" s="987" t="str">
        <f>IF(G62="商业",项目基本情况!B37,IF(G62="办公",项目基本情况!C37,IF(G62="住宅",项目基本情况!D37,项目基本情况!E37)))</f>
        <v>四级</v>
      </c>
      <c r="I62" s="991">
        <f>SUMIF(修正!A57:A68,H62,修正!G57:G68)</f>
        <v>0.15</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38" customFormat="1">
      <c r="A63" s="639" t="s">
        <v>2358</v>
      </c>
      <c r="B63" s="214">
        <f t="shared" si="17"/>
        <v>943</v>
      </c>
      <c r="C63" s="166">
        <f t="shared" si="16"/>
        <v>0.15</v>
      </c>
      <c r="D63" s="1045">
        <v>0.25</v>
      </c>
      <c r="E63" s="213">
        <f>'数据-汇总表'!E14</f>
        <v>0</v>
      </c>
      <c r="F63" s="986">
        <f t="shared" si="15"/>
        <v>0</v>
      </c>
      <c r="G63" s="2111" t="s">
        <v>2349</v>
      </c>
      <c r="H63" s="987" t="str">
        <f>项目基本情况!B37</f>
        <v>四级</v>
      </c>
      <c r="I63" s="991">
        <f>SUMIF(修正!A57:A68,H63,修正!G57:G68)</f>
        <v>0.15</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38" customFormat="1" ht="14.5" thickBot="1">
      <c r="A64" s="639" t="s">
        <v>2359</v>
      </c>
      <c r="B64" s="214">
        <f t="shared" si="17"/>
        <v>943</v>
      </c>
      <c r="C64" s="166">
        <f t="shared" si="16"/>
        <v>0.15</v>
      </c>
      <c r="D64" s="1045">
        <v>0.25</v>
      </c>
      <c r="E64" s="213">
        <f>'数据-汇总表'!E15</f>
        <v>0</v>
      </c>
      <c r="F64" s="986">
        <f t="shared" si="15"/>
        <v>0</v>
      </c>
      <c r="G64" s="2112" t="s">
        <v>2353</v>
      </c>
      <c r="H64" s="997" t="str">
        <f>项目基本情况!C37</f>
        <v>四级</v>
      </c>
      <c r="I64" s="993">
        <f>SUMIF(修正!A57:A68,H64,修正!G57:G68)</f>
        <v>0.15</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38" customFormat="1" thickBot="1">
      <c r="A65" s="641" t="s">
        <v>2360</v>
      </c>
      <c r="B65" s="642" t="s">
        <v>28</v>
      </c>
      <c r="C65" s="642" t="s">
        <v>29</v>
      </c>
      <c r="D65" s="642" t="s">
        <v>816</v>
      </c>
      <c r="E65" s="642">
        <f>IF(B46="楼面地价",SUM(E56:E64),'数据-汇总表'!D3)</f>
        <v>98312.17</v>
      </c>
      <c r="F65" s="643">
        <f>IF(B46="楼面地价",SUM(F56:F64),ROUND(C48*E65/10000,0))</f>
        <v>188943</v>
      </c>
      <c r="G65" s="714"/>
      <c r="H65" s="714"/>
      <c r="I65" s="714"/>
      <c r="J65" s="714"/>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7"/>
      <c r="B66" s="689"/>
      <c r="C66" s="690"/>
      <c r="D66" s="687"/>
      <c r="E66" s="687"/>
      <c r="F66" s="687"/>
      <c r="G66" s="687"/>
      <c r="H66" s="687"/>
      <c r="I66" s="687"/>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86"/>
      <c r="Q67" s="2886"/>
      <c r="R67" s="2886"/>
      <c r="S67" s="2886"/>
      <c r="T67" s="2886"/>
      <c r="U67" s="2886"/>
      <c r="V67" s="2886"/>
      <c r="W67" s="2886"/>
      <c r="X67" s="2886"/>
      <c r="Y67" s="2886"/>
      <c r="Z67" s="2886"/>
      <c r="AA67" s="2886"/>
      <c r="AB67" s="2886"/>
      <c r="AC67" s="2886"/>
    </row>
    <row r="68" spans="1:29" ht="21.5" thickBot="1">
      <c r="A68" s="691" t="s">
        <v>2254</v>
      </c>
      <c r="B68" s="687"/>
      <c r="C68" s="692"/>
      <c r="D68" s="692"/>
      <c r="E68" s="692"/>
      <c r="F68" s="693"/>
      <c r="G68" s="693"/>
      <c r="H68" s="692"/>
      <c r="I68" s="692"/>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5" customFormat="1">
      <c r="A69" s="2113" t="s">
        <v>2361</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37"/>
      <c r="Q69" s="2902"/>
      <c r="R69" s="2902"/>
      <c r="S69" s="2902"/>
      <c r="T69" s="2902"/>
      <c r="U69" s="2902"/>
      <c r="V69" s="2902"/>
      <c r="W69" s="2902"/>
      <c r="X69" s="2902"/>
      <c r="Y69" s="2902"/>
      <c r="Z69" s="2902"/>
      <c r="AA69" s="2902"/>
      <c r="AB69" s="2902"/>
      <c r="AC69" s="2902"/>
    </row>
    <row r="70" spans="1:29" s="110" customFormat="1" ht="30" customHeight="1">
      <c r="A70" s="2114" t="s">
        <v>2362</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900"/>
      <c r="Q70" s="2821"/>
      <c r="R70" s="2821"/>
      <c r="S70" s="2821"/>
      <c r="T70" s="2821"/>
      <c r="U70" s="2821"/>
      <c r="V70" s="2821"/>
      <c r="W70" s="2821"/>
      <c r="X70" s="2821"/>
      <c r="Y70" s="2821"/>
      <c r="Z70" s="2821"/>
      <c r="AA70" s="2821"/>
      <c r="AB70" s="2821"/>
      <c r="AC70" s="2821"/>
    </row>
    <row r="71" spans="1:29" s="110" customFormat="1" ht="14.5" thickBot="1">
      <c r="A71" s="462" t="s">
        <v>2165</v>
      </c>
      <c r="B71" s="463"/>
      <c r="C71" s="464"/>
      <c r="D71" s="465"/>
      <c r="E71" s="465"/>
      <c r="F71" s="465"/>
      <c r="G71" s="465"/>
      <c r="H71" s="465"/>
      <c r="I71" s="465"/>
      <c r="J71" s="465"/>
      <c r="K71" s="465"/>
      <c r="L71" s="465"/>
      <c r="M71" s="466"/>
      <c r="N71" s="465"/>
      <c r="O71" s="1043"/>
      <c r="P71" s="2900"/>
      <c r="Q71" s="2900"/>
      <c r="R71" s="2821"/>
      <c r="S71" s="2821"/>
      <c r="T71" s="2821"/>
      <c r="U71" s="2821"/>
      <c r="V71" s="2821"/>
      <c r="W71" s="2821"/>
      <c r="X71" s="2821"/>
      <c r="Y71" s="2821"/>
      <c r="Z71" s="2821"/>
      <c r="AA71" s="2821"/>
      <c r="AB71" s="2821"/>
      <c r="AC71" s="2821"/>
    </row>
    <row r="72" spans="1:29" s="110" customFormat="1">
      <c r="A72" s="468" t="s">
        <v>2130</v>
      </c>
      <c r="B72" s="457"/>
      <c r="C72" s="469" t="s">
        <v>2232</v>
      </c>
      <c r="D72" s="470"/>
      <c r="E72" s="470"/>
      <c r="F72" s="470"/>
      <c r="G72" s="470"/>
      <c r="H72" s="470"/>
      <c r="I72" s="470"/>
      <c r="J72" s="470"/>
      <c r="K72" s="470"/>
      <c r="L72" s="471"/>
      <c r="M72" s="472"/>
      <c r="N72" s="2913"/>
      <c r="O72" s="2913"/>
      <c r="P72" s="2938"/>
      <c r="Q72" s="2900"/>
      <c r="R72" s="2821"/>
      <c r="S72" s="2821"/>
      <c r="T72" s="2821"/>
      <c r="U72" s="2821"/>
      <c r="V72" s="2821"/>
      <c r="W72" s="2821"/>
      <c r="X72" s="2821"/>
      <c r="Y72" s="2821"/>
      <c r="Z72" s="2821"/>
      <c r="AA72" s="2821"/>
      <c r="AB72" s="2821"/>
      <c r="AC72" s="2821"/>
    </row>
    <row r="73" spans="1:29" s="110" customFormat="1" ht="14.5" thickBot="1">
      <c r="A73" s="468"/>
      <c r="B73" s="457"/>
      <c r="C73" s="585">
        <v>100</v>
      </c>
      <c r="D73" s="459"/>
      <c r="E73" s="459"/>
      <c r="F73" s="459"/>
      <c r="G73" s="459"/>
      <c r="H73" s="459"/>
      <c r="I73" s="459"/>
      <c r="J73" s="459"/>
      <c r="K73" s="459"/>
      <c r="L73" s="459"/>
      <c r="M73" s="461"/>
      <c r="N73" s="2913"/>
      <c r="O73" s="2913"/>
      <c r="P73" s="2900"/>
      <c r="Q73" s="2900"/>
      <c r="R73" s="2821"/>
      <c r="S73" s="2821"/>
      <c r="T73" s="2821"/>
      <c r="U73" s="2821"/>
      <c r="V73" s="2821"/>
      <c r="W73" s="2821"/>
      <c r="X73" s="2821"/>
      <c r="Y73" s="2821"/>
      <c r="Z73" s="2821"/>
      <c r="AA73" s="2821"/>
      <c r="AB73" s="2821"/>
      <c r="AC73" s="2821"/>
    </row>
    <row r="74" spans="1:29">
      <c r="A74" s="474" t="s">
        <v>2168</v>
      </c>
      <c r="B74" s="475" t="s">
        <v>2134</v>
      </c>
      <c r="C74" s="3245" t="s">
        <v>183</v>
      </c>
      <c r="D74" s="3245" t="s">
        <v>3318</v>
      </c>
      <c r="E74" s="477"/>
      <c r="F74" s="477"/>
      <c r="G74" s="477"/>
      <c r="H74" s="477"/>
      <c r="I74" s="477"/>
      <c r="J74" s="477"/>
      <c r="K74" s="478"/>
      <c r="L74" s="479"/>
      <c r="M74" s="480"/>
      <c r="N74" s="2914"/>
      <c r="O74" s="2914"/>
      <c r="P74" s="2939"/>
      <c r="Q74" s="2900"/>
      <c r="R74" s="2886"/>
      <c r="S74" s="2886"/>
      <c r="T74" s="2886"/>
      <c r="U74" s="2886"/>
      <c r="V74" s="2886"/>
      <c r="W74" s="2886"/>
      <c r="X74" s="2886"/>
      <c r="Y74" s="2886"/>
      <c r="Z74" s="2886"/>
      <c r="AA74" s="2886"/>
      <c r="AB74" s="2886"/>
      <c r="AC74" s="2886"/>
    </row>
    <row r="75" spans="1:29" ht="14.5" thickBot="1">
      <c r="A75" s="481"/>
      <c r="B75" s="482"/>
      <c r="C75" s="3246">
        <v>100</v>
      </c>
      <c r="D75" s="3246">
        <v>85</v>
      </c>
      <c r="E75" s="483"/>
      <c r="F75" s="483"/>
      <c r="G75" s="483"/>
      <c r="H75" s="483"/>
      <c r="I75" s="483"/>
      <c r="J75" s="483"/>
      <c r="K75" s="483"/>
      <c r="L75" s="483"/>
      <c r="M75" s="484"/>
      <c r="N75" s="2915"/>
      <c r="O75" s="2915"/>
      <c r="P75" s="2939"/>
      <c r="Q75" s="2900"/>
      <c r="R75" s="2886"/>
      <c r="S75" s="2886"/>
      <c r="T75" s="2886"/>
      <c r="U75" s="2886"/>
      <c r="V75" s="2886"/>
      <c r="W75" s="2886"/>
      <c r="X75" s="2886"/>
      <c r="Y75" s="2886"/>
      <c r="Z75" s="2886"/>
      <c r="AA75" s="2886"/>
      <c r="AB75" s="2886"/>
      <c r="AC75" s="2886"/>
    </row>
    <row r="76" spans="1:29" ht="28.5" thickTop="1">
      <c r="A76" s="481"/>
      <c r="B76" s="485" t="s">
        <v>2137</v>
      </c>
      <c r="C76" s="486"/>
      <c r="D76" s="486"/>
      <c r="E76" s="486"/>
      <c r="F76" s="486"/>
      <c r="G76" s="486"/>
      <c r="H76" s="486"/>
      <c r="I76" s="486"/>
      <c r="J76" s="486"/>
      <c r="K76" s="487"/>
      <c r="L76" s="488"/>
      <c r="M76" s="489"/>
      <c r="N76" s="2914"/>
      <c r="O76" s="2914"/>
      <c r="P76" s="2939"/>
      <c r="Q76" s="2900"/>
      <c r="R76" s="2886"/>
      <c r="S76" s="2886"/>
      <c r="T76" s="2886"/>
      <c r="U76" s="2886"/>
      <c r="V76" s="2886"/>
      <c r="W76" s="2886"/>
      <c r="X76" s="2886"/>
      <c r="Y76" s="2886"/>
      <c r="Z76" s="2886"/>
      <c r="AA76" s="2886"/>
      <c r="AB76" s="2886"/>
      <c r="AC76" s="2886"/>
    </row>
    <row r="77" spans="1:29" ht="14.5" thickBot="1">
      <c r="A77" s="481"/>
      <c r="B77" s="490"/>
      <c r="C77" s="491"/>
      <c r="D77" s="491"/>
      <c r="E77" s="491"/>
      <c r="F77" s="491"/>
      <c r="G77" s="491"/>
      <c r="H77" s="491"/>
      <c r="I77" s="491"/>
      <c r="J77" s="491"/>
      <c r="K77" s="491"/>
      <c r="L77" s="491"/>
      <c r="M77" s="492"/>
      <c r="N77" s="2915"/>
      <c r="O77" s="2915"/>
      <c r="P77" s="2939"/>
      <c r="Q77" s="2900"/>
      <c r="R77" s="2886"/>
      <c r="S77" s="2886"/>
      <c r="T77" s="2886"/>
      <c r="U77" s="2886"/>
      <c r="V77" s="2886"/>
      <c r="W77" s="2886"/>
      <c r="X77" s="2886"/>
      <c r="Y77" s="2886"/>
      <c r="Z77" s="2886"/>
      <c r="AA77" s="2886"/>
      <c r="AB77" s="2886"/>
      <c r="AC77" s="2886"/>
    </row>
    <row r="78" spans="1:29" ht="14.5" thickTop="1">
      <c r="A78" s="481"/>
      <c r="B78" s="493" t="s">
        <v>2138</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15"/>
      <c r="O78" s="2915"/>
      <c r="P78" s="2939"/>
      <c r="Q78" s="2900"/>
      <c r="R78" s="2886"/>
      <c r="S78" s="2886"/>
      <c r="T78" s="2886"/>
      <c r="U78" s="2886"/>
      <c r="V78" s="2886"/>
      <c r="W78" s="2886"/>
      <c r="X78" s="2886"/>
      <c r="Y78" s="2886"/>
      <c r="Z78" s="2886"/>
      <c r="AA78" s="2886"/>
      <c r="AB78" s="2886"/>
      <c r="AC78" s="2886"/>
    </row>
    <row r="79" spans="1:29">
      <c r="A79" s="481"/>
      <c r="B79" s="495"/>
      <c r="C79" s="3247">
        <v>0</v>
      </c>
      <c r="D79" s="3247">
        <v>1</v>
      </c>
      <c r="E79" s="3247">
        <v>2</v>
      </c>
      <c r="F79" s="3247">
        <v>3</v>
      </c>
      <c r="G79" s="3247">
        <v>4</v>
      </c>
      <c r="H79" s="3247">
        <v>5</v>
      </c>
      <c r="I79" s="3247">
        <v>6</v>
      </c>
      <c r="J79" s="496"/>
      <c r="K79" s="497"/>
      <c r="L79" s="498"/>
      <c r="M79" s="499"/>
      <c r="N79" s="2914"/>
      <c r="O79" s="2914"/>
      <c r="P79" s="2939"/>
      <c r="Q79" s="2900"/>
      <c r="R79" s="2886"/>
      <c r="S79" s="2886"/>
      <c r="T79" s="2886"/>
      <c r="U79" s="2886"/>
      <c r="V79" s="2886"/>
      <c r="W79" s="2886"/>
      <c r="X79" s="2886"/>
      <c r="Y79" s="2886"/>
      <c r="Z79" s="2886"/>
      <c r="AA79" s="2886"/>
      <c r="AB79" s="2886"/>
      <c r="AC79" s="288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15"/>
      <c r="O80" s="2915"/>
      <c r="P80" s="2939"/>
      <c r="Q80" s="2900"/>
      <c r="R80" s="2886"/>
      <c r="S80" s="2886"/>
      <c r="T80" s="2886"/>
      <c r="U80" s="2886"/>
      <c r="V80" s="2886"/>
      <c r="W80" s="2886"/>
      <c r="X80" s="2886"/>
      <c r="Y80" s="2886"/>
      <c r="Z80" s="2886"/>
      <c r="AA80" s="2886"/>
      <c r="AB80" s="2886"/>
      <c r="AC80" s="2886"/>
    </row>
    <row r="81" spans="1:29" s="420" customFormat="1" ht="14.5" thickTop="1">
      <c r="A81" s="500"/>
      <c r="B81" s="485" t="str">
        <f>B12</f>
        <v>配建</v>
      </c>
      <c r="C81" s="3285" t="s">
        <v>3358</v>
      </c>
      <c r="D81" s="3285" t="s">
        <v>3360</v>
      </c>
      <c r="E81" s="3285" t="s">
        <v>3359</v>
      </c>
      <c r="F81" s="501"/>
      <c r="G81" s="501"/>
      <c r="H81" s="502"/>
      <c r="I81" s="502"/>
      <c r="J81" s="502"/>
      <c r="K81" s="502"/>
      <c r="L81" s="503"/>
      <c r="M81" s="504"/>
      <c r="N81" s="2916"/>
      <c r="O81" s="2916"/>
      <c r="P81" s="2940"/>
      <c r="Q81" s="2907"/>
      <c r="R81" s="2908"/>
      <c r="S81" s="2908"/>
      <c r="T81" s="2908"/>
      <c r="U81" s="2908"/>
      <c r="V81" s="2908"/>
      <c r="W81" s="2908"/>
      <c r="X81" s="2908"/>
      <c r="Y81" s="2908"/>
      <c r="Z81" s="2908"/>
      <c r="AA81" s="2908"/>
      <c r="AB81" s="2908"/>
      <c r="AC81" s="2908"/>
    </row>
    <row r="82" spans="1:29" s="420" customFormat="1" ht="14.5" thickBot="1">
      <c r="A82" s="500"/>
      <c r="B82" s="490"/>
      <c r="C82" s="507">
        <v>100</v>
      </c>
      <c r="D82" s="483">
        <v>98</v>
      </c>
      <c r="E82" s="483">
        <v>90</v>
      </c>
      <c r="F82" s="483"/>
      <c r="G82" s="483"/>
      <c r="H82" s="483"/>
      <c r="I82" s="483"/>
      <c r="J82" s="483"/>
      <c r="K82" s="483"/>
      <c r="L82" s="483"/>
      <c r="M82" s="484"/>
      <c r="N82" s="2915"/>
      <c r="O82" s="2915"/>
      <c r="P82" s="2940"/>
      <c r="Q82" s="2907"/>
      <c r="R82" s="2908"/>
      <c r="S82" s="2908"/>
      <c r="T82" s="2908"/>
      <c r="U82" s="2908"/>
      <c r="V82" s="2908"/>
      <c r="W82" s="2908"/>
      <c r="X82" s="2908"/>
      <c r="Y82" s="2908"/>
      <c r="Z82" s="2908"/>
      <c r="AA82" s="2908"/>
      <c r="AB82" s="2908"/>
      <c r="AC82" s="2908"/>
    </row>
    <row r="83" spans="1:29" s="420" customFormat="1" ht="14.5" thickTop="1">
      <c r="A83" s="500"/>
      <c r="B83" s="485" t="str">
        <f>B13</f>
        <v>是否自持</v>
      </c>
      <c r="C83" s="3293" t="s">
        <v>3367</v>
      </c>
      <c r="D83" s="3293" t="s">
        <v>3368</v>
      </c>
      <c r="E83" s="501"/>
      <c r="F83" s="501"/>
      <c r="G83" s="501"/>
      <c r="H83" s="502"/>
      <c r="I83" s="502"/>
      <c r="J83" s="502"/>
      <c r="K83" s="502"/>
      <c r="L83" s="503"/>
      <c r="M83" s="504"/>
      <c r="N83" s="2916"/>
      <c r="O83" s="2916"/>
      <c r="P83" s="2884"/>
      <c r="Q83" s="2910"/>
      <c r="R83" s="2908"/>
      <c r="S83" s="2908"/>
      <c r="T83" s="2908"/>
      <c r="U83" s="2908"/>
      <c r="V83" s="2908"/>
      <c r="W83" s="2908"/>
      <c r="X83" s="2908"/>
      <c r="Y83" s="2908"/>
      <c r="Z83" s="2908"/>
      <c r="AA83" s="2908"/>
      <c r="AB83" s="2908"/>
      <c r="AC83" s="2908"/>
    </row>
    <row r="84" spans="1:29" s="420" customFormat="1" ht="14.5" thickBot="1">
      <c r="A84" s="500"/>
      <c r="B84" s="490"/>
      <c r="C84" s="507">
        <v>100</v>
      </c>
      <c r="D84" s="507">
        <v>90</v>
      </c>
      <c r="E84" s="507"/>
      <c r="F84" s="507"/>
      <c r="G84" s="507"/>
      <c r="H84" s="509"/>
      <c r="I84" s="509"/>
      <c r="J84" s="509"/>
      <c r="K84" s="509"/>
      <c r="L84" s="509"/>
      <c r="M84" s="510"/>
      <c r="N84" s="2916"/>
      <c r="O84" s="2916"/>
      <c r="P84" s="2940"/>
      <c r="Q84" s="2907"/>
      <c r="R84" s="2908"/>
      <c r="S84" s="2908"/>
      <c r="T84" s="2908"/>
      <c r="U84" s="2908"/>
      <c r="V84" s="2908"/>
      <c r="W84" s="2908"/>
      <c r="X84" s="2908"/>
      <c r="Y84" s="2908"/>
      <c r="Z84" s="2908"/>
      <c r="AA84" s="2908"/>
      <c r="AB84" s="2908"/>
      <c r="AC84" s="2908"/>
    </row>
    <row r="85" spans="1:29" s="420" customFormat="1" ht="14.5" thickTop="1">
      <c r="A85" s="500"/>
      <c r="B85" s="493">
        <f>B14</f>
        <v>111</v>
      </c>
      <c r="C85" s="470"/>
      <c r="D85" s="470"/>
      <c r="E85" s="470"/>
      <c r="F85" s="470"/>
      <c r="G85" s="470"/>
      <c r="H85" s="511"/>
      <c r="I85" s="511"/>
      <c r="J85" s="511"/>
      <c r="K85" s="511"/>
      <c r="L85" s="512"/>
      <c r="M85" s="513"/>
      <c r="N85" s="2916"/>
      <c r="O85" s="2916"/>
      <c r="P85" s="2945"/>
      <c r="Q85" s="2907"/>
      <c r="R85" s="2908"/>
      <c r="S85" s="2908"/>
      <c r="T85" s="2908"/>
      <c r="U85" s="2908"/>
      <c r="V85" s="2908"/>
      <c r="W85" s="2908"/>
      <c r="X85" s="2908"/>
      <c r="Y85" s="2908"/>
      <c r="Z85" s="2908"/>
      <c r="AA85" s="2908"/>
      <c r="AB85" s="2908"/>
      <c r="AC85" s="2908"/>
    </row>
    <row r="86" spans="1:29" s="420" customFormat="1" ht="14.5" thickBot="1">
      <c r="A86" s="515"/>
      <c r="B86" s="516"/>
      <c r="C86" s="517"/>
      <c r="D86" s="517"/>
      <c r="E86" s="517"/>
      <c r="F86" s="517"/>
      <c r="G86" s="517"/>
      <c r="H86" s="518"/>
      <c r="I86" s="518"/>
      <c r="J86" s="518"/>
      <c r="K86" s="518"/>
      <c r="L86" s="518"/>
      <c r="M86" s="519"/>
      <c r="N86" s="2916"/>
      <c r="O86" s="2916"/>
      <c r="P86" s="2940"/>
      <c r="Q86" s="2907"/>
      <c r="R86" s="2908"/>
      <c r="S86" s="2908"/>
      <c r="T86" s="2908"/>
      <c r="U86" s="2908"/>
      <c r="V86" s="2908"/>
      <c r="W86" s="2908"/>
      <c r="X86" s="2908"/>
      <c r="Y86" s="2908"/>
      <c r="Z86" s="2908"/>
      <c r="AA86" s="2908"/>
      <c r="AB86" s="2908"/>
      <c r="AC86" s="2908"/>
    </row>
    <row r="87" spans="1:29">
      <c r="A87" s="474" t="s">
        <v>2139</v>
      </c>
      <c r="B87" s="475" t="s">
        <v>2176</v>
      </c>
      <c r="C87" s="520" t="s">
        <v>2177</v>
      </c>
      <c r="D87" s="520" t="s">
        <v>2178</v>
      </c>
      <c r="E87" s="520" t="s">
        <v>2179</v>
      </c>
      <c r="F87" s="520" t="s">
        <v>2180</v>
      </c>
      <c r="G87" s="520" t="s">
        <v>2181</v>
      </c>
      <c r="H87" s="476"/>
      <c r="I87" s="476"/>
      <c r="J87" s="476"/>
      <c r="K87" s="521"/>
      <c r="L87" s="522"/>
      <c r="M87" s="523"/>
      <c r="N87" s="2914"/>
      <c r="O87" s="2914"/>
      <c r="P87" s="2941"/>
      <c r="Q87" s="2900"/>
      <c r="R87" s="2886"/>
      <c r="S87" s="2886"/>
      <c r="T87" s="2886"/>
      <c r="U87" s="2886"/>
      <c r="V87" s="2886"/>
      <c r="W87" s="2886"/>
      <c r="X87" s="2886"/>
      <c r="Y87" s="2886"/>
      <c r="Z87" s="2886"/>
      <c r="AA87" s="2886"/>
      <c r="AB87" s="2886"/>
      <c r="AC87" s="288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15"/>
      <c r="O88" s="2915"/>
      <c r="P88" s="2939"/>
      <c r="Q88" s="2900"/>
      <c r="R88" s="2886"/>
      <c r="S88" s="2886"/>
      <c r="T88" s="2886"/>
      <c r="U88" s="2886"/>
      <c r="V88" s="2886"/>
      <c r="W88" s="2886"/>
      <c r="X88" s="2886"/>
      <c r="Y88" s="2886"/>
      <c r="Z88" s="2886"/>
      <c r="AA88" s="2886"/>
      <c r="AB88" s="2886"/>
      <c r="AC88" s="2886"/>
    </row>
    <row r="89" spans="1:29" ht="14.5" thickTop="1">
      <c r="A89" s="481"/>
      <c r="B89" s="485" t="s">
        <v>2363</v>
      </c>
      <c r="C89" s="525" t="s">
        <v>2177</v>
      </c>
      <c r="D89" s="525" t="s">
        <v>2178</v>
      </c>
      <c r="E89" s="525" t="s">
        <v>2179</v>
      </c>
      <c r="F89" s="525" t="s">
        <v>2180</v>
      </c>
      <c r="G89" s="525" t="s">
        <v>2181</v>
      </c>
      <c r="H89" s="486"/>
      <c r="I89" s="486"/>
      <c r="J89" s="486"/>
      <c r="K89" s="487"/>
      <c r="L89" s="488"/>
      <c r="M89" s="489"/>
      <c r="N89" s="2914"/>
      <c r="O89" s="2914"/>
      <c r="P89" s="2939"/>
      <c r="Q89" s="2900"/>
      <c r="R89" s="2886"/>
      <c r="S89" s="2886"/>
      <c r="T89" s="2886"/>
      <c r="U89" s="2886"/>
      <c r="V89" s="2886"/>
      <c r="W89" s="2886"/>
      <c r="X89" s="2886"/>
      <c r="Y89" s="2886"/>
      <c r="Z89" s="2886"/>
      <c r="AA89" s="2886"/>
      <c r="AB89" s="2886"/>
      <c r="AC89" s="2886"/>
    </row>
    <row r="90" spans="1:29" ht="14.5" thickBot="1">
      <c r="A90" s="481"/>
      <c r="B90" s="490"/>
      <c r="C90" s="491">
        <v>100</v>
      </c>
      <c r="D90" s="491">
        <f>C90-$K17</f>
        <v>97</v>
      </c>
      <c r="E90" s="491">
        <f>D90-$K17</f>
        <v>94</v>
      </c>
      <c r="F90" s="491">
        <f>E90-$K17</f>
        <v>91</v>
      </c>
      <c r="G90" s="491">
        <f>F90-$K17</f>
        <v>88</v>
      </c>
      <c r="H90" s="491"/>
      <c r="I90" s="491"/>
      <c r="J90" s="491"/>
      <c r="K90" s="491"/>
      <c r="L90" s="491"/>
      <c r="M90" s="492"/>
      <c r="N90" s="2915"/>
      <c r="O90" s="2915"/>
      <c r="P90" s="2939"/>
      <c r="Q90" s="2900"/>
      <c r="R90" s="2886"/>
      <c r="S90" s="2886"/>
      <c r="T90" s="2886"/>
      <c r="U90" s="2886"/>
      <c r="V90" s="2886"/>
      <c r="W90" s="2886"/>
      <c r="X90" s="2886"/>
      <c r="Y90" s="2886"/>
      <c r="Z90" s="2886"/>
      <c r="AA90" s="2886"/>
      <c r="AB90" s="2886"/>
      <c r="AC90" s="2886"/>
    </row>
    <row r="91" spans="1:29" ht="14.5" thickTop="1">
      <c r="A91" s="481"/>
      <c r="B91" s="485" t="s">
        <v>2277</v>
      </c>
      <c r="C91" s="525" t="s">
        <v>2177</v>
      </c>
      <c r="D91" s="525" t="s">
        <v>2178</v>
      </c>
      <c r="E91" s="525" t="s">
        <v>2179</v>
      </c>
      <c r="F91" s="525" t="s">
        <v>2180</v>
      </c>
      <c r="G91" s="525" t="s">
        <v>2181</v>
      </c>
      <c r="H91" s="486"/>
      <c r="I91" s="486"/>
      <c r="J91" s="486"/>
      <c r="K91" s="487"/>
      <c r="L91" s="488"/>
      <c r="M91" s="489"/>
      <c r="N91" s="2914"/>
      <c r="O91" s="2914"/>
      <c r="P91" s="2939"/>
      <c r="Q91" s="2900"/>
      <c r="R91" s="2886"/>
      <c r="S91" s="2886"/>
      <c r="T91" s="2886"/>
      <c r="U91" s="2886"/>
      <c r="V91" s="2886"/>
      <c r="W91" s="2886"/>
      <c r="X91" s="2886"/>
      <c r="Y91" s="2886"/>
      <c r="Z91" s="2886"/>
      <c r="AA91" s="2886"/>
      <c r="AB91" s="2886"/>
      <c r="AC91" s="2886"/>
    </row>
    <row r="92" spans="1:29" ht="14.5" thickBot="1">
      <c r="A92" s="481"/>
      <c r="B92" s="490"/>
      <c r="C92" s="491">
        <v>100</v>
      </c>
      <c r="D92" s="491">
        <f>C92-$K19</f>
        <v>100</v>
      </c>
      <c r="E92" s="491">
        <f>D92-$K19</f>
        <v>100</v>
      </c>
      <c r="F92" s="491">
        <f>E92-$K19</f>
        <v>100</v>
      </c>
      <c r="G92" s="491">
        <f>F92-$K19</f>
        <v>100</v>
      </c>
      <c r="H92" s="491"/>
      <c r="I92" s="491"/>
      <c r="J92" s="491"/>
      <c r="K92" s="491"/>
      <c r="L92" s="491"/>
      <c r="M92" s="492"/>
      <c r="N92" s="2915"/>
      <c r="O92" s="2915"/>
      <c r="P92" s="2939"/>
      <c r="Q92" s="2900"/>
      <c r="R92" s="2886"/>
      <c r="S92" s="2886"/>
      <c r="T92" s="2886"/>
      <c r="U92" s="2886"/>
      <c r="V92" s="2886"/>
      <c r="W92" s="2886"/>
      <c r="X92" s="2886"/>
      <c r="Y92" s="2886"/>
      <c r="Z92" s="2886"/>
      <c r="AA92" s="2886"/>
      <c r="AB92" s="2886"/>
      <c r="AC92" s="2886"/>
    </row>
    <row r="93" spans="1:29" ht="14.5" thickTop="1">
      <c r="A93" s="481"/>
      <c r="B93" s="485" t="s">
        <v>2182</v>
      </c>
      <c r="C93" s="525" t="s">
        <v>2177</v>
      </c>
      <c r="D93" s="525" t="s">
        <v>2178</v>
      </c>
      <c r="E93" s="525" t="s">
        <v>2179</v>
      </c>
      <c r="F93" s="525" t="s">
        <v>2180</v>
      </c>
      <c r="G93" s="525" t="s">
        <v>2181</v>
      </c>
      <c r="H93" s="486"/>
      <c r="I93" s="486"/>
      <c r="J93" s="486"/>
      <c r="K93" s="487"/>
      <c r="L93" s="488"/>
      <c r="M93" s="489"/>
      <c r="N93" s="2914"/>
      <c r="O93" s="2914"/>
      <c r="P93" s="2939"/>
      <c r="Q93" s="2900"/>
      <c r="R93" s="2886"/>
      <c r="S93" s="2886"/>
      <c r="T93" s="2886"/>
      <c r="U93" s="2886"/>
      <c r="V93" s="2886"/>
      <c r="W93" s="2886"/>
      <c r="X93" s="2886"/>
      <c r="Y93" s="2886"/>
      <c r="Z93" s="2886"/>
      <c r="AA93" s="2886"/>
      <c r="AB93" s="2886"/>
      <c r="AC93" s="2886"/>
    </row>
    <row r="94" spans="1:29" ht="14.5" thickBot="1">
      <c r="A94" s="481"/>
      <c r="B94" s="490"/>
      <c r="C94" s="491">
        <v>100</v>
      </c>
      <c r="D94" s="491">
        <f>C94-$K21</f>
        <v>97</v>
      </c>
      <c r="E94" s="491">
        <f>D94-$K21</f>
        <v>94</v>
      </c>
      <c r="F94" s="491">
        <f>E94-$K21</f>
        <v>91</v>
      </c>
      <c r="G94" s="491">
        <f>F94-$K21</f>
        <v>88</v>
      </c>
      <c r="H94" s="491"/>
      <c r="I94" s="491"/>
      <c r="J94" s="491"/>
      <c r="K94" s="491"/>
      <c r="L94" s="491"/>
      <c r="M94" s="492"/>
      <c r="N94" s="2915"/>
      <c r="O94" s="2915"/>
      <c r="P94" s="2939"/>
      <c r="Q94" s="2900"/>
      <c r="R94" s="2886"/>
      <c r="S94" s="2886"/>
      <c r="T94" s="2886"/>
      <c r="U94" s="2886"/>
      <c r="V94" s="2886"/>
      <c r="W94" s="2886"/>
      <c r="X94" s="2886"/>
      <c r="Y94" s="2886"/>
      <c r="Z94" s="2886"/>
      <c r="AA94" s="2886"/>
      <c r="AB94" s="2886"/>
      <c r="AC94" s="2886"/>
    </row>
    <row r="95" spans="1:29" s="110" customFormat="1" ht="28.5" thickTop="1">
      <c r="A95" s="526"/>
      <c r="B95" s="485" t="s">
        <v>2364</v>
      </c>
      <c r="C95" s="525" t="s">
        <v>2177</v>
      </c>
      <c r="D95" s="525" t="s">
        <v>2178</v>
      </c>
      <c r="E95" s="525" t="s">
        <v>2179</v>
      </c>
      <c r="F95" s="525" t="s">
        <v>2180</v>
      </c>
      <c r="G95" s="525" t="s">
        <v>2181</v>
      </c>
      <c r="H95" s="525"/>
      <c r="I95" s="525"/>
      <c r="J95" s="525"/>
      <c r="K95" s="525"/>
      <c r="L95" s="644"/>
      <c r="M95" s="568"/>
      <c r="N95" s="2913"/>
      <c r="O95" s="2913"/>
      <c r="P95" s="2939"/>
      <c r="Q95" s="2900"/>
      <c r="R95" s="2821"/>
      <c r="S95" s="2821"/>
      <c r="T95" s="2821"/>
      <c r="U95" s="2821"/>
      <c r="V95" s="2821"/>
      <c r="W95" s="2821"/>
      <c r="X95" s="2821"/>
      <c r="Y95" s="2821"/>
      <c r="Z95" s="2821"/>
      <c r="AA95" s="2821"/>
      <c r="AB95" s="2821"/>
      <c r="AC95" s="282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15"/>
      <c r="O96" s="2915"/>
      <c r="P96" s="2939"/>
      <c r="Q96" s="2900"/>
      <c r="R96" s="2821"/>
      <c r="S96" s="2821"/>
      <c r="T96" s="2821"/>
      <c r="U96" s="2821"/>
      <c r="V96" s="2821"/>
      <c r="W96" s="2821"/>
      <c r="X96" s="2821"/>
      <c r="Y96" s="2821"/>
      <c r="Z96" s="2821"/>
      <c r="AA96" s="2821"/>
      <c r="AB96" s="2821"/>
      <c r="AC96" s="2821"/>
    </row>
    <row r="97" spans="1:29" s="110" customFormat="1" ht="28.5" thickTop="1">
      <c r="A97" s="526"/>
      <c r="B97" s="485" t="s">
        <v>2365</v>
      </c>
      <c r="C97" s="520" t="s">
        <v>2177</v>
      </c>
      <c r="D97" s="520" t="s">
        <v>2178</v>
      </c>
      <c r="E97" s="520" t="s">
        <v>2179</v>
      </c>
      <c r="F97" s="520" t="s">
        <v>2180</v>
      </c>
      <c r="G97" s="520" t="s">
        <v>2181</v>
      </c>
      <c r="H97" s="525"/>
      <c r="I97" s="525"/>
      <c r="J97" s="525"/>
      <c r="K97" s="525"/>
      <c r="L97" s="525"/>
      <c r="M97" s="568"/>
      <c r="N97" s="2913"/>
      <c r="O97" s="2913"/>
      <c r="P97" s="2939"/>
      <c r="Q97" s="2900"/>
      <c r="R97" s="2821"/>
      <c r="S97" s="2821"/>
      <c r="T97" s="2821"/>
      <c r="U97" s="2821"/>
      <c r="V97" s="2821"/>
      <c r="W97" s="2821"/>
      <c r="X97" s="2821"/>
      <c r="Y97" s="2821"/>
      <c r="Z97" s="2821"/>
      <c r="AA97" s="2821"/>
      <c r="AB97" s="2821"/>
      <c r="AC97" s="282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15"/>
      <c r="O98" s="2915"/>
      <c r="P98" s="2939"/>
      <c r="Q98" s="2900"/>
      <c r="R98" s="2821"/>
      <c r="S98" s="2821"/>
      <c r="T98" s="2821"/>
      <c r="U98" s="2821"/>
      <c r="V98" s="2821"/>
      <c r="W98" s="2821"/>
      <c r="X98" s="2821"/>
      <c r="Y98" s="2821"/>
      <c r="Z98" s="2821"/>
      <c r="AA98" s="2821"/>
      <c r="AB98" s="2821"/>
      <c r="AC98" s="2821"/>
    </row>
    <row r="99" spans="1:29" s="420" customFormat="1" ht="14.5" thickTop="1">
      <c r="A99" s="500"/>
      <c r="B99" s="485" t="s">
        <v>2234</v>
      </c>
      <c r="C99" s="520" t="s">
        <v>2177</v>
      </c>
      <c r="D99" s="520" t="s">
        <v>2178</v>
      </c>
      <c r="E99" s="520" t="s">
        <v>2179</v>
      </c>
      <c r="F99" s="520" t="s">
        <v>2180</v>
      </c>
      <c r="G99" s="520" t="s">
        <v>2181</v>
      </c>
      <c r="H99" s="547"/>
      <c r="I99" s="547"/>
      <c r="J99" s="547"/>
      <c r="K99" s="547"/>
      <c r="L99" s="548"/>
      <c r="M99" s="549"/>
      <c r="N99" s="2916"/>
      <c r="O99" s="2916"/>
      <c r="P99" s="2940"/>
      <c r="Q99" s="2907"/>
      <c r="R99" s="2908"/>
      <c r="S99" s="2908"/>
      <c r="T99" s="2908"/>
      <c r="U99" s="2908"/>
      <c r="V99" s="2908"/>
      <c r="W99" s="2908"/>
      <c r="X99" s="2908"/>
      <c r="Y99" s="2908"/>
      <c r="Z99" s="2908"/>
      <c r="AA99" s="2908"/>
      <c r="AB99" s="2908"/>
      <c r="AC99" s="290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16"/>
      <c r="O100" s="2916"/>
      <c r="P100" s="2940"/>
      <c r="Q100" s="2907"/>
      <c r="R100" s="2908"/>
      <c r="S100" s="2908"/>
      <c r="T100" s="2908"/>
      <c r="U100" s="2908"/>
      <c r="V100" s="2908"/>
      <c r="W100" s="2908"/>
      <c r="X100" s="2908"/>
      <c r="Y100" s="2908"/>
      <c r="Z100" s="2908"/>
      <c r="AA100" s="2908"/>
      <c r="AB100" s="2908"/>
      <c r="AC100" s="2908"/>
    </row>
    <row r="101" spans="1:29" s="420" customFormat="1" ht="14.5" thickTop="1">
      <c r="A101" s="500"/>
      <c r="B101" s="493" t="s">
        <v>2235</v>
      </c>
      <c r="C101" s="606" t="s">
        <v>2255</v>
      </c>
      <c r="D101" s="606" t="s">
        <v>2256</v>
      </c>
      <c r="E101" s="606" t="s">
        <v>2257</v>
      </c>
      <c r="F101" s="606" t="s">
        <v>2258</v>
      </c>
      <c r="G101" s="606" t="s">
        <v>2259</v>
      </c>
      <c r="H101" s="547"/>
      <c r="I101" s="547"/>
      <c r="J101" s="547"/>
      <c r="K101" s="547"/>
      <c r="L101" s="547"/>
      <c r="M101" s="1235"/>
      <c r="N101" s="2916"/>
      <c r="O101" s="2916"/>
      <c r="P101" s="2940"/>
      <c r="Q101" s="2907"/>
      <c r="R101" s="2908"/>
      <c r="S101" s="2908"/>
      <c r="T101" s="2908"/>
      <c r="U101" s="2908"/>
      <c r="V101" s="2908"/>
      <c r="W101" s="2908"/>
      <c r="X101" s="2908"/>
      <c r="Y101" s="2908"/>
      <c r="Z101" s="2908"/>
      <c r="AA101" s="2908"/>
      <c r="AB101" s="2908"/>
      <c r="AC101" s="290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35"/>
      <c r="N102" s="2916"/>
      <c r="O102" s="2916"/>
      <c r="P102" s="2940"/>
      <c r="Q102" s="2907"/>
      <c r="R102" s="2908"/>
      <c r="S102" s="2908"/>
      <c r="T102" s="2908"/>
      <c r="U102" s="2908"/>
      <c r="V102" s="2908"/>
      <c r="W102" s="2908"/>
      <c r="X102" s="2908"/>
      <c r="Y102" s="2908"/>
      <c r="Z102" s="2908"/>
      <c r="AA102" s="2908"/>
      <c r="AB102" s="2908"/>
      <c r="AC102" s="2908"/>
    </row>
    <row r="103" spans="1:29" ht="14.5" thickTop="1">
      <c r="A103" s="481"/>
      <c r="B103" s="485" t="str">
        <f>B31</f>
        <v>临街状况</v>
      </c>
      <c r="C103" s="486" t="s">
        <v>2366</v>
      </c>
      <c r="D103" s="486" t="s">
        <v>2367</v>
      </c>
      <c r="E103" s="486" t="s">
        <v>2368</v>
      </c>
      <c r="F103" s="486" t="s">
        <v>2369</v>
      </c>
      <c r="G103" s="486"/>
      <c r="H103" s="486"/>
      <c r="I103" s="486"/>
      <c r="J103" s="486"/>
      <c r="K103" s="487"/>
      <c r="L103" s="488"/>
      <c r="M103" s="489"/>
      <c r="N103" s="2914"/>
      <c r="O103" s="2914"/>
      <c r="P103" s="2939"/>
      <c r="Q103" s="2900"/>
      <c r="R103" s="2886"/>
      <c r="S103" s="2886"/>
      <c r="T103" s="2886"/>
      <c r="U103" s="2886"/>
      <c r="V103" s="2886"/>
      <c r="W103" s="2886"/>
      <c r="X103" s="2886"/>
      <c r="Y103" s="2886"/>
      <c r="Z103" s="2886"/>
      <c r="AA103" s="2886"/>
      <c r="AB103" s="2886"/>
      <c r="AC103" s="288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15"/>
      <c r="O104" s="2915"/>
      <c r="P104" s="2939"/>
      <c r="Q104" s="2900"/>
      <c r="R104" s="2886"/>
      <c r="S104" s="2886"/>
      <c r="T104" s="2886"/>
      <c r="U104" s="2886"/>
      <c r="V104" s="2886"/>
      <c r="W104" s="2886"/>
      <c r="X104" s="2886"/>
      <c r="Y104" s="2886"/>
      <c r="Z104" s="2886"/>
      <c r="AA104" s="2886"/>
      <c r="AB104" s="2886"/>
      <c r="AC104" s="2886"/>
    </row>
    <row r="105" spans="1:29" ht="28.5" thickTop="1">
      <c r="A105" s="481"/>
      <c r="B105" s="485" t="s">
        <v>2271</v>
      </c>
      <c r="C105" s="3248" t="s">
        <v>3319</v>
      </c>
      <c r="D105" s="3248" t="s">
        <v>3320</v>
      </c>
      <c r="E105" s="3248" t="s">
        <v>3321</v>
      </c>
      <c r="F105" s="3248" t="s">
        <v>3322</v>
      </c>
      <c r="G105" s="3248" t="s">
        <v>3323</v>
      </c>
      <c r="H105" s="530"/>
      <c r="I105" s="530"/>
      <c r="J105" s="530"/>
      <c r="K105" s="531"/>
      <c r="L105" s="532"/>
      <c r="M105" s="533"/>
      <c r="N105" s="2914"/>
      <c r="O105" s="2914"/>
      <c r="P105" s="2939"/>
      <c r="Q105" s="2900"/>
      <c r="R105" s="2886"/>
      <c r="S105" s="2886"/>
      <c r="T105" s="2886"/>
      <c r="U105" s="2886"/>
      <c r="V105" s="2886"/>
      <c r="W105" s="2886"/>
      <c r="X105" s="2886"/>
      <c r="Y105" s="2886"/>
      <c r="Z105" s="2886"/>
      <c r="AA105" s="2886"/>
      <c r="AB105" s="2886"/>
      <c r="AC105" s="288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15"/>
      <c r="O106" s="2915"/>
      <c r="P106" s="2939"/>
      <c r="Q106" s="2900"/>
      <c r="R106" s="2886"/>
      <c r="S106" s="2886"/>
      <c r="T106" s="2886"/>
      <c r="U106" s="2886"/>
      <c r="V106" s="2886"/>
      <c r="W106" s="2886"/>
      <c r="X106" s="2886"/>
      <c r="Y106" s="2886"/>
      <c r="Z106" s="2886"/>
      <c r="AA106" s="2886"/>
      <c r="AB106" s="2886"/>
      <c r="AC106" s="2886"/>
    </row>
    <row r="107" spans="1:29" ht="14.5" thickTop="1">
      <c r="A107" s="481"/>
      <c r="B107" s="485" t="s">
        <v>2330</v>
      </c>
      <c r="C107" s="3249" t="s">
        <v>3327</v>
      </c>
      <c r="D107" s="3249" t="s">
        <v>3324</v>
      </c>
      <c r="E107" s="3249" t="s">
        <v>3325</v>
      </c>
      <c r="F107" s="3249" t="s">
        <v>3326</v>
      </c>
      <c r="G107" s="530"/>
      <c r="H107" s="530"/>
      <c r="I107" s="530"/>
      <c r="J107" s="530"/>
      <c r="K107" s="531"/>
      <c r="L107" s="532"/>
      <c r="M107" s="533"/>
      <c r="N107" s="2914"/>
      <c r="O107" s="2914"/>
      <c r="P107" s="2939"/>
      <c r="Q107" s="2900"/>
      <c r="R107" s="2886"/>
      <c r="S107" s="2886"/>
      <c r="T107" s="2886"/>
      <c r="U107" s="2886"/>
      <c r="V107" s="2886"/>
      <c r="W107" s="2886"/>
      <c r="X107" s="2886"/>
      <c r="Y107" s="2886"/>
      <c r="Z107" s="2886"/>
      <c r="AA107" s="2886"/>
      <c r="AB107" s="2886"/>
      <c r="AC107" s="288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15"/>
      <c r="O108" s="2915"/>
      <c r="P108" s="2939"/>
      <c r="Q108" s="2900"/>
      <c r="R108" s="2886"/>
      <c r="S108" s="2886"/>
      <c r="T108" s="2886"/>
      <c r="U108" s="2886"/>
      <c r="V108" s="2886"/>
      <c r="W108" s="2886"/>
      <c r="X108" s="2886"/>
      <c r="Y108" s="2886"/>
      <c r="Z108" s="2886"/>
      <c r="AA108" s="2886"/>
      <c r="AB108" s="2886"/>
      <c r="AC108" s="2886"/>
    </row>
    <row r="109" spans="1:29" ht="14.5" thickTop="1">
      <c r="A109" s="481"/>
      <c r="B109" s="493">
        <f>B35</f>
        <v>111</v>
      </c>
      <c r="C109" s="501"/>
      <c r="D109" s="501"/>
      <c r="E109" s="501"/>
      <c r="F109" s="501"/>
      <c r="G109" s="534"/>
      <c r="H109" s="534"/>
      <c r="I109" s="534"/>
      <c r="J109" s="534"/>
      <c r="K109" s="535"/>
      <c r="L109" s="536"/>
      <c r="M109" s="537"/>
      <c r="N109" s="2914"/>
      <c r="O109" s="2914"/>
      <c r="P109" s="2939"/>
      <c r="Q109" s="2900"/>
      <c r="R109" s="2886"/>
      <c r="S109" s="2886"/>
      <c r="T109" s="2886"/>
      <c r="U109" s="2886"/>
      <c r="V109" s="2886"/>
      <c r="W109" s="2886"/>
      <c r="X109" s="2886"/>
      <c r="Y109" s="2886"/>
      <c r="Z109" s="2886"/>
      <c r="AA109" s="2886"/>
      <c r="AB109" s="2886"/>
      <c r="AC109" s="2886"/>
    </row>
    <row r="110" spans="1:29" ht="14.5" thickBot="1">
      <c r="A110" s="481"/>
      <c r="B110" s="516"/>
      <c r="C110" s="507"/>
      <c r="D110" s="507"/>
      <c r="E110" s="507"/>
      <c r="F110" s="507"/>
      <c r="G110" s="538"/>
      <c r="H110" s="538"/>
      <c r="I110" s="538"/>
      <c r="J110" s="538"/>
      <c r="K110" s="538"/>
      <c r="L110" s="538"/>
      <c r="M110" s="539"/>
      <c r="N110" s="2915"/>
      <c r="O110" s="2915"/>
      <c r="P110" s="2939"/>
      <c r="Q110" s="2900"/>
      <c r="R110" s="2886"/>
      <c r="S110" s="2886"/>
      <c r="T110" s="2886"/>
      <c r="U110" s="2886"/>
      <c r="V110" s="2886"/>
      <c r="W110" s="2886"/>
      <c r="X110" s="2886"/>
      <c r="Y110" s="2886"/>
      <c r="Z110" s="2886"/>
      <c r="AA110" s="2886"/>
      <c r="AB110" s="2886"/>
      <c r="AC110" s="2886"/>
    </row>
    <row r="111" spans="1:29" ht="14.5" thickTop="1">
      <c r="A111" s="621"/>
      <c r="B111" s="485">
        <f>B36</f>
        <v>111</v>
      </c>
      <c r="C111" s="470"/>
      <c r="D111" s="470"/>
      <c r="E111" s="470"/>
      <c r="F111" s="470"/>
      <c r="G111" s="530"/>
      <c r="H111" s="530"/>
      <c r="I111" s="530"/>
      <c r="J111" s="530"/>
      <c r="K111" s="531"/>
      <c r="L111" s="532"/>
      <c r="M111" s="533"/>
      <c r="N111" s="2914"/>
      <c r="O111" s="2914"/>
      <c r="P111" s="2939"/>
      <c r="Q111" s="2900"/>
      <c r="R111" s="2886"/>
      <c r="S111" s="2886"/>
      <c r="T111" s="2886"/>
      <c r="U111" s="2886"/>
      <c r="V111" s="2886"/>
      <c r="W111" s="2886"/>
      <c r="X111" s="2886"/>
      <c r="Y111" s="2886"/>
      <c r="Z111" s="2886"/>
      <c r="AA111" s="2886"/>
      <c r="AB111" s="2886"/>
      <c r="AC111" s="2886"/>
    </row>
    <row r="112" spans="1:29" ht="14.5" thickBot="1">
      <c r="A112" s="481"/>
      <c r="B112" s="490"/>
      <c r="C112" s="517"/>
      <c r="D112" s="517"/>
      <c r="E112" s="517"/>
      <c r="F112" s="517"/>
      <c r="G112" s="483"/>
      <c r="H112" s="483"/>
      <c r="I112" s="483"/>
      <c r="J112" s="483"/>
      <c r="K112" s="483"/>
      <c r="L112" s="483"/>
      <c r="M112" s="484"/>
      <c r="N112" s="2915"/>
      <c r="O112" s="2915"/>
      <c r="P112" s="2939"/>
      <c r="Q112" s="2900"/>
      <c r="R112" s="2886"/>
      <c r="S112" s="2886"/>
      <c r="T112" s="2886"/>
      <c r="U112" s="2886"/>
      <c r="V112" s="2886"/>
      <c r="W112" s="2886"/>
      <c r="X112" s="2886"/>
      <c r="Y112" s="2886"/>
      <c r="Z112" s="2886"/>
      <c r="AA112" s="2886"/>
      <c r="AB112" s="2886"/>
      <c r="AC112" s="2886"/>
    </row>
    <row r="113" spans="1:29" s="420" customFormat="1" ht="14.5" thickTop="1">
      <c r="A113" s="540"/>
      <c r="B113" s="541">
        <f>B37</f>
        <v>111</v>
      </c>
      <c r="C113" s="542"/>
      <c r="D113" s="542"/>
      <c r="E113" s="542"/>
      <c r="F113" s="542"/>
      <c r="G113" s="542"/>
      <c r="H113" s="542"/>
      <c r="I113" s="542"/>
      <c r="J113" s="543"/>
      <c r="K113" s="543"/>
      <c r="L113" s="544"/>
      <c r="M113" s="545"/>
      <c r="N113" s="2916"/>
      <c r="O113" s="2916"/>
      <c r="P113" s="2940"/>
      <c r="Q113" s="2907"/>
      <c r="R113" s="2908"/>
      <c r="S113" s="2908"/>
      <c r="T113" s="2908"/>
      <c r="U113" s="2908"/>
      <c r="V113" s="2908"/>
      <c r="W113" s="2908"/>
      <c r="X113" s="2908"/>
      <c r="Y113" s="2908"/>
      <c r="Z113" s="2908"/>
      <c r="AA113" s="2908"/>
      <c r="AB113" s="2908"/>
      <c r="AC113" s="2908"/>
    </row>
    <row r="114" spans="1:29" s="420" customFormat="1" ht="14.5" thickBot="1">
      <c r="A114" s="500"/>
      <c r="B114" s="493"/>
      <c r="C114" s="459"/>
      <c r="D114" s="623"/>
      <c r="E114" s="623"/>
      <c r="F114" s="623"/>
      <c r="G114" s="623"/>
      <c r="H114" s="623"/>
      <c r="I114" s="623"/>
      <c r="J114" s="623"/>
      <c r="K114" s="623"/>
      <c r="L114" s="623"/>
      <c r="M114" s="645"/>
      <c r="N114" s="2915"/>
      <c r="O114" s="2915"/>
      <c r="P114" s="2940"/>
      <c r="Q114" s="2907"/>
      <c r="R114" s="2908"/>
      <c r="S114" s="2908"/>
      <c r="T114" s="2908"/>
      <c r="U114" s="2908"/>
      <c r="V114" s="2908"/>
      <c r="W114" s="2908"/>
      <c r="X114" s="2908"/>
      <c r="Y114" s="2908"/>
      <c r="Z114" s="2908"/>
      <c r="AA114" s="2908"/>
      <c r="AB114" s="2908"/>
      <c r="AC114" s="2908"/>
    </row>
    <row r="115" spans="1:29" ht="28">
      <c r="A115" s="474" t="s">
        <v>2143</v>
      </c>
      <c r="B115" s="475" t="s">
        <v>2370</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14"/>
      <c r="O115" s="2914"/>
      <c r="P115" s="2939"/>
      <c r="Q115" s="2900"/>
      <c r="R115" s="2886"/>
      <c r="S115" s="2886"/>
      <c r="T115" s="2886"/>
      <c r="U115" s="2886"/>
      <c r="V115" s="2886"/>
      <c r="W115" s="2886"/>
      <c r="X115" s="2886"/>
      <c r="Y115" s="2886"/>
      <c r="Z115" s="2886"/>
      <c r="AA115" s="2886"/>
      <c r="AB115" s="2886"/>
      <c r="AC115" s="2886"/>
    </row>
    <row r="116" spans="1:29">
      <c r="A116" s="481"/>
      <c r="B116" s="493"/>
      <c r="C116" s="9">
        <v>0</v>
      </c>
      <c r="D116" s="9">
        <v>30000</v>
      </c>
      <c r="E116" s="9">
        <v>60000</v>
      </c>
      <c r="F116" s="9">
        <v>90000</v>
      </c>
      <c r="G116" s="542"/>
      <c r="H116" s="542"/>
      <c r="I116" s="542"/>
      <c r="J116" s="543"/>
      <c r="K116" s="543"/>
      <c r="L116" s="544"/>
      <c r="M116" s="545"/>
      <c r="N116" s="2914"/>
      <c r="O116" s="2914"/>
      <c r="P116" s="2939"/>
      <c r="Q116" s="2900"/>
      <c r="R116" s="2886"/>
      <c r="S116" s="2886"/>
      <c r="T116" s="2886"/>
      <c r="U116" s="2886"/>
      <c r="V116" s="2886"/>
      <c r="W116" s="2886"/>
      <c r="X116" s="2886"/>
      <c r="Y116" s="2886"/>
      <c r="Z116" s="2886"/>
      <c r="AA116" s="2886"/>
      <c r="AB116" s="2886"/>
      <c r="AC116" s="2886"/>
    </row>
    <row r="117" spans="1:29" ht="14.5" thickBot="1">
      <c r="A117" s="481"/>
      <c r="B117" s="490"/>
      <c r="C117" s="3250">
        <v>99</v>
      </c>
      <c r="D117" s="3251">
        <v>100</v>
      </c>
      <c r="E117" s="3251">
        <v>99</v>
      </c>
      <c r="F117" s="3251">
        <v>98</v>
      </c>
      <c r="G117" s="538"/>
      <c r="H117" s="538"/>
      <c r="I117" s="538"/>
      <c r="J117" s="538"/>
      <c r="K117" s="538"/>
      <c r="L117" s="538"/>
      <c r="M117" s="539"/>
      <c r="N117" s="2915"/>
      <c r="O117" s="2915"/>
      <c r="P117" s="2939"/>
      <c r="Q117" s="2900"/>
      <c r="R117" s="2886"/>
      <c r="S117" s="2886"/>
      <c r="T117" s="2886"/>
      <c r="U117" s="2886"/>
      <c r="V117" s="2886"/>
      <c r="W117" s="2886"/>
      <c r="X117" s="2886"/>
      <c r="Y117" s="2886"/>
      <c r="Z117" s="2886"/>
      <c r="AA117" s="2886"/>
      <c r="AB117" s="2886"/>
      <c r="AC117" s="2886"/>
    </row>
    <row r="118" spans="1:29" ht="14.5" thickTop="1">
      <c r="A118" s="546"/>
      <c r="B118" s="485" t="s">
        <v>2371</v>
      </c>
      <c r="C118" s="3252" t="s">
        <v>3328</v>
      </c>
      <c r="D118" s="3252" t="s">
        <v>3329</v>
      </c>
      <c r="E118" s="3252" t="s">
        <v>3330</v>
      </c>
      <c r="F118" s="3252" t="s">
        <v>3331</v>
      </c>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15"/>
      <c r="O119" s="2915"/>
      <c r="P119" s="2939"/>
      <c r="Q119" s="2900"/>
      <c r="R119" s="2886"/>
      <c r="S119" s="2886"/>
      <c r="T119" s="2886"/>
      <c r="U119" s="2886"/>
      <c r="V119" s="2886"/>
      <c r="W119" s="2886"/>
      <c r="X119" s="2886"/>
      <c r="Y119" s="2886"/>
      <c r="Z119" s="2886"/>
      <c r="AA119" s="2886"/>
      <c r="AB119" s="2886"/>
      <c r="AC119" s="2886"/>
    </row>
    <row r="120" spans="1:29" ht="14.5" thickTop="1">
      <c r="A120" s="546"/>
      <c r="B120" s="485" t="s">
        <v>2372</v>
      </c>
      <c r="C120" s="3253" t="s">
        <v>3337</v>
      </c>
      <c r="D120" s="3253" t="s">
        <v>3338</v>
      </c>
      <c r="E120" s="3254" t="s">
        <v>3339</v>
      </c>
      <c r="F120" s="3254" t="s">
        <v>3340</v>
      </c>
      <c r="G120" s="3254" t="s">
        <v>3341</v>
      </c>
      <c r="H120" s="530"/>
      <c r="I120" s="530"/>
      <c r="J120" s="530"/>
      <c r="K120" s="531"/>
      <c r="L120" s="532"/>
      <c r="M120" s="533"/>
      <c r="N120" s="2914"/>
      <c r="O120" s="2914"/>
      <c r="P120" s="2939"/>
      <c r="Q120" s="2900"/>
      <c r="R120" s="2886"/>
      <c r="S120" s="2886"/>
      <c r="T120" s="2886"/>
      <c r="U120" s="2886"/>
      <c r="V120" s="2886"/>
      <c r="W120" s="2886"/>
      <c r="X120" s="2886"/>
      <c r="Y120" s="2886"/>
      <c r="Z120" s="2886"/>
      <c r="AA120" s="2886"/>
      <c r="AB120" s="2886"/>
      <c r="AC120" s="288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15"/>
      <c r="O121" s="2915"/>
      <c r="P121" s="2939"/>
      <c r="Q121" s="2900"/>
      <c r="R121" s="2886"/>
      <c r="S121" s="2886"/>
      <c r="T121" s="2886"/>
      <c r="U121" s="2886"/>
      <c r="V121" s="2886"/>
      <c r="W121" s="2886"/>
      <c r="X121" s="2886"/>
      <c r="Y121" s="2886"/>
      <c r="Z121" s="2886"/>
      <c r="AA121" s="2886"/>
      <c r="AB121" s="2886"/>
      <c r="AC121" s="2886"/>
    </row>
    <row r="122" spans="1:29" s="420" customFormat="1" ht="14.5" thickTop="1">
      <c r="A122" s="540"/>
      <c r="B122" s="485" t="s">
        <v>2373</v>
      </c>
      <c r="C122" s="3253" t="s">
        <v>3332</v>
      </c>
      <c r="D122" s="3253" t="s">
        <v>3333</v>
      </c>
      <c r="E122" s="3253" t="s">
        <v>3334</v>
      </c>
      <c r="F122" s="3253" t="s">
        <v>3335</v>
      </c>
      <c r="G122" s="3253" t="s">
        <v>3336</v>
      </c>
      <c r="H122" s="530"/>
      <c r="I122" s="530"/>
      <c r="J122" s="530"/>
      <c r="K122" s="531"/>
      <c r="L122" s="532"/>
      <c r="M122" s="533"/>
      <c r="N122" s="2916"/>
      <c r="O122" s="2916"/>
      <c r="P122" s="2940"/>
      <c r="Q122" s="2907"/>
      <c r="R122" s="2908"/>
      <c r="S122" s="2908"/>
      <c r="T122" s="2908"/>
      <c r="U122" s="2908"/>
      <c r="V122" s="2908"/>
      <c r="W122" s="2908"/>
      <c r="X122" s="2908"/>
      <c r="Y122" s="2908"/>
      <c r="Z122" s="2908"/>
      <c r="AA122" s="2908"/>
      <c r="AB122" s="2908"/>
      <c r="AC122" s="290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16"/>
      <c r="O123" s="2916"/>
      <c r="P123" s="2940"/>
      <c r="Q123" s="2907"/>
      <c r="R123" s="2908"/>
      <c r="S123" s="2908"/>
      <c r="T123" s="2908"/>
      <c r="U123" s="2908"/>
      <c r="V123" s="2908"/>
      <c r="W123" s="2908"/>
      <c r="X123" s="2908"/>
      <c r="Y123" s="2908"/>
      <c r="Z123" s="2908"/>
      <c r="AA123" s="2908"/>
      <c r="AB123" s="2908"/>
      <c r="AC123" s="2908"/>
    </row>
    <row r="124" spans="1:29" ht="14.5" thickTop="1">
      <c r="A124" s="546"/>
      <c r="B124" s="485" t="s">
        <v>2374</v>
      </c>
      <c r="C124" s="3253" t="s">
        <v>3337</v>
      </c>
      <c r="D124" s="3253" t="s">
        <v>3338</v>
      </c>
      <c r="E124" s="3254" t="s">
        <v>3339</v>
      </c>
      <c r="F124" s="3254" t="s">
        <v>3340</v>
      </c>
      <c r="G124" s="3254" t="s">
        <v>3341</v>
      </c>
      <c r="H124" s="530"/>
      <c r="I124" s="530"/>
      <c r="J124" s="530"/>
      <c r="K124" s="531"/>
      <c r="L124" s="532"/>
      <c r="M124" s="533"/>
      <c r="N124" s="2914"/>
      <c r="O124" s="2914"/>
      <c r="P124" s="2939"/>
      <c r="Q124" s="2900"/>
      <c r="R124" s="2886"/>
      <c r="S124" s="2886"/>
      <c r="T124" s="2886"/>
      <c r="U124" s="2886"/>
      <c r="V124" s="2886"/>
      <c r="W124" s="2886"/>
      <c r="X124" s="2886"/>
      <c r="Y124" s="2886"/>
      <c r="Z124" s="2886"/>
      <c r="AA124" s="2886"/>
      <c r="AB124" s="2886"/>
      <c r="AC124" s="288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15"/>
      <c r="O125" s="2915"/>
      <c r="P125" s="2939"/>
      <c r="Q125" s="2900"/>
      <c r="R125" s="2886"/>
      <c r="S125" s="2886"/>
      <c r="T125" s="2886"/>
      <c r="U125" s="2886"/>
      <c r="V125" s="2886"/>
      <c r="W125" s="2886"/>
      <c r="X125" s="2886"/>
      <c r="Y125" s="2886"/>
      <c r="Z125" s="2886"/>
      <c r="AA125" s="2886"/>
      <c r="AB125" s="2886"/>
      <c r="AC125" s="2886"/>
    </row>
    <row r="126" spans="1:29" ht="14.5" thickTop="1">
      <c r="A126" s="546"/>
      <c r="B126" s="485">
        <f>B43</f>
        <v>111</v>
      </c>
      <c r="C126" s="501"/>
      <c r="D126" s="501"/>
      <c r="E126" s="501"/>
      <c r="F126" s="501"/>
      <c r="G126" s="501"/>
      <c r="H126" s="530"/>
      <c r="I126" s="530"/>
      <c r="J126" s="530"/>
      <c r="K126" s="531"/>
      <c r="L126" s="532"/>
      <c r="M126" s="533"/>
      <c r="N126" s="2914"/>
      <c r="O126" s="2914"/>
      <c r="P126" s="2939"/>
      <c r="Q126" s="2900"/>
      <c r="R126" s="2886"/>
      <c r="S126" s="2886"/>
      <c r="T126" s="2886"/>
      <c r="U126" s="2886"/>
      <c r="V126" s="2886"/>
      <c r="W126" s="2886"/>
      <c r="X126" s="2886"/>
      <c r="Y126" s="2886"/>
      <c r="Z126" s="2886"/>
      <c r="AA126" s="2886"/>
      <c r="AB126" s="2886"/>
      <c r="AC126" s="2886"/>
    </row>
    <row r="127" spans="1:29" ht="14.5" thickBot="1">
      <c r="A127" s="481"/>
      <c r="B127" s="490"/>
      <c r="C127" s="507"/>
      <c r="D127" s="507"/>
      <c r="E127" s="507"/>
      <c r="F127" s="507"/>
      <c r="G127" s="483"/>
      <c r="H127" s="483"/>
      <c r="I127" s="483"/>
      <c r="J127" s="483"/>
      <c r="K127" s="483"/>
      <c r="L127" s="483"/>
      <c r="M127" s="484"/>
      <c r="N127" s="2915"/>
      <c r="O127" s="2915"/>
      <c r="P127" s="2939"/>
      <c r="Q127" s="2900"/>
      <c r="R127" s="2886"/>
      <c r="S127" s="2886"/>
      <c r="T127" s="2886"/>
      <c r="U127" s="2886"/>
      <c r="V127" s="2886"/>
      <c r="W127" s="2886"/>
      <c r="X127" s="2886"/>
      <c r="Y127" s="2886"/>
      <c r="Z127" s="2886"/>
      <c r="AA127" s="2886"/>
      <c r="AB127" s="2886"/>
      <c r="AC127" s="2886"/>
    </row>
    <row r="128" spans="1:29" ht="14.5" thickTop="1">
      <c r="A128" s="546"/>
      <c r="B128" s="485">
        <f>B44</f>
        <v>111</v>
      </c>
      <c r="C128" s="470"/>
      <c r="D128" s="470"/>
      <c r="E128" s="470"/>
      <c r="F128" s="470"/>
      <c r="G128" s="530"/>
      <c r="H128" s="530"/>
      <c r="I128" s="530"/>
      <c r="J128" s="530"/>
      <c r="K128" s="531"/>
      <c r="L128" s="532"/>
      <c r="M128" s="533"/>
      <c r="N128" s="2914"/>
      <c r="O128" s="2914"/>
      <c r="P128" s="2939"/>
      <c r="Q128" s="2900"/>
      <c r="R128" s="2886"/>
      <c r="S128" s="2886"/>
      <c r="T128" s="2886"/>
      <c r="U128" s="2886"/>
      <c r="V128" s="2886"/>
      <c r="W128" s="2886"/>
      <c r="X128" s="2886"/>
      <c r="Y128" s="2886"/>
      <c r="Z128" s="2886"/>
      <c r="AA128" s="2886"/>
      <c r="AB128" s="2886"/>
      <c r="AC128" s="2886"/>
    </row>
    <row r="129" spans="1:29" ht="14.5" thickBot="1">
      <c r="A129" s="481"/>
      <c r="B129" s="490"/>
      <c r="C129" s="517"/>
      <c r="D129" s="517"/>
      <c r="E129" s="517"/>
      <c r="F129" s="517"/>
      <c r="G129" s="483"/>
      <c r="H129" s="483"/>
      <c r="I129" s="483"/>
      <c r="J129" s="483"/>
      <c r="K129" s="483"/>
      <c r="L129" s="483"/>
      <c r="M129" s="484"/>
      <c r="N129" s="2915"/>
      <c r="O129" s="2915"/>
      <c r="P129" s="2939"/>
      <c r="Q129" s="2900"/>
      <c r="R129" s="2886"/>
      <c r="S129" s="2886"/>
      <c r="T129" s="2886"/>
      <c r="U129" s="2886"/>
      <c r="V129" s="2886"/>
      <c r="W129" s="2886"/>
      <c r="X129" s="2886"/>
      <c r="Y129" s="2886"/>
      <c r="Z129" s="2886"/>
      <c r="AA129" s="2886"/>
      <c r="AB129" s="2886"/>
      <c r="AC129" s="2886"/>
    </row>
    <row r="130" spans="1:29" s="420" customFormat="1" ht="14.5" thickTop="1">
      <c r="A130" s="540"/>
      <c r="B130" s="485">
        <f>B45</f>
        <v>111</v>
      </c>
      <c r="C130" s="470"/>
      <c r="D130" s="470"/>
      <c r="E130" s="470"/>
      <c r="F130" s="470"/>
      <c r="G130" s="502"/>
      <c r="H130" s="502"/>
      <c r="I130" s="502"/>
      <c r="J130" s="502"/>
      <c r="K130" s="502"/>
      <c r="L130" s="503"/>
      <c r="M130" s="504"/>
      <c r="N130" s="2916"/>
      <c r="O130" s="2916"/>
      <c r="P130" s="2940"/>
      <c r="Q130" s="2907"/>
      <c r="R130" s="2908"/>
      <c r="S130" s="2908"/>
      <c r="T130" s="2908"/>
      <c r="U130" s="2908"/>
      <c r="V130" s="2908"/>
      <c r="W130" s="2908"/>
      <c r="X130" s="2908"/>
      <c r="Y130" s="2908"/>
      <c r="Z130" s="2908"/>
      <c r="AA130" s="2908"/>
      <c r="AB130" s="2908"/>
      <c r="AC130" s="2908"/>
    </row>
    <row r="131" spans="1:29" s="420" customFormat="1" ht="14.5" thickBot="1">
      <c r="A131" s="515"/>
      <c r="B131" s="646"/>
      <c r="C131" s="517"/>
      <c r="D131" s="517"/>
      <c r="E131" s="517"/>
      <c r="F131" s="517"/>
      <c r="G131" s="538"/>
      <c r="H131" s="538"/>
      <c r="I131" s="538"/>
      <c r="J131" s="538"/>
      <c r="K131" s="538"/>
      <c r="L131" s="538"/>
      <c r="M131" s="539"/>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1" xr:uid="{00000000-0002-0000-1200-000013000000}">
      <formula1>"商业,办公,住宅,工业"</formula1>
    </dataValidation>
    <dataValidation type="list" allowBlank="1" showInputMessage="1" showErrorMessage="1" sqref="G62" xr:uid="{00000000-0002-0000-1200-000014000000}">
      <formula1>"住宅,工业"</formula1>
    </dataValidation>
    <dataValidation type="list" allowBlank="1" showInputMessage="1" showErrorMessage="1" sqref="C30 E30 G30 I30" xr:uid="{00000000-0002-0000-1200-000015000000}">
      <formula1>基础设施水平</formula1>
    </dataValidation>
    <dataValidation type="list" allowBlank="1" showInputMessage="1" showErrorMessage="1" sqref="A70" xr:uid="{00000000-0002-0000-1200-000016000000}">
      <formula1>"综合,商业,办公,住宅"</formula1>
    </dataValidation>
    <dataValidation type="list" allowBlank="1" showInputMessage="1" showErrorMessage="1" sqref="D47" xr:uid="{00000000-0002-0000-1200-000017000000}">
      <formula1>"简单平均,加权平均"</formula1>
    </dataValidation>
    <dataValidation type="list" allowBlank="1" showInputMessage="1" showErrorMessage="1" sqref="D57:D64" xr:uid="{00000000-0002-0000-12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21" customWidth="1"/>
    <col min="2" max="9" width="10" style="921" customWidth="1"/>
    <col min="10" max="16384" width="9" style="921"/>
  </cols>
  <sheetData>
    <row r="36" spans="1:9">
      <c r="A36" s="920" t="s">
        <v>637</v>
      </c>
      <c r="B36" s="920" t="s">
        <v>638</v>
      </c>
    </row>
    <row r="37" spans="1:9" ht="27.75" customHeight="1">
      <c r="A37" s="920"/>
      <c r="B37" s="3294" t="str">
        <f>项目基本情况!B1</f>
        <v>北京市海淀区板井路69号世纪金源大饭店房地产抵押价值预评估</v>
      </c>
      <c r="C37" s="3294"/>
      <c r="D37" s="3294"/>
      <c r="E37" s="3294"/>
      <c r="F37" s="3294"/>
      <c r="G37" s="3294"/>
      <c r="H37" s="3294"/>
      <c r="I37" s="3294"/>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3.5">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ColWidth="8.7265625" defaultRowHeight="14"/>
  <cols>
    <col min="1" max="1" width="20" style="3244" customWidth="1"/>
    <col min="2" max="5" width="0" style="3244" hidden="1" customWidth="1"/>
    <col min="6" max="10" width="8.7265625" style="3244"/>
    <col min="11" max="11" width="7" style="3244" customWidth="1"/>
    <col min="12" max="12" width="9.26953125" style="3244" bestFit="1" customWidth="1"/>
    <col min="13" max="13" width="8.7265625" style="3244"/>
    <col min="14" max="15" width="0" style="3244" hidden="1" customWidth="1"/>
    <col min="16" max="19" width="8.7265625" style="3244"/>
    <col min="20" max="27" width="0" style="3244" hidden="1" customWidth="1"/>
    <col min="28" max="28" width="11.36328125" style="3244" bestFit="1" customWidth="1"/>
    <col min="29" max="30" width="0" style="3244" hidden="1" customWidth="1"/>
    <col min="31" max="31" width="8.7265625" style="3244"/>
    <col min="32" max="35" width="0" style="3244" hidden="1" customWidth="1"/>
    <col min="36" max="16384" width="8.7265625" style="3244"/>
  </cols>
  <sheetData>
    <row r="1" spans="1:49" s="3240" customFormat="1">
      <c r="A1" s="3240" t="s">
        <v>3189</v>
      </c>
      <c r="B1" s="3240" t="s">
        <v>3190</v>
      </c>
      <c r="C1" s="3240" t="s">
        <v>3191</v>
      </c>
      <c r="D1" s="3240" t="s">
        <v>3192</v>
      </c>
      <c r="E1" s="3240" t="s">
        <v>3193</v>
      </c>
      <c r="F1" s="3240" t="s">
        <v>3194</v>
      </c>
      <c r="G1" s="3240" t="s">
        <v>3195</v>
      </c>
      <c r="H1" s="3240" t="s">
        <v>3196</v>
      </c>
      <c r="I1" s="3240" t="s">
        <v>3197</v>
      </c>
      <c r="J1" s="3240" t="s">
        <v>3198</v>
      </c>
      <c r="K1" s="3240" t="s">
        <v>3199</v>
      </c>
      <c r="L1" s="3240" t="s">
        <v>3200</v>
      </c>
      <c r="M1" s="3240" t="s">
        <v>3201</v>
      </c>
      <c r="N1" s="3240" t="s">
        <v>3202</v>
      </c>
      <c r="O1" s="3240" t="s">
        <v>3203</v>
      </c>
      <c r="P1" s="3240" t="s">
        <v>3204</v>
      </c>
      <c r="Q1" s="3240" t="s">
        <v>3205</v>
      </c>
      <c r="R1" s="3240" t="s">
        <v>3206</v>
      </c>
      <c r="S1" s="3240" t="s">
        <v>3207</v>
      </c>
      <c r="T1" s="3240" t="s">
        <v>3208</v>
      </c>
      <c r="U1" s="3240" t="s">
        <v>3209</v>
      </c>
      <c r="V1" s="3240" t="s">
        <v>3210</v>
      </c>
      <c r="W1" s="3240" t="s">
        <v>3211</v>
      </c>
      <c r="X1" s="3240" t="s">
        <v>3212</v>
      </c>
      <c r="Y1" s="3240" t="s">
        <v>3213</v>
      </c>
      <c r="Z1" s="3240" t="s">
        <v>3214</v>
      </c>
      <c r="AA1" s="3240" t="s">
        <v>3215</v>
      </c>
      <c r="AB1" s="3240" t="s">
        <v>3216</v>
      </c>
      <c r="AC1" s="3240" t="s">
        <v>3217</v>
      </c>
      <c r="AD1" s="3240" t="s">
        <v>3218</v>
      </c>
      <c r="AE1" s="3240" t="s">
        <v>3219</v>
      </c>
      <c r="AF1" s="3240" t="s">
        <v>3220</v>
      </c>
      <c r="AG1" s="3240" t="s">
        <v>3221</v>
      </c>
      <c r="AH1" s="3240" t="s">
        <v>3222</v>
      </c>
      <c r="AI1" s="3240" t="s">
        <v>3223</v>
      </c>
      <c r="AJ1" s="3240" t="s">
        <v>3224</v>
      </c>
      <c r="AK1" s="3240" t="s">
        <v>3225</v>
      </c>
      <c r="AL1" s="3240" t="s">
        <v>3226</v>
      </c>
      <c r="AM1" s="3240" t="s">
        <v>3227</v>
      </c>
      <c r="AN1" s="3240" t="s">
        <v>3228</v>
      </c>
      <c r="AO1" s="3240" t="s">
        <v>3229</v>
      </c>
      <c r="AP1" s="3240" t="s">
        <v>3230</v>
      </c>
      <c r="AQ1" s="3240" t="s">
        <v>3231</v>
      </c>
      <c r="AR1" s="3240" t="s">
        <v>3232</v>
      </c>
      <c r="AS1" s="3240" t="s">
        <v>3233</v>
      </c>
      <c r="AT1" s="3240" t="s">
        <v>3234</v>
      </c>
      <c r="AU1" s="3240" t="s">
        <v>3235</v>
      </c>
      <c r="AV1" s="3240" t="s">
        <v>3236</v>
      </c>
      <c r="AW1" s="3240" t="s">
        <v>3237</v>
      </c>
    </row>
    <row r="2" spans="1:49" s="3240" customFormat="1">
      <c r="A2" s="3240" t="s">
        <v>3238</v>
      </c>
      <c r="B2" s="3240" t="s">
        <v>3176</v>
      </c>
      <c r="C2" s="3240" t="s">
        <v>3239</v>
      </c>
      <c r="D2" s="3240" t="s">
        <v>3240</v>
      </c>
      <c r="E2" s="3240" t="s">
        <v>3241</v>
      </c>
      <c r="F2" s="3240" t="s">
        <v>3242</v>
      </c>
      <c r="G2" s="3240" t="s">
        <v>3243</v>
      </c>
      <c r="H2" s="3240" t="s">
        <v>3244</v>
      </c>
      <c r="I2" s="3240">
        <v>38252.550000000003</v>
      </c>
      <c r="J2" s="3240">
        <v>84155.61</v>
      </c>
      <c r="K2" s="3240">
        <v>2.2000000000000002</v>
      </c>
      <c r="L2" s="3240" t="s">
        <v>3245</v>
      </c>
      <c r="M2" s="3240" t="s">
        <v>3246</v>
      </c>
      <c r="N2" s="3240" t="s">
        <v>3247</v>
      </c>
      <c r="O2" s="3240" t="s">
        <v>3248</v>
      </c>
      <c r="P2" s="3240" t="s">
        <v>3249</v>
      </c>
      <c r="Q2" s="3240" t="s">
        <v>3250</v>
      </c>
      <c r="R2" s="3240" t="s">
        <v>3249</v>
      </c>
      <c r="S2" s="3240" t="s">
        <v>3249</v>
      </c>
      <c r="T2" s="3240" t="s">
        <v>3249</v>
      </c>
      <c r="U2" s="3240" t="s">
        <v>3249</v>
      </c>
      <c r="V2" s="3240" t="s">
        <v>3249</v>
      </c>
      <c r="W2" s="3240">
        <v>0</v>
      </c>
      <c r="X2" s="3240">
        <v>0</v>
      </c>
      <c r="Y2" s="3241">
        <v>44457.000497685185</v>
      </c>
      <c r="Z2" s="3241">
        <v>44481.000497685185</v>
      </c>
      <c r="AA2" s="3241">
        <v>44495.000497685185</v>
      </c>
      <c r="AB2" s="3241">
        <v>44495.000497685185</v>
      </c>
      <c r="AC2" s="3240" t="s">
        <v>3240</v>
      </c>
      <c r="AD2" s="3240" t="s">
        <v>3251</v>
      </c>
      <c r="AE2" s="3240" t="s">
        <v>3252</v>
      </c>
      <c r="AF2" s="3240" t="s">
        <v>3249</v>
      </c>
      <c r="AG2" s="3240" t="s">
        <v>3253</v>
      </c>
      <c r="AH2" s="3240">
        <v>35000</v>
      </c>
      <c r="AI2" s="3240" t="s">
        <v>3254</v>
      </c>
      <c r="AJ2" s="3240">
        <v>175000</v>
      </c>
      <c r="AK2" s="3240" t="s">
        <v>3255</v>
      </c>
      <c r="AL2" s="3240">
        <v>3049.91</v>
      </c>
      <c r="AM2" s="3240" t="s">
        <v>3256</v>
      </c>
      <c r="AN2" s="3240">
        <v>20795</v>
      </c>
      <c r="AO2" s="3240" t="s">
        <v>3249</v>
      </c>
      <c r="AP2" s="3240" t="s">
        <v>3249</v>
      </c>
      <c r="AQ2" s="3240">
        <v>0</v>
      </c>
      <c r="AR2" s="3240" t="s">
        <v>3257</v>
      </c>
      <c r="AS2" s="3240" t="s">
        <v>3248</v>
      </c>
      <c r="AT2" s="3240" t="s">
        <v>3248</v>
      </c>
      <c r="AU2" s="3240" t="s">
        <v>3249</v>
      </c>
      <c r="AV2" s="3240" t="s">
        <v>3249</v>
      </c>
      <c r="AW2" s="3240" t="s">
        <v>3249</v>
      </c>
    </row>
    <row r="3" spans="1:49" s="3240" customFormat="1">
      <c r="A3" s="3240" t="s">
        <v>3258</v>
      </c>
      <c r="B3" s="3240" t="s">
        <v>3176</v>
      </c>
      <c r="C3" s="3240" t="s">
        <v>3239</v>
      </c>
      <c r="D3" s="3240" t="s">
        <v>3259</v>
      </c>
      <c r="E3" s="3240" t="s">
        <v>3241</v>
      </c>
      <c r="F3" s="3240" t="s">
        <v>3242</v>
      </c>
      <c r="G3" s="3240" t="s">
        <v>3243</v>
      </c>
      <c r="H3" s="3240" t="s">
        <v>3244</v>
      </c>
      <c r="I3" s="3240">
        <v>30025.18</v>
      </c>
      <c r="J3" s="3240">
        <v>66055.39</v>
      </c>
      <c r="K3" s="3240">
        <v>2.2000000000000002</v>
      </c>
      <c r="L3" s="3240" t="s">
        <v>3245</v>
      </c>
      <c r="M3" s="3240" t="s">
        <v>3246</v>
      </c>
      <c r="N3" s="3240" t="s">
        <v>3247</v>
      </c>
      <c r="O3" s="3240" t="s">
        <v>3248</v>
      </c>
      <c r="P3" s="3240" t="s">
        <v>3249</v>
      </c>
      <c r="Q3" s="3240" t="s">
        <v>3250</v>
      </c>
      <c r="R3" s="3240" t="s">
        <v>3249</v>
      </c>
      <c r="S3" s="3240" t="s">
        <v>3249</v>
      </c>
      <c r="T3" s="3240" t="s">
        <v>3249</v>
      </c>
      <c r="U3" s="3240" t="s">
        <v>3249</v>
      </c>
      <c r="V3" s="3240" t="s">
        <v>3249</v>
      </c>
      <c r="W3" s="3240">
        <v>0</v>
      </c>
      <c r="X3" s="3240">
        <v>0</v>
      </c>
      <c r="Y3" s="3241">
        <v>44457.000497685185</v>
      </c>
      <c r="Z3" s="3241">
        <v>44481.000497685185</v>
      </c>
      <c r="AA3" s="3241">
        <v>44495.000497685185</v>
      </c>
      <c r="AB3" s="3241">
        <v>44495.000497685185</v>
      </c>
      <c r="AC3" s="3240" t="s">
        <v>3259</v>
      </c>
      <c r="AD3" s="3240" t="s">
        <v>3251</v>
      </c>
      <c r="AE3" s="3240" t="s">
        <v>3260</v>
      </c>
      <c r="AF3" s="3240" t="s">
        <v>3249</v>
      </c>
      <c r="AG3" s="3240" t="s">
        <v>3261</v>
      </c>
      <c r="AH3" s="3240">
        <v>137000</v>
      </c>
      <c r="AI3" s="3240" t="s">
        <v>3254</v>
      </c>
      <c r="AJ3" s="3240">
        <v>137000</v>
      </c>
      <c r="AK3" s="3240" t="s">
        <v>3262</v>
      </c>
      <c r="AL3" s="3240">
        <v>3041.89</v>
      </c>
      <c r="AM3" s="3240" t="s">
        <v>3263</v>
      </c>
      <c r="AN3" s="3240">
        <v>20740</v>
      </c>
      <c r="AO3" s="3240" t="s">
        <v>3249</v>
      </c>
      <c r="AP3" s="3240" t="s">
        <v>3249</v>
      </c>
      <c r="AQ3" s="3240">
        <v>0</v>
      </c>
      <c r="AR3" s="3240" t="s">
        <v>3257</v>
      </c>
      <c r="AS3" s="3240" t="s">
        <v>3248</v>
      </c>
      <c r="AT3" s="3240" t="s">
        <v>3248</v>
      </c>
      <c r="AU3" s="3240" t="s">
        <v>3249</v>
      </c>
      <c r="AV3" s="3240" t="s">
        <v>3249</v>
      </c>
      <c r="AW3" s="3240" t="s">
        <v>3249</v>
      </c>
    </row>
    <row r="4" spans="1:49" s="3240" customFormat="1">
      <c r="A4" s="3240" t="s">
        <v>3264</v>
      </c>
      <c r="B4" s="3240" t="s">
        <v>3176</v>
      </c>
      <c r="C4" s="3240" t="s">
        <v>3239</v>
      </c>
      <c r="D4" s="3240" t="s">
        <v>3265</v>
      </c>
      <c r="E4" s="3240" t="s">
        <v>3241</v>
      </c>
      <c r="F4" s="3240" t="s">
        <v>3242</v>
      </c>
      <c r="G4" s="3240" t="s">
        <v>3243</v>
      </c>
      <c r="H4" s="3240" t="s">
        <v>3244</v>
      </c>
      <c r="I4" s="3240">
        <v>25121.77</v>
      </c>
      <c r="J4" s="3240">
        <v>55267.89</v>
      </c>
      <c r="K4" s="3240">
        <v>2.2000000000000002</v>
      </c>
      <c r="L4" s="3240" t="s">
        <v>3245</v>
      </c>
      <c r="M4" s="3240" t="s">
        <v>3246</v>
      </c>
      <c r="N4" s="3240" t="s">
        <v>3247</v>
      </c>
      <c r="O4" s="3240" t="s">
        <v>3248</v>
      </c>
      <c r="P4" s="3240" t="s">
        <v>3249</v>
      </c>
      <c r="Q4" s="3240" t="s">
        <v>3250</v>
      </c>
      <c r="R4" s="3240" t="s">
        <v>3249</v>
      </c>
      <c r="S4" s="3240" t="s">
        <v>3249</v>
      </c>
      <c r="T4" s="3240" t="s">
        <v>3249</v>
      </c>
      <c r="U4" s="3240" t="s">
        <v>3249</v>
      </c>
      <c r="V4" s="3240" t="s">
        <v>3249</v>
      </c>
      <c r="W4" s="3240">
        <v>0</v>
      </c>
      <c r="X4" s="3240">
        <v>0</v>
      </c>
      <c r="Y4" s="3241">
        <v>44457.000497685185</v>
      </c>
      <c r="Z4" s="3241">
        <v>44481.000497685185</v>
      </c>
      <c r="AA4" s="3241">
        <v>44495.000497685185</v>
      </c>
      <c r="AB4" s="3241">
        <v>44495.000497685185</v>
      </c>
      <c r="AC4" s="3240" t="s">
        <v>3265</v>
      </c>
      <c r="AD4" s="3240" t="s">
        <v>3251</v>
      </c>
      <c r="AE4" s="3240" t="s">
        <v>3266</v>
      </c>
      <c r="AF4" s="3240" t="s">
        <v>3249</v>
      </c>
      <c r="AG4" s="3240" t="s">
        <v>3267</v>
      </c>
      <c r="AH4" s="3240">
        <v>23000</v>
      </c>
      <c r="AI4" s="3240" t="s">
        <v>3254</v>
      </c>
      <c r="AJ4" s="3240">
        <v>115000</v>
      </c>
      <c r="AK4" s="3240" t="s">
        <v>3268</v>
      </c>
      <c r="AL4" s="3240">
        <v>3051.8</v>
      </c>
      <c r="AM4" s="3240" t="s">
        <v>3269</v>
      </c>
      <c r="AN4" s="3240">
        <v>20808</v>
      </c>
      <c r="AO4" s="3240" t="s">
        <v>3249</v>
      </c>
      <c r="AP4" s="3240" t="s">
        <v>3249</v>
      </c>
      <c r="AQ4" s="3240">
        <v>0</v>
      </c>
      <c r="AR4" s="3240" t="s">
        <v>3257</v>
      </c>
      <c r="AS4" s="3240" t="s">
        <v>3248</v>
      </c>
      <c r="AT4" s="3240" t="s">
        <v>3248</v>
      </c>
      <c r="AU4" s="3240" t="s">
        <v>3249</v>
      </c>
      <c r="AV4" s="3240" t="s">
        <v>3249</v>
      </c>
      <c r="AW4" s="3240" t="s">
        <v>3249</v>
      </c>
    </row>
    <row r="5" spans="1:49" s="3242" customFormat="1">
      <c r="A5" s="3242" t="s">
        <v>3270</v>
      </c>
      <c r="B5" s="3242" t="s">
        <v>3176</v>
      </c>
      <c r="C5" s="3242" t="s">
        <v>3239</v>
      </c>
      <c r="D5" s="3242" t="s">
        <v>3271</v>
      </c>
      <c r="E5" s="3242" t="s">
        <v>3241</v>
      </c>
      <c r="F5" s="3242" t="s">
        <v>3272</v>
      </c>
      <c r="G5" s="3242" t="s">
        <v>3273</v>
      </c>
      <c r="H5" s="3242" t="s">
        <v>3244</v>
      </c>
      <c r="I5" s="3242">
        <v>51788.13</v>
      </c>
      <c r="J5" s="3242">
        <v>184800</v>
      </c>
      <c r="K5" s="3242" t="s">
        <v>3274</v>
      </c>
      <c r="L5" s="3242" t="s">
        <v>3245</v>
      </c>
      <c r="M5" s="3242" t="s">
        <v>3275</v>
      </c>
      <c r="N5" s="3242" t="s">
        <v>3247</v>
      </c>
      <c r="O5" s="3242" t="s">
        <v>3248</v>
      </c>
      <c r="P5" s="3242" t="s">
        <v>3249</v>
      </c>
      <c r="Q5" s="3242" t="s">
        <v>3276</v>
      </c>
      <c r="R5" s="3242" t="s">
        <v>3249</v>
      </c>
      <c r="S5" s="3242" t="s">
        <v>3249</v>
      </c>
      <c r="T5" s="3242" t="s">
        <v>3249</v>
      </c>
      <c r="U5" s="3242" t="s">
        <v>3277</v>
      </c>
      <c r="V5" s="3242" t="s">
        <v>3277</v>
      </c>
      <c r="W5" s="3242">
        <v>0</v>
      </c>
      <c r="X5" s="3242">
        <v>0</v>
      </c>
      <c r="Y5" s="3243">
        <v>44133.000497685185</v>
      </c>
      <c r="Z5" s="3243">
        <v>44153.000497685185</v>
      </c>
      <c r="AA5" s="3243">
        <v>44167.000497685185</v>
      </c>
      <c r="AB5" s="3243">
        <v>44167.000497685185</v>
      </c>
      <c r="AC5" s="3242" t="s">
        <v>3271</v>
      </c>
      <c r="AD5" s="3242" t="s">
        <v>3251</v>
      </c>
      <c r="AE5" s="3242" t="s">
        <v>3278</v>
      </c>
      <c r="AF5" s="3242" t="s">
        <v>3279</v>
      </c>
      <c r="AG5" s="3242" t="s">
        <v>3280</v>
      </c>
      <c r="AH5" s="3242">
        <v>115000</v>
      </c>
      <c r="AI5" s="3242" t="s">
        <v>3281</v>
      </c>
      <c r="AJ5" s="3242">
        <v>579500</v>
      </c>
      <c r="AK5" s="3242" t="s">
        <v>3282</v>
      </c>
      <c r="AL5" s="3242">
        <v>7459.88</v>
      </c>
      <c r="AM5" s="3242" t="s">
        <v>3283</v>
      </c>
      <c r="AN5" s="3242">
        <v>31358</v>
      </c>
      <c r="AO5" s="3242" t="s">
        <v>3249</v>
      </c>
      <c r="AP5" s="3242" t="s">
        <v>3249</v>
      </c>
      <c r="AQ5" s="3242">
        <v>1.58</v>
      </c>
      <c r="AR5" s="3242" t="s">
        <v>3284</v>
      </c>
      <c r="AS5" s="3242" t="s">
        <v>3248</v>
      </c>
      <c r="AT5" s="3242" t="s">
        <v>3248</v>
      </c>
      <c r="AU5" s="3242" t="s">
        <v>3249</v>
      </c>
      <c r="AV5" s="3242" t="s">
        <v>3249</v>
      </c>
      <c r="AW5" s="3242" t="s">
        <v>3249</v>
      </c>
    </row>
    <row r="6" spans="1:49" s="3242" customFormat="1">
      <c r="A6" s="3242" t="s">
        <v>3285</v>
      </c>
      <c r="B6" s="3242" t="s">
        <v>3176</v>
      </c>
      <c r="C6" s="3242" t="s">
        <v>3239</v>
      </c>
      <c r="D6" s="3242" t="s">
        <v>3286</v>
      </c>
      <c r="E6" s="3242" t="s">
        <v>3241</v>
      </c>
      <c r="F6" s="3242" t="s">
        <v>3287</v>
      </c>
      <c r="G6" s="3242" t="s">
        <v>3288</v>
      </c>
      <c r="H6" s="3242" t="s">
        <v>3244</v>
      </c>
      <c r="I6" s="3242">
        <v>70601.070000000007</v>
      </c>
      <c r="J6" s="3242">
        <v>285523</v>
      </c>
      <c r="K6" s="3242" t="s">
        <v>3289</v>
      </c>
      <c r="L6" s="3242" t="s">
        <v>3290</v>
      </c>
      <c r="M6" s="3242" t="s">
        <v>3291</v>
      </c>
      <c r="N6" s="3242" t="s">
        <v>3247</v>
      </c>
      <c r="O6" s="3242" t="s">
        <v>3248</v>
      </c>
      <c r="P6" s="3242" t="s">
        <v>3249</v>
      </c>
      <c r="Q6" s="3242" t="s">
        <v>3249</v>
      </c>
      <c r="R6" s="3242" t="s">
        <v>3249</v>
      </c>
      <c r="S6" s="3242" t="s">
        <v>3249</v>
      </c>
      <c r="T6" s="3242" t="s">
        <v>3249</v>
      </c>
      <c r="U6" s="3242" t="s">
        <v>3277</v>
      </c>
      <c r="V6" s="3242" t="s">
        <v>3277</v>
      </c>
      <c r="W6" s="3242">
        <v>0</v>
      </c>
      <c r="X6" s="3242">
        <v>0</v>
      </c>
      <c r="Y6" s="3243">
        <v>43770.000497685185</v>
      </c>
      <c r="Z6" s="3243">
        <v>43798.000497685185</v>
      </c>
      <c r="AA6" s="3243">
        <v>43801.000497685185</v>
      </c>
      <c r="AB6" s="3243">
        <v>43801.000497685185</v>
      </c>
      <c r="AC6" s="3242" t="s">
        <v>3286</v>
      </c>
      <c r="AD6" s="3242" t="s">
        <v>3251</v>
      </c>
      <c r="AE6" s="3242" t="s">
        <v>3292</v>
      </c>
      <c r="AF6" s="3242" t="s">
        <v>3293</v>
      </c>
      <c r="AG6" s="3242" t="s">
        <v>3249</v>
      </c>
      <c r="AH6" s="3242">
        <v>131000</v>
      </c>
      <c r="AI6" s="3242" t="s">
        <v>3249</v>
      </c>
      <c r="AJ6" s="3242">
        <v>660900</v>
      </c>
      <c r="AK6" s="3242" t="s">
        <v>3249</v>
      </c>
      <c r="AL6" s="3242">
        <v>6240.7</v>
      </c>
      <c r="AM6" s="3242" t="s">
        <v>3249</v>
      </c>
      <c r="AN6" s="3242">
        <v>23147</v>
      </c>
      <c r="AO6" s="3242" t="s">
        <v>3249</v>
      </c>
      <c r="AP6" s="3242" t="s">
        <v>3249</v>
      </c>
      <c r="AQ6" s="3242">
        <v>0</v>
      </c>
      <c r="AR6" s="3242" t="s">
        <v>3284</v>
      </c>
      <c r="AS6" s="3242" t="s">
        <v>3248</v>
      </c>
      <c r="AT6" s="3242" t="s">
        <v>3248</v>
      </c>
      <c r="AU6" s="3242" t="s">
        <v>3249</v>
      </c>
      <c r="AV6" s="3242" t="s">
        <v>3249</v>
      </c>
      <c r="AW6" s="3242" t="s">
        <v>3249</v>
      </c>
    </row>
    <row r="7" spans="1:49" s="3240" customFormat="1">
      <c r="A7" s="3240" t="s">
        <v>3294</v>
      </c>
      <c r="B7" s="3240" t="s">
        <v>3176</v>
      </c>
      <c r="C7" s="3240" t="s">
        <v>3239</v>
      </c>
      <c r="D7" s="3240" t="s">
        <v>3295</v>
      </c>
      <c r="E7" s="3240" t="s">
        <v>3241</v>
      </c>
      <c r="F7" s="3240" t="s">
        <v>3296</v>
      </c>
      <c r="G7" s="3240" t="s">
        <v>3297</v>
      </c>
      <c r="H7" s="3240" t="s">
        <v>3244</v>
      </c>
      <c r="I7" s="3240">
        <v>22035.93</v>
      </c>
      <c r="J7" s="3240">
        <v>61700.6</v>
      </c>
      <c r="K7" s="3240" t="s">
        <v>3298</v>
      </c>
      <c r="L7" s="3240" t="s">
        <v>3245</v>
      </c>
      <c r="M7" s="3240" t="s">
        <v>3275</v>
      </c>
      <c r="N7" s="3240" t="s">
        <v>3247</v>
      </c>
      <c r="O7" s="3240" t="s">
        <v>3248</v>
      </c>
      <c r="P7" s="3240" t="s">
        <v>3299</v>
      </c>
      <c r="Q7" s="3240" t="s">
        <v>3300</v>
      </c>
      <c r="R7" s="3240" t="s">
        <v>3249</v>
      </c>
      <c r="S7" s="3240" t="s">
        <v>3249</v>
      </c>
      <c r="T7" s="3240" t="s">
        <v>3249</v>
      </c>
      <c r="U7" s="3240" t="s">
        <v>3277</v>
      </c>
      <c r="V7" s="3240" t="s">
        <v>3277</v>
      </c>
      <c r="W7" s="3240">
        <v>0</v>
      </c>
      <c r="X7" s="3240">
        <v>0</v>
      </c>
      <c r="Y7" s="3241">
        <v>43616.000497685185</v>
      </c>
      <c r="Z7" s="3241">
        <v>43636.000497685185</v>
      </c>
      <c r="AA7" s="3241">
        <v>43650.000497685185</v>
      </c>
      <c r="AB7" s="3241">
        <v>43650.000497685185</v>
      </c>
      <c r="AC7" s="3240" t="s">
        <v>3295</v>
      </c>
      <c r="AD7" s="3240" t="s">
        <v>3251</v>
      </c>
      <c r="AE7" s="3240" t="s">
        <v>3301</v>
      </c>
      <c r="AF7" s="3240" t="s">
        <v>3302</v>
      </c>
      <c r="AG7" s="3240" t="s">
        <v>3303</v>
      </c>
      <c r="AH7" s="3240">
        <v>21000</v>
      </c>
      <c r="AI7" s="3240" t="s">
        <v>3249</v>
      </c>
      <c r="AJ7" s="3240">
        <v>103700</v>
      </c>
      <c r="AK7" s="3240" t="s">
        <v>3304</v>
      </c>
      <c r="AL7" s="3240">
        <v>3137.3</v>
      </c>
      <c r="AM7" s="3240" t="s">
        <v>3305</v>
      </c>
      <c r="AN7" s="3240">
        <v>16807</v>
      </c>
      <c r="AO7" s="3240" t="s">
        <v>3249</v>
      </c>
      <c r="AP7" s="3240" t="s">
        <v>3249</v>
      </c>
      <c r="AQ7" s="3240">
        <v>0</v>
      </c>
      <c r="AR7" s="3240" t="s">
        <v>3284</v>
      </c>
      <c r="AS7" s="3240" t="s">
        <v>3248</v>
      </c>
      <c r="AT7" s="3240" t="s">
        <v>3248</v>
      </c>
      <c r="AU7" s="3240" t="s">
        <v>3249</v>
      </c>
      <c r="AV7" s="3240" t="s">
        <v>3249</v>
      </c>
      <c r="AW7" s="3240" t="s">
        <v>3249</v>
      </c>
    </row>
    <row r="8" spans="1:49" s="3242" customFormat="1">
      <c r="A8" s="3242" t="s">
        <v>3306</v>
      </c>
      <c r="B8" s="3242" t="s">
        <v>3176</v>
      </c>
      <c r="C8" s="3242" t="s">
        <v>3239</v>
      </c>
      <c r="D8" s="3242" t="s">
        <v>3307</v>
      </c>
      <c r="E8" s="3242" t="s">
        <v>3241</v>
      </c>
      <c r="F8" s="3242" t="s">
        <v>3242</v>
      </c>
      <c r="G8" s="3242" t="s">
        <v>3308</v>
      </c>
      <c r="H8" s="3242" t="s">
        <v>3244</v>
      </c>
      <c r="I8" s="3242">
        <v>32158.94</v>
      </c>
      <c r="J8" s="3242">
        <v>96476.82</v>
      </c>
      <c r="K8" s="3242" t="s">
        <v>3309</v>
      </c>
      <c r="L8" s="3242" t="s">
        <v>3245</v>
      </c>
      <c r="M8" s="3242" t="s">
        <v>3310</v>
      </c>
      <c r="N8" s="3242" t="s">
        <v>3247</v>
      </c>
      <c r="O8" s="3242" t="s">
        <v>3248</v>
      </c>
      <c r="P8" s="3242" t="s">
        <v>3311</v>
      </c>
      <c r="Q8" s="3242" t="s">
        <v>3312</v>
      </c>
      <c r="R8" s="3242" t="s">
        <v>3249</v>
      </c>
      <c r="S8" s="3242" t="s">
        <v>3249</v>
      </c>
      <c r="T8" s="3242" t="s">
        <v>3249</v>
      </c>
      <c r="U8" s="3242" t="s">
        <v>3277</v>
      </c>
      <c r="V8" s="3242" t="s">
        <v>3277</v>
      </c>
      <c r="W8" s="3242">
        <v>0</v>
      </c>
      <c r="X8" s="3242">
        <v>0</v>
      </c>
      <c r="Y8" s="3243">
        <v>43579.000497685185</v>
      </c>
      <c r="Z8" s="3243">
        <v>43599.000497685185</v>
      </c>
      <c r="AA8" s="3243">
        <v>43613.000497685185</v>
      </c>
      <c r="AB8" s="3243">
        <v>43613.000497685185</v>
      </c>
      <c r="AC8" s="3242" t="s">
        <v>3307</v>
      </c>
      <c r="AD8" s="3242" t="s">
        <v>3251</v>
      </c>
      <c r="AE8" s="3242" t="s">
        <v>3313</v>
      </c>
      <c r="AF8" s="3242" t="s">
        <v>3314</v>
      </c>
      <c r="AG8" s="3242" t="s">
        <v>3315</v>
      </c>
      <c r="AH8" s="3242">
        <v>53000</v>
      </c>
      <c r="AI8" s="3242" t="s">
        <v>3249</v>
      </c>
      <c r="AJ8" s="3242">
        <v>263800</v>
      </c>
      <c r="AK8" s="3242" t="s">
        <v>3316</v>
      </c>
      <c r="AL8" s="3242">
        <v>5468.67</v>
      </c>
      <c r="AM8" s="3242" t="s">
        <v>3317</v>
      </c>
      <c r="AN8" s="3242">
        <v>27343</v>
      </c>
      <c r="AO8" s="3242" t="s">
        <v>3249</v>
      </c>
      <c r="AP8" s="3242" t="s">
        <v>3249</v>
      </c>
      <c r="AQ8" s="3242">
        <v>0</v>
      </c>
      <c r="AR8" s="3242" t="s">
        <v>3284</v>
      </c>
      <c r="AS8" s="3242" t="s">
        <v>3248</v>
      </c>
      <c r="AT8" s="3242" t="s">
        <v>3248</v>
      </c>
      <c r="AU8" s="3242" t="s">
        <v>3249</v>
      </c>
      <c r="AV8" s="3242" t="s">
        <v>3249</v>
      </c>
      <c r="AW8" s="3242" t="s">
        <v>3249</v>
      </c>
    </row>
    <row r="10" spans="1:49">
      <c r="J10" s="3244">
        <f>J5/I5</f>
        <v>3.5683852651177017</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1906</v>
      </c>
      <c r="B1" s="1592"/>
      <c r="C1" s="194"/>
      <c r="D1" s="194"/>
      <c r="E1" s="194"/>
      <c r="F1" s="194"/>
      <c r="G1" s="1229">
        <f>MATCH(B1,'数据-取费表'!A6:A16,0)+5</f>
        <v>7</v>
      </c>
    </row>
    <row r="2" spans="1:9" s="196" customFormat="1" ht="18" customHeight="1">
      <c r="A2" s="197" t="s">
        <v>1907</v>
      </c>
      <c r="B2" s="198">
        <f ca="1">IF(D2="——",C52,C52-E2)</f>
        <v>384371</v>
      </c>
      <c r="C2" s="195" t="s">
        <v>1908</v>
      </c>
      <c r="D2" s="1977" t="s">
        <v>70</v>
      </c>
      <c r="E2" s="1272" t="e">
        <f ca="1">SUMIF(INDIRECT("'"&amp;G2&amp;"'"&amp;"!A:A"),"承租人权益价值",INDIRECT("'"&amp;G2&amp;"'"&amp;"!c:c"))</f>
        <v>#REF!</v>
      </c>
      <c r="F2" s="1978" t="s">
        <v>1908</v>
      </c>
      <c r="G2" s="1979"/>
    </row>
    <row r="3" spans="1:9" s="196" customFormat="1" ht="18" customHeight="1" thickBot="1">
      <c r="A3" s="199" t="s">
        <v>1909</v>
      </c>
      <c r="B3" s="200">
        <f ca="1">ROUND(B2*10000/(IF(B1="",'数据-汇总表'!E3,INDIRECT("'数据-取费表'!k"&amp;$G$1))),0)</f>
        <v>39097</v>
      </c>
      <c r="C3" s="195" t="s">
        <v>1910</v>
      </c>
      <c r="D3" s="195"/>
      <c r="E3" s="195"/>
      <c r="F3" s="195"/>
      <c r="G3" s="195"/>
    </row>
    <row r="4" spans="1:9" s="204" customFormat="1" ht="16">
      <c r="A4" s="201" t="s">
        <v>1911</v>
      </c>
      <c r="B4" s="202"/>
      <c r="C4" s="202"/>
      <c r="D4" s="202"/>
      <c r="E4" s="202"/>
      <c r="F4" s="202"/>
      <c r="G4" s="203"/>
    </row>
    <row r="5" spans="1:9" s="210" customFormat="1" ht="13.5" customHeight="1">
      <c r="A5" s="251" t="s">
        <v>1912</v>
      </c>
      <c r="B5" s="206" t="s">
        <v>1913</v>
      </c>
      <c r="C5" s="207">
        <f>C6+C7+C8</f>
        <v>196672</v>
      </c>
      <c r="D5" s="207" t="s">
        <v>1914</v>
      </c>
      <c r="E5" s="208" t="s">
        <v>1915</v>
      </c>
      <c r="F5" s="208" t="s">
        <v>1916</v>
      </c>
      <c r="G5" s="209"/>
    </row>
    <row r="6" spans="1:9" s="210" customFormat="1" ht="13.5" customHeight="1">
      <c r="A6" s="855" t="s">
        <v>1917</v>
      </c>
      <c r="B6" s="211" t="s">
        <v>1918</v>
      </c>
      <c r="C6" s="212">
        <f>'土地比较法-住宅、综合'!F65</f>
        <v>188943</v>
      </c>
      <c r="D6" s="213"/>
      <c r="E6" s="214"/>
      <c r="F6" s="214"/>
      <c r="G6" s="215"/>
    </row>
    <row r="7" spans="1:9" s="210" customFormat="1" ht="13.5" customHeight="1">
      <c r="A7" s="855" t="s">
        <v>1919</v>
      </c>
      <c r="B7" s="211" t="s">
        <v>1920</v>
      </c>
      <c r="C7" s="216">
        <f>ROUND(C6*F7,0)</f>
        <v>5763</v>
      </c>
      <c r="D7" s="216"/>
      <c r="E7" s="214"/>
      <c r="F7" s="217">
        <f>IF(项目基本情况!B8="出让",0,'数据-取费表'!B48+'数据-取费表'!B49)</f>
        <v>3.0499999999999999E-2</v>
      </c>
      <c r="G7" s="215"/>
    </row>
    <row r="8" spans="1:9" s="219" customFormat="1" ht="13">
      <c r="A8" s="855" t="s">
        <v>1921</v>
      </c>
      <c r="B8" s="211" t="s">
        <v>1922</v>
      </c>
      <c r="C8" s="216">
        <f>IF(G8="已包含在土地购买价格中","0",IF(B1="",'数据-取费表'!B29,IF(G9="全部缴纳",C9+C10,H9)))</f>
        <v>1966</v>
      </c>
      <c r="D8" s="218"/>
      <c r="E8" s="216"/>
      <c r="F8" s="217"/>
      <c r="G8" s="1980" t="s">
        <v>3369</v>
      </c>
    </row>
    <row r="9" spans="1:9" s="210" customFormat="1" ht="13.5" customHeight="1">
      <c r="A9" s="856" t="s">
        <v>619</v>
      </c>
      <c r="B9" s="220" t="s">
        <v>1923</v>
      </c>
      <c r="C9" s="221">
        <f ca="1">ROUND(D9*E9/10000,0)</f>
        <v>0</v>
      </c>
      <c r="D9" s="923">
        <f ca="1">IF(B1="",'数据-汇总表'!E5,IF(INDIRECT("'数据-取费表'!c"&amp;$G$1)="住宅",INDIRECT("'数据-取费表'!k"&amp;$G$1),0))</f>
        <v>0</v>
      </c>
      <c r="E9" s="221">
        <f>'数据-取费表'!B27</f>
        <v>160</v>
      </c>
      <c r="F9" s="217"/>
      <c r="G9" s="1981"/>
      <c r="H9" s="1240"/>
      <c r="I9" s="1982" t="s">
        <v>1924</v>
      </c>
    </row>
    <row r="10" spans="1:9" s="210" customFormat="1" ht="13.5" customHeight="1">
      <c r="A10" s="856" t="s">
        <v>620</v>
      </c>
      <c r="B10" s="220" t="s">
        <v>1925</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1926</v>
      </c>
      <c r="C11" s="207"/>
      <c r="D11" s="925"/>
      <c r="E11" s="214"/>
      <c r="F11" s="214"/>
      <c r="G11" s="215"/>
    </row>
    <row r="12" spans="1:9" s="210" customFormat="1" ht="13.5" hidden="1" customHeight="1">
      <c r="A12" s="223" t="s">
        <v>8</v>
      </c>
      <c r="B12" s="211" t="s">
        <v>1927</v>
      </c>
      <c r="C12" s="207">
        <v>0</v>
      </c>
      <c r="D12" s="925"/>
      <c r="E12" s="224"/>
      <c r="F12" s="217">
        <v>3.0499999999999999E-2</v>
      </c>
      <c r="G12" s="215"/>
    </row>
    <row r="13" spans="1:9" s="210" customFormat="1" ht="13.5" hidden="1" customHeight="1">
      <c r="A13" s="223" t="s">
        <v>9</v>
      </c>
      <c r="B13" s="211" t="s">
        <v>1928</v>
      </c>
      <c r="C13" s="207"/>
      <c r="D13" s="925"/>
      <c r="E13" s="214"/>
      <c r="F13" s="214"/>
      <c r="G13" s="215"/>
    </row>
    <row r="14" spans="1:9" s="210" customFormat="1" ht="13.5" hidden="1" customHeight="1">
      <c r="A14" s="223" t="s">
        <v>10</v>
      </c>
      <c r="B14" s="211" t="s">
        <v>1929</v>
      </c>
      <c r="C14" s="207"/>
      <c r="D14" s="925"/>
      <c r="E14" s="214"/>
      <c r="F14" s="214"/>
      <c r="G14" s="215" t="s">
        <v>1930</v>
      </c>
    </row>
    <row r="15" spans="1:9" s="210" customFormat="1" ht="13.5" hidden="1" customHeight="1">
      <c r="A15" s="223" t="s">
        <v>11</v>
      </c>
      <c r="B15" s="211" t="s">
        <v>1931</v>
      </c>
      <c r="C15" s="216"/>
      <c r="D15" s="925"/>
      <c r="E15" s="214"/>
      <c r="F15" s="214"/>
      <c r="G15" s="215" t="s">
        <v>1932</v>
      </c>
    </row>
    <row r="16" spans="1:9" s="210" customFormat="1" ht="13.5" hidden="1" customHeight="1">
      <c r="A16" s="223" t="s">
        <v>12</v>
      </c>
      <c r="B16" s="211" t="s">
        <v>1929</v>
      </c>
      <c r="C16" s="216"/>
      <c r="D16" s="925"/>
      <c r="E16" s="214"/>
      <c r="F16" s="214"/>
      <c r="G16" s="215"/>
    </row>
    <row r="17" spans="1:7" s="210" customFormat="1" ht="13.5" hidden="1" customHeight="1">
      <c r="A17" s="223" t="s">
        <v>13</v>
      </c>
      <c r="B17" s="211" t="s">
        <v>1933</v>
      </c>
      <c r="C17" s="225"/>
      <c r="D17" s="926"/>
      <c r="E17" s="225"/>
      <c r="F17" s="225"/>
      <c r="G17" s="215" t="s">
        <v>1932</v>
      </c>
    </row>
    <row r="18" spans="1:7" s="210" customFormat="1" ht="13.5" hidden="1" customHeight="1">
      <c r="A18" s="223" t="s">
        <v>14</v>
      </c>
      <c r="B18" s="211" t="s">
        <v>1934</v>
      </c>
      <c r="C18" s="216">
        <v>0</v>
      </c>
      <c r="D18" s="925"/>
      <c r="E18" s="214"/>
      <c r="F18" s="217">
        <v>3.0499999999999999E-2</v>
      </c>
      <c r="G18" s="215" t="s">
        <v>1935</v>
      </c>
    </row>
    <row r="19" spans="1:7" s="219" customFormat="1" ht="13.5" customHeight="1">
      <c r="A19" s="251" t="s">
        <v>1936</v>
      </c>
      <c r="B19" s="206" t="s">
        <v>1937</v>
      </c>
      <c r="C19" s="207" t="str">
        <f>IF(G19="已包含在土地取得成本中","0",ROUND(D19*E19/10000,0))</f>
        <v>0</v>
      </c>
      <c r="D19" s="927">
        <f ca="1">D9+D10</f>
        <v>98312.17</v>
      </c>
      <c r="E19" s="207">
        <f>'数据-取费表'!B31</f>
        <v>200</v>
      </c>
      <c r="F19" s="227"/>
      <c r="G19" s="1980" t="s">
        <v>3370</v>
      </c>
    </row>
    <row r="20" spans="1:7" s="210" customFormat="1" ht="13.5" customHeight="1">
      <c r="A20" s="251" t="s">
        <v>1938</v>
      </c>
      <c r="B20" s="206" t="s">
        <v>1939</v>
      </c>
      <c r="C20" s="228">
        <f>ROUND((C5+C19)*F20,0)</f>
        <v>5900</v>
      </c>
      <c r="D20" s="228"/>
      <c r="E20" s="228"/>
      <c r="F20" s="229">
        <f>'数据-取费表'!B37</f>
        <v>0.03</v>
      </c>
      <c r="G20" s="230" t="s">
        <v>1940</v>
      </c>
    </row>
    <row r="21" spans="1:7" s="210" customFormat="1" ht="13.5" customHeight="1">
      <c r="A21" s="251" t="s">
        <v>1941</v>
      </c>
      <c r="B21" s="206" t="s">
        <v>1942</v>
      </c>
      <c r="C21" s="231">
        <f>F21</f>
        <v>0.02</v>
      </c>
      <c r="D21" s="232" t="s">
        <v>1943</v>
      </c>
      <c r="E21" s="228"/>
      <c r="F21" s="229">
        <f>'数据-取费表'!B38</f>
        <v>0.02</v>
      </c>
      <c r="G21" s="230" t="s">
        <v>1944</v>
      </c>
    </row>
    <row r="22" spans="1:7" s="210" customFormat="1" ht="13.5" customHeight="1">
      <c r="A22" s="251" t="s">
        <v>1945</v>
      </c>
      <c r="B22" s="206" t="s">
        <v>1946</v>
      </c>
      <c r="C22" s="1205">
        <f ca="1">ROUND(SUM(C23:C25),0)</f>
        <v>26212</v>
      </c>
      <c r="D22" s="231">
        <f ca="1">C26</f>
        <v>1.2999999999999999E-3</v>
      </c>
      <c r="E22" s="232" t="s">
        <v>1943</v>
      </c>
      <c r="F22" s="233">
        <f ca="1">'数据-取费表'!B40</f>
        <v>4.2000000000000003E-2</v>
      </c>
      <c r="G22" s="230" t="str">
        <f>IF('数据-取费表'!B22&lt;=1,"单利计息","复利计息")</f>
        <v>复利计息</v>
      </c>
    </row>
    <row r="23" spans="1:7" s="210" customFormat="1" ht="13.5" customHeight="1">
      <c r="A23" s="857" t="s">
        <v>1947</v>
      </c>
      <c r="B23" s="211" t="s">
        <v>1948</v>
      </c>
      <c r="C23" s="1206">
        <f ca="1">ROUND(IF('数据-取费表'!B22&lt;=1,C5*F22*'数据-取费表'!B23,C5*(POWER((1+F22),'数据-取费表'!B23)-1)),0)</f>
        <v>25836</v>
      </c>
      <c r="D23" s="234"/>
      <c r="E23" s="234"/>
      <c r="F23" s="235"/>
      <c r="G23" s="236" t="s">
        <v>1949</v>
      </c>
    </row>
    <row r="24" spans="1:7" s="210" customFormat="1" ht="13.5" customHeight="1">
      <c r="A24" s="857" t="s">
        <v>1950</v>
      </c>
      <c r="B24" s="211" t="s">
        <v>1951</v>
      </c>
      <c r="C24" s="1206">
        <f ca="1">ROUND(IF('数据-取费表'!B22&lt;=1,C19*F22*('数据-取费表'!B19/2+'数据-取费表'!B21),C19*(POWER((1+F22),('数据-取费表'!B19/2+'数据-取费表'!B21))-1)),0)</f>
        <v>0</v>
      </c>
      <c r="D24" s="234"/>
      <c r="E24" s="234"/>
      <c r="F24" s="235"/>
      <c r="G24" s="236" t="s">
        <v>1952</v>
      </c>
    </row>
    <row r="25" spans="1:7" s="210" customFormat="1" ht="26">
      <c r="A25" s="857" t="s">
        <v>1953</v>
      </c>
      <c r="B25" s="211" t="s">
        <v>1954</v>
      </c>
      <c r="C25" s="1206">
        <f ca="1">ROUND(IF('数据-取费表'!B22&lt;=1,C20*F22*'数据-取费表'!B23/2,C20*(POWER((1+F22),'数据-取费表'!B23/2)-1)),0)</f>
        <v>376</v>
      </c>
      <c r="D25" s="234"/>
      <c r="E25" s="237"/>
      <c r="F25" s="235"/>
      <c r="G25" s="238" t="s">
        <v>1955</v>
      </c>
    </row>
    <row r="26" spans="1:7" s="210" customFormat="1" ht="13">
      <c r="A26" s="857" t="s">
        <v>614</v>
      </c>
      <c r="B26" s="211" t="s">
        <v>1956</v>
      </c>
      <c r="C26" s="234">
        <f ca="1">ROUND(IF('数据-取费表'!B22&lt;=1,F21*F22*'数据-取费表'!B23/2,F21*(POWER((1+F22),'数据-取费表'!B23/2)-1)),4)</f>
        <v>1.2999999999999999E-3</v>
      </c>
      <c r="D26" s="234"/>
      <c r="E26" s="237"/>
      <c r="F26" s="235"/>
      <c r="G26" s="239"/>
    </row>
    <row r="27" spans="1:7" s="210" customFormat="1" ht="27">
      <c r="A27" s="251" t="s">
        <v>1957</v>
      </c>
      <c r="B27" s="240" t="s">
        <v>1958</v>
      </c>
      <c r="C27" s="241">
        <f ca="1">C28</f>
        <v>40514</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ROUND((C5+C19+C20)*F27*'数据-取费表'!B21/'数据-取费表'!B20,0)</f>
        <v>40514</v>
      </c>
      <c r="D28" s="231"/>
      <c r="E28" s="232"/>
      <c r="F28" s="242"/>
      <c r="G28" s="243"/>
    </row>
    <row r="29" spans="1:7" s="210" customFormat="1" ht="13.5" customHeight="1">
      <c r="A29" s="857" t="s">
        <v>611</v>
      </c>
      <c r="B29" s="244" t="s">
        <v>1962</v>
      </c>
      <c r="C29" s="234">
        <f ca="1">ROUND(C21*F27*'数据-取费表'!B21/'数据-取费表'!B20,4)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292270</v>
      </c>
      <c r="D31" s="226"/>
      <c r="E31" s="207"/>
      <c r="F31" s="246"/>
      <c r="G31" s="230" t="s">
        <v>1967</v>
      </c>
    </row>
    <row r="32" spans="1:7" s="204" customFormat="1" ht="16">
      <c r="A32" s="248" t="s">
        <v>1968</v>
      </c>
      <c r="B32" s="249"/>
      <c r="C32" s="249"/>
      <c r="D32" s="249"/>
      <c r="E32" s="249"/>
      <c r="F32" s="249"/>
      <c r="G32" s="250"/>
    </row>
    <row r="33" spans="1:7" s="210" customFormat="1" ht="13.5" customHeight="1">
      <c r="A33" s="251" t="s">
        <v>601</v>
      </c>
      <c r="B33" s="206" t="s">
        <v>1969</v>
      </c>
      <c r="C33" s="252">
        <f ca="1">SUM(C34:C38)</f>
        <v>80493</v>
      </c>
      <c r="D33" s="228"/>
      <c r="E33" s="208"/>
      <c r="F33" s="237"/>
      <c r="G33" s="230"/>
    </row>
    <row r="34" spans="1:7" s="254" customFormat="1" ht="13.5" customHeight="1">
      <c r="A34" s="857" t="s">
        <v>610</v>
      </c>
      <c r="B34" s="211" t="s">
        <v>1970</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1971</v>
      </c>
    </row>
    <row r="35" spans="1:7" ht="13.5" customHeight="1">
      <c r="A35" s="857" t="s">
        <v>615</v>
      </c>
      <c r="B35" s="211" t="s">
        <v>1972</v>
      </c>
      <c r="C35" s="216">
        <f ca="1">ROUND(C34*F35,0)</f>
        <v>3687</v>
      </c>
      <c r="D35" s="216"/>
      <c r="E35" s="216"/>
      <c r="F35" s="255">
        <f>'数据-取费表'!B33</f>
        <v>0.05</v>
      </c>
      <c r="G35" s="215" t="s">
        <v>1973</v>
      </c>
    </row>
    <row r="36" spans="1:7" ht="26">
      <c r="A36" s="857" t="s">
        <v>616</v>
      </c>
      <c r="B36" s="211" t="s">
        <v>1974</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1975</v>
      </c>
    </row>
    <row r="37" spans="1:7" s="254" customFormat="1" ht="13.5" customHeight="1">
      <c r="A37" s="857" t="s">
        <v>617</v>
      </c>
      <c r="B37" s="211" t="s">
        <v>1976</v>
      </c>
      <c r="C37" s="245">
        <f ca="1">ROUND(E37*D37*F34/10000,0)</f>
        <v>1966</v>
      </c>
      <c r="D37" s="213">
        <f ca="1">D19</f>
        <v>98312.17</v>
      </c>
      <c r="E37" s="245">
        <f>'数据-取费表'!B35</f>
        <v>200</v>
      </c>
      <c r="F37" s="255"/>
      <c r="G37" s="257" t="s">
        <v>1977</v>
      </c>
    </row>
    <row r="38" spans="1:7" ht="13.5" customHeight="1">
      <c r="A38" s="857" t="s">
        <v>618</v>
      </c>
      <c r="B38" s="211" t="s">
        <v>1978</v>
      </c>
      <c r="C38" s="216">
        <f ca="1">ROUND(C34*F38,0)</f>
        <v>1106</v>
      </c>
      <c r="D38" s="216"/>
      <c r="E38" s="216"/>
      <c r="F38" s="255">
        <f>'数据-取费表'!B36</f>
        <v>1.4999999999999999E-2</v>
      </c>
      <c r="G38" s="215" t="s">
        <v>1973</v>
      </c>
    </row>
    <row r="39" spans="1:7" s="210" customFormat="1" ht="13.5" customHeight="1">
      <c r="A39" s="251" t="s">
        <v>1979</v>
      </c>
      <c r="B39" s="206" t="s">
        <v>1980</v>
      </c>
      <c r="C39" s="228">
        <f ca="1">ROUND(C33*F20,0)</f>
        <v>2415</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5278</v>
      </c>
      <c r="D41" s="231">
        <f ca="1">C44</f>
        <v>1.2999999999999999E-3</v>
      </c>
      <c r="E41" s="232" t="s">
        <v>1984</v>
      </c>
      <c r="F41" s="2474">
        <f ca="1">F22</f>
        <v>4.2000000000000003E-2</v>
      </c>
      <c r="G41" s="230" t="str">
        <f>IF('数据-取费表'!B22&lt;=1,"单利计息","复利计息")</f>
        <v>复利计息</v>
      </c>
    </row>
    <row r="42" spans="1:7" ht="13.5" customHeight="1">
      <c r="A42" s="857" t="s">
        <v>610</v>
      </c>
      <c r="B42" s="211" t="s">
        <v>1988</v>
      </c>
      <c r="C42" s="234">
        <f ca="1">ROUND(IF('数据-取费表'!B22&lt;=1,C33*F22*'数据-取费表'!B21/2,C33*(POWER((1+F22),'数据-取费表'!B21/2)-1)),0)</f>
        <v>5124</v>
      </c>
      <c r="D42" s="234"/>
      <c r="E42" s="234"/>
      <c r="F42" s="235"/>
      <c r="G42" s="3525" t="s">
        <v>1989</v>
      </c>
    </row>
    <row r="43" spans="1:7" ht="13.5" customHeight="1">
      <c r="A43" s="857" t="s">
        <v>611</v>
      </c>
      <c r="B43" s="211" t="s">
        <v>1990</v>
      </c>
      <c r="C43" s="234">
        <f ca="1">ROUND(IF('数据-取费表'!B22&lt;=1,C39*F22*'数据-取费表'!B21/2,C39*(POWER((1+F22),'数据-取费表'!B21/2)-1)),0)</f>
        <v>154</v>
      </c>
      <c r="D43" s="234"/>
      <c r="E43" s="234"/>
      <c r="F43" s="235"/>
      <c r="G43" s="3526"/>
    </row>
    <row r="44" spans="1:7" ht="13.5" customHeight="1">
      <c r="A44" s="857" t="s">
        <v>612</v>
      </c>
      <c r="B44" s="211" t="s">
        <v>1991</v>
      </c>
      <c r="C44" s="234">
        <f ca="1">ROUND(IF('数据-取费表'!B22&lt;=1,C40*F22*'数据-取费表'!B21/2,C40*(POWER((1+F22),'数据-取费表'!B21/2)-1)),4)</f>
        <v>1.2999999999999999E-3</v>
      </c>
      <c r="D44" s="234"/>
      <c r="E44" s="234"/>
      <c r="F44" s="235"/>
      <c r="G44" s="3527"/>
    </row>
    <row r="45" spans="1:7" s="210" customFormat="1" ht="13.5" customHeight="1">
      <c r="A45" s="251" t="s">
        <v>1992</v>
      </c>
      <c r="B45" s="240" t="s">
        <v>1958</v>
      </c>
      <c r="C45" s="241">
        <f ca="1">C46</f>
        <v>16582</v>
      </c>
      <c r="D45" s="231">
        <f ca="1">C47</f>
        <v>4.0000000000000001E-3</v>
      </c>
      <c r="E45" s="232" t="s">
        <v>1984</v>
      </c>
      <c r="F45" s="2475">
        <f ca="1">F27</f>
        <v>0.2</v>
      </c>
      <c r="G45" s="243" t="s">
        <v>1993</v>
      </c>
    </row>
    <row r="46" spans="1:7" s="210" customFormat="1" ht="13.5" customHeight="1">
      <c r="A46" s="857" t="s">
        <v>610</v>
      </c>
      <c r="B46" s="244" t="s">
        <v>1994</v>
      </c>
      <c r="C46" s="245">
        <f ca="1">ROUND((C33+C39)*F27,0)</f>
        <v>16582</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1435">
        <f>ROUND(F30/(1+'数据-取费表'!C42),4)</f>
        <v>5.33E-2</v>
      </c>
      <c r="D48" s="232" t="s">
        <v>1984</v>
      </c>
      <c r="E48" s="228"/>
      <c r="F48" s="2474">
        <f>F30</f>
        <v>5.6000000000000001E-2</v>
      </c>
      <c r="G48" s="230" t="s">
        <v>1997</v>
      </c>
    </row>
    <row r="49" spans="1:7" ht="16.5" customHeight="1">
      <c r="A49" s="251" t="s">
        <v>1963</v>
      </c>
      <c r="B49" s="206" t="s">
        <v>1998</v>
      </c>
      <c r="C49" s="228">
        <f ca="1">ROUND((C33+C39+C41+C45)/(1-C40-D41-D45-C48),0)</f>
        <v>113705</v>
      </c>
      <c r="D49" s="228"/>
      <c r="E49" s="228"/>
      <c r="F49" s="260"/>
      <c r="G49" s="230" t="s">
        <v>1999</v>
      </c>
    </row>
    <row r="50" spans="1:7" s="254" customFormat="1" ht="26">
      <c r="A50" s="251" t="s">
        <v>2000</v>
      </c>
      <c r="B50" s="206" t="s">
        <v>2001</v>
      </c>
      <c r="C50" s="228"/>
      <c r="D50" s="228"/>
      <c r="E50" s="228"/>
      <c r="F50" s="260">
        <f>IF('数据-取费表'!B24=0,'数据-取费表'!N16,1)</f>
        <v>0.81</v>
      </c>
      <c r="G50" s="243" t="s">
        <v>2002</v>
      </c>
    </row>
    <row r="51" spans="1:7" ht="16.5" customHeight="1">
      <c r="A51" s="251" t="s">
        <v>2003</v>
      </c>
      <c r="B51" s="206" t="s">
        <v>2004</v>
      </c>
      <c r="C51" s="228">
        <f ca="1">ROUND(C49*F50,0)</f>
        <v>92101</v>
      </c>
      <c r="D51" s="228"/>
      <c r="E51" s="228"/>
      <c r="F51" s="260"/>
      <c r="G51" s="230" t="s">
        <v>2005</v>
      </c>
    </row>
    <row r="52" spans="1:7" s="204" customFormat="1" ht="16.5" thickBot="1">
      <c r="A52" s="261" t="s">
        <v>2006</v>
      </c>
      <c r="B52" s="262"/>
      <c r="C52" s="263">
        <f ca="1">C31+C51</f>
        <v>384371</v>
      </c>
      <c r="D52" s="262"/>
      <c r="E52" s="262"/>
      <c r="F52" s="262"/>
      <c r="G52" s="264"/>
    </row>
    <row r="55" spans="1:7" ht="15.5">
      <c r="B55" s="266" t="s">
        <v>2007</v>
      </c>
      <c r="C55" s="267"/>
    </row>
    <row r="56" spans="1:7" ht="13">
      <c r="B56" s="269" t="s">
        <v>1237</v>
      </c>
      <c r="C56" s="271">
        <f ca="1">1-C57</f>
        <v>0.76</v>
      </c>
    </row>
    <row r="57" spans="1:7" ht="13">
      <c r="B57" s="269" t="s">
        <v>1238</v>
      </c>
      <c r="C57" s="270">
        <f ca="1">ROUND(C51/C52,3)</f>
        <v>0.24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1906</v>
      </c>
      <c r="B1" s="1592"/>
      <c r="C1" s="1983" t="s">
        <v>2008</v>
      </c>
      <c r="D1" s="194"/>
      <c r="E1" s="194"/>
      <c r="F1" s="194"/>
      <c r="G1" s="1229">
        <f>MATCH(B1,'数据-取费表'!A6:A16,0)+5</f>
        <v>7</v>
      </c>
      <c r="H1" s="1161" t="str">
        <f>IF(ISERROR(FIND("住宅",B1)),"非住宅","住宅")</f>
        <v>非住宅</v>
      </c>
    </row>
    <row r="2" spans="1:8" s="196" customFormat="1" ht="18" customHeight="1">
      <c r="A2" s="197" t="s">
        <v>1907</v>
      </c>
      <c r="B2" s="198">
        <f ca="1">ROUND(IF(D2="——",C52/10000,C52/10000-E2),0)</f>
        <v>97944</v>
      </c>
      <c r="C2" s="195" t="s">
        <v>1908</v>
      </c>
      <c r="D2" s="1977" t="s">
        <v>70</v>
      </c>
      <c r="E2" s="1272" t="e">
        <f ca="1">SUMIF(INDIRECT("'"&amp;G2&amp;"'"&amp;"!A:A"),"承租人权益价值",INDIRECT("'"&amp;G2&amp;"'"&amp;"!c:c"))</f>
        <v>#REF!</v>
      </c>
      <c r="F2" s="1978" t="s">
        <v>1908</v>
      </c>
      <c r="G2" s="1979"/>
    </row>
    <row r="3" spans="1:8" s="196" customFormat="1" ht="18" customHeight="1" thickBot="1">
      <c r="A3" s="199" t="s">
        <v>1909</v>
      </c>
      <c r="B3" s="200">
        <f ca="1">ROUND(B2*10000/(IF(B1="",'数据-汇总表'!E3,INDIRECT("'数据-取费表'!k"&amp;$G$1))),0)</f>
        <v>9963</v>
      </c>
      <c r="C3" s="195" t="s">
        <v>1910</v>
      </c>
      <c r="D3" s="195"/>
      <c r="E3" s="195"/>
      <c r="F3" s="195"/>
      <c r="G3" s="195"/>
    </row>
    <row r="4" spans="1:8" s="204" customFormat="1" ht="16">
      <c r="A4" s="201" t="s">
        <v>1911</v>
      </c>
      <c r="B4" s="202"/>
      <c r="C4" s="202"/>
      <c r="D4" s="202"/>
      <c r="E4" s="202"/>
      <c r="F4" s="202"/>
      <c r="G4" s="203"/>
    </row>
    <row r="5" spans="1:8" s="210" customFormat="1" ht="13.5" customHeight="1">
      <c r="A5" s="251" t="s">
        <v>1912</v>
      </c>
      <c r="B5" s="206" t="s">
        <v>1913</v>
      </c>
      <c r="C5" s="207">
        <f ca="1">C6+C7+C8</f>
        <v>19662434</v>
      </c>
      <c r="D5" s="207" t="s">
        <v>1914</v>
      </c>
      <c r="E5" s="208" t="s">
        <v>1915</v>
      </c>
      <c r="F5" s="208" t="s">
        <v>1916</v>
      </c>
      <c r="G5" s="209"/>
    </row>
    <row r="6" spans="1:8" s="210" customFormat="1" ht="13.5" customHeight="1">
      <c r="A6" s="855" t="s">
        <v>1917</v>
      </c>
      <c r="B6" s="211" t="s">
        <v>1918</v>
      </c>
      <c r="C6" s="212"/>
      <c r="D6" s="213"/>
      <c r="E6" s="214"/>
      <c r="F6" s="214"/>
      <c r="G6" s="215"/>
    </row>
    <row r="7" spans="1:8" s="210" customFormat="1" ht="13.5" customHeight="1">
      <c r="A7" s="855" t="s">
        <v>1919</v>
      </c>
      <c r="B7" s="211" t="s">
        <v>1920</v>
      </c>
      <c r="C7" s="216">
        <f>ROUND(C6*F7,0)</f>
        <v>0</v>
      </c>
      <c r="D7" s="216"/>
      <c r="E7" s="214"/>
      <c r="F7" s="217">
        <f>IF(项目基本情况!B8="出让",0,'数据-取费表'!B48+'数据-取费表'!B49)</f>
        <v>3.0499999999999999E-2</v>
      </c>
      <c r="G7" s="215"/>
    </row>
    <row r="8" spans="1:8" s="219" customFormat="1" ht="13">
      <c r="A8" s="855" t="s">
        <v>1921</v>
      </c>
      <c r="B8" s="211" t="s">
        <v>1922</v>
      </c>
      <c r="C8" s="216">
        <f ca="1">IF(G8="已包含在土地购买价格中",0,C9+C10)</f>
        <v>19662434</v>
      </c>
      <c r="D8" s="218"/>
      <c r="E8" s="216"/>
      <c r="F8" s="217"/>
      <c r="G8" s="1980"/>
    </row>
    <row r="9" spans="1:8" s="210" customFormat="1" ht="13.5" customHeight="1">
      <c r="A9" s="856" t="s">
        <v>619</v>
      </c>
      <c r="B9" s="220" t="s">
        <v>1923</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1925</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1926</v>
      </c>
      <c r="C11" s="207"/>
      <c r="D11" s="925"/>
      <c r="E11" s="214"/>
      <c r="F11" s="214"/>
      <c r="G11" s="215"/>
    </row>
    <row r="12" spans="1:8" s="210" customFormat="1" ht="13.5" hidden="1" customHeight="1">
      <c r="A12" s="223" t="s">
        <v>8</v>
      </c>
      <c r="B12" s="211" t="s">
        <v>2009</v>
      </c>
      <c r="C12" s="207">
        <v>0</v>
      </c>
      <c r="D12" s="925"/>
      <c r="E12" s="224"/>
      <c r="F12" s="217">
        <v>3.0499999999999999E-2</v>
      </c>
      <c r="G12" s="215"/>
    </row>
    <row r="13" spans="1:8" s="210" customFormat="1" ht="13.5" hidden="1" customHeight="1">
      <c r="A13" s="223" t="s">
        <v>9</v>
      </c>
      <c r="B13" s="211" t="s">
        <v>2010</v>
      </c>
      <c r="C13" s="207"/>
      <c r="D13" s="925"/>
      <c r="E13" s="214"/>
      <c r="F13" s="214"/>
      <c r="G13" s="215"/>
    </row>
    <row r="14" spans="1:8" s="210" customFormat="1" ht="13.5" hidden="1" customHeight="1">
      <c r="A14" s="223" t="s">
        <v>10</v>
      </c>
      <c r="B14" s="211" t="s">
        <v>1922</v>
      </c>
      <c r="C14" s="207"/>
      <c r="D14" s="925"/>
      <c r="E14" s="214"/>
      <c r="F14" s="214"/>
      <c r="G14" s="215" t="s">
        <v>2011</v>
      </c>
    </row>
    <row r="15" spans="1:8" s="210" customFormat="1" ht="13.5" hidden="1" customHeight="1">
      <c r="A15" s="223" t="s">
        <v>11</v>
      </c>
      <c r="B15" s="211" t="s">
        <v>2012</v>
      </c>
      <c r="C15" s="216"/>
      <c r="D15" s="925"/>
      <c r="E15" s="214"/>
      <c r="F15" s="214"/>
      <c r="G15" s="215" t="s">
        <v>2013</v>
      </c>
    </row>
    <row r="16" spans="1:8" s="210" customFormat="1" ht="13.5" hidden="1" customHeight="1">
      <c r="A16" s="223" t="s">
        <v>12</v>
      </c>
      <c r="B16" s="211" t="s">
        <v>1922</v>
      </c>
      <c r="C16" s="216"/>
      <c r="D16" s="925"/>
      <c r="E16" s="214"/>
      <c r="F16" s="214"/>
      <c r="G16" s="215"/>
    </row>
    <row r="17" spans="1:7" s="210" customFormat="1" ht="13.5" hidden="1" customHeight="1">
      <c r="A17" s="223" t="s">
        <v>13</v>
      </c>
      <c r="B17" s="211" t="s">
        <v>2014</v>
      </c>
      <c r="C17" s="225"/>
      <c r="D17" s="926"/>
      <c r="E17" s="225"/>
      <c r="F17" s="225"/>
      <c r="G17" s="215" t="s">
        <v>2013</v>
      </c>
    </row>
    <row r="18" spans="1:7" s="210" customFormat="1" ht="13.5" hidden="1" customHeight="1">
      <c r="A18" s="223" t="s">
        <v>14</v>
      </c>
      <c r="B18" s="211" t="s">
        <v>2015</v>
      </c>
      <c r="C18" s="216">
        <v>0</v>
      </c>
      <c r="D18" s="925"/>
      <c r="E18" s="214"/>
      <c r="F18" s="217">
        <v>3.0499999999999999E-2</v>
      </c>
      <c r="G18" s="215" t="s">
        <v>2016</v>
      </c>
    </row>
    <row r="19" spans="1:7" s="219" customFormat="1" ht="13.5" customHeight="1">
      <c r="A19" s="251" t="s">
        <v>2017</v>
      </c>
      <c r="B19" s="206" t="s">
        <v>2018</v>
      </c>
      <c r="C19" s="207">
        <f ca="1">IF(G19="已包含在土地取得成本中","0",ROUND(D19*E19,0))</f>
        <v>19662434</v>
      </c>
      <c r="D19" s="927">
        <f ca="1">D9+D10</f>
        <v>98312.17</v>
      </c>
      <c r="E19" s="207">
        <f>'数据-取费表'!B31</f>
        <v>200</v>
      </c>
      <c r="F19" s="227"/>
      <c r="G19" s="1980"/>
    </row>
    <row r="20" spans="1:7" s="210" customFormat="1" ht="13.5" customHeight="1">
      <c r="A20" s="251" t="s">
        <v>2019</v>
      </c>
      <c r="B20" s="206" t="s">
        <v>2020</v>
      </c>
      <c r="C20" s="228">
        <f ca="1">ROUND((C5+C19)*F20,0)</f>
        <v>1179746</v>
      </c>
      <c r="D20" s="228"/>
      <c r="E20" s="228"/>
      <c r="F20" s="229">
        <f>'数据-取费表'!B37</f>
        <v>0.03</v>
      </c>
      <c r="G20" s="230" t="s">
        <v>2021</v>
      </c>
    </row>
    <row r="21" spans="1:7" s="210" customFormat="1" ht="13.5" customHeight="1">
      <c r="A21" s="251" t="s">
        <v>2022</v>
      </c>
      <c r="B21" s="206" t="s">
        <v>2023</v>
      </c>
      <c r="C21" s="231">
        <f>F21</f>
        <v>0.02</v>
      </c>
      <c r="D21" s="232" t="s">
        <v>2024</v>
      </c>
      <c r="E21" s="228"/>
      <c r="F21" s="229">
        <f>'数据-取费表'!B38</f>
        <v>0.02</v>
      </c>
      <c r="G21" s="230" t="s">
        <v>2025</v>
      </c>
    </row>
    <row r="22" spans="1:7" s="210" customFormat="1" ht="13.5" customHeight="1">
      <c r="A22" s="251" t="s">
        <v>2026</v>
      </c>
      <c r="B22" s="206" t="s">
        <v>2027</v>
      </c>
      <c r="C22" s="1230">
        <f ca="1">ROUND(SUM(C23:C25),0)</f>
        <v>5241053</v>
      </c>
      <c r="D22" s="231">
        <f ca="1">C26</f>
        <v>1.2999999999999999E-3</v>
      </c>
      <c r="E22" s="232" t="s">
        <v>2024</v>
      </c>
      <c r="F22" s="233">
        <f ca="1">'数据-取费表'!B40</f>
        <v>4.2000000000000003E-2</v>
      </c>
      <c r="G22" s="230" t="str">
        <f>IF('数据-取费表'!B22&lt;=1,"单利计息","复利计息")</f>
        <v>复利计息</v>
      </c>
    </row>
    <row r="23" spans="1:7" s="210" customFormat="1" ht="13.5" customHeight="1">
      <c r="A23" s="857" t="s">
        <v>1917</v>
      </c>
      <c r="B23" s="211" t="s">
        <v>2028</v>
      </c>
      <c r="C23" s="1231">
        <f ca="1">ROUND(IF('数据-取费表'!B22&lt;=1,C5*F22*'数据-取费表'!B22,C5*(POWER((1+F22),'数据-取费表'!B22)-1)),0)</f>
        <v>2582977</v>
      </c>
      <c r="D23" s="234"/>
      <c r="E23" s="234"/>
      <c r="F23" s="235"/>
      <c r="G23" s="236" t="s">
        <v>2029</v>
      </c>
    </row>
    <row r="24" spans="1:7" s="210" customFormat="1" ht="13.5" customHeight="1">
      <c r="A24" s="857" t="s">
        <v>1919</v>
      </c>
      <c r="B24" s="211" t="s">
        <v>2030</v>
      </c>
      <c r="C24" s="1231">
        <f ca="1">ROUND(IF('数据-取费表'!B22&lt;=1,C19*F22*('数据-取费表'!B19/2+'数据-取费表'!B20),C19*(POWER((1+F22),('数据-取费表'!B19/2+'数据-取费表'!B20))-1)),0)</f>
        <v>2582977</v>
      </c>
      <c r="D24" s="234"/>
      <c r="E24" s="234"/>
      <c r="F24" s="235"/>
      <c r="G24" s="236" t="s">
        <v>2031</v>
      </c>
    </row>
    <row r="25" spans="1:7" s="210" customFormat="1" ht="26">
      <c r="A25" s="857" t="s">
        <v>1921</v>
      </c>
      <c r="B25" s="211" t="s">
        <v>2032</v>
      </c>
      <c r="C25" s="1231">
        <f ca="1">ROUND(IF('数据-取费表'!B22&lt;=1,C20*F22*'数据-取费表'!B22/2,C20*(POWER((1+F22),'数据-取费表'!B22/2)-1)),0)</f>
        <v>75099</v>
      </c>
      <c r="D25" s="234"/>
      <c r="E25" s="237"/>
      <c r="F25" s="235"/>
      <c r="G25" s="238" t="s">
        <v>2033</v>
      </c>
    </row>
    <row r="26" spans="1:7" s="210" customFormat="1" ht="13">
      <c r="A26" s="857" t="s">
        <v>614</v>
      </c>
      <c r="B26" s="211" t="s">
        <v>1956</v>
      </c>
      <c r="C26" s="234">
        <f ca="1">ROUND(IF('数据-取费表'!B22&lt;=1,F21*F22*'数据-取费表'!B22/2,F21*(POWER((1+F22),'数据-取费表'!B22/2)-1)),4)</f>
        <v>1.2999999999999999E-3</v>
      </c>
      <c r="D26" s="234"/>
      <c r="E26" s="237"/>
      <c r="F26" s="235"/>
      <c r="G26" s="239"/>
    </row>
    <row r="27" spans="1:7" s="210" customFormat="1" ht="27">
      <c r="A27" s="251" t="s">
        <v>1957</v>
      </c>
      <c r="B27" s="240" t="s">
        <v>1958</v>
      </c>
      <c r="C27" s="241">
        <f ca="1">C28</f>
        <v>8100923</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ROUND((C5+C19+C20)*F27,0)</f>
        <v>8100923</v>
      </c>
      <c r="D28" s="231"/>
      <c r="E28" s="232"/>
      <c r="F28" s="242"/>
      <c r="G28" s="243"/>
    </row>
    <row r="29" spans="1:7" s="210" customFormat="1" ht="13.5" customHeight="1">
      <c r="A29" s="857" t="s">
        <v>611</v>
      </c>
      <c r="B29" s="244" t="s">
        <v>1962</v>
      </c>
      <c r="C29" s="234">
        <f ca="1">ROUND(C21*F27,4)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58439972</v>
      </c>
      <c r="D31" s="226"/>
      <c r="E31" s="207"/>
      <c r="F31" s="246"/>
      <c r="G31" s="230" t="s">
        <v>1967</v>
      </c>
    </row>
    <row r="32" spans="1:7" s="204" customFormat="1" ht="16">
      <c r="A32" s="248" t="s">
        <v>2034</v>
      </c>
      <c r="B32" s="249"/>
      <c r="C32" s="249"/>
      <c r="D32" s="249"/>
      <c r="E32" s="249"/>
      <c r="F32" s="249"/>
      <c r="G32" s="250"/>
    </row>
    <row r="33" spans="1:7" s="210" customFormat="1" ht="13.5" customHeight="1">
      <c r="A33" s="251" t="s">
        <v>601</v>
      </c>
      <c r="B33" s="206" t="s">
        <v>2035</v>
      </c>
      <c r="C33" s="252">
        <f ca="1">SUM(C34:C38)</f>
        <v>804930892</v>
      </c>
      <c r="D33" s="228"/>
      <c r="E33" s="208"/>
      <c r="F33" s="237"/>
      <c r="G33" s="230"/>
    </row>
    <row r="34" spans="1:7" s="254" customFormat="1" ht="13.5" customHeight="1">
      <c r="A34" s="857" t="s">
        <v>610</v>
      </c>
      <c r="B34" s="211" t="s">
        <v>1970</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1972</v>
      </c>
      <c r="C35" s="216">
        <f ca="1">ROUND(C34*F35,0)</f>
        <v>36867064</v>
      </c>
      <c r="D35" s="216"/>
      <c r="E35" s="216"/>
      <c r="F35" s="255">
        <f>'数据-取费表'!B33</f>
        <v>0.05</v>
      </c>
      <c r="G35" s="215" t="s">
        <v>1973</v>
      </c>
    </row>
    <row r="36" spans="1:7" ht="26">
      <c r="A36" s="857" t="s">
        <v>616</v>
      </c>
      <c r="B36" s="211" t="s">
        <v>1974</v>
      </c>
      <c r="C36" s="216">
        <f ca="1">ROUND(IF(B1="",SUM('数据-取费表'!AP6:AP13)*F36,IF(INDIRECT("'数据-取费表'!c"&amp;$G$1)="住宅",INDIRECT("'数据-取费表'!k"&amp;$G$1)*INDIRECT("'数据-取费表'!l"&amp;$G$1)*F36,0)),0)</f>
        <v>0</v>
      </c>
      <c r="D36" s="216"/>
      <c r="E36" s="216"/>
      <c r="F36" s="255">
        <f>'数据-取费表'!B34</f>
        <v>0</v>
      </c>
      <c r="G36" s="256" t="s">
        <v>1975</v>
      </c>
    </row>
    <row r="37" spans="1:7" s="254" customFormat="1" ht="13.5" customHeight="1">
      <c r="A37" s="857" t="s">
        <v>617</v>
      </c>
      <c r="B37" s="211" t="s">
        <v>1976</v>
      </c>
      <c r="C37" s="245">
        <f ca="1">ROUND(E37*D37,0)</f>
        <v>19662434</v>
      </c>
      <c r="D37" s="213">
        <f ca="1">D19</f>
        <v>98312.17</v>
      </c>
      <c r="E37" s="245">
        <f>'数据-取费表'!B35</f>
        <v>200</v>
      </c>
      <c r="F37" s="255"/>
      <c r="G37" s="257"/>
    </row>
    <row r="38" spans="1:7" ht="13.5" customHeight="1">
      <c r="A38" s="857" t="s">
        <v>618</v>
      </c>
      <c r="B38" s="211" t="s">
        <v>1978</v>
      </c>
      <c r="C38" s="216">
        <f ca="1">ROUND(C34*F38,0)</f>
        <v>11060119</v>
      </c>
      <c r="D38" s="216"/>
      <c r="E38" s="216"/>
      <c r="F38" s="255">
        <f>'数据-取费表'!B36</f>
        <v>1.4999999999999999E-2</v>
      </c>
      <c r="G38" s="215" t="s">
        <v>1973</v>
      </c>
    </row>
    <row r="39" spans="1:7" s="210" customFormat="1" ht="13.5" customHeight="1">
      <c r="A39" s="251" t="s">
        <v>1979</v>
      </c>
      <c r="B39" s="206" t="s">
        <v>1980</v>
      </c>
      <c r="C39" s="228">
        <f ca="1">ROUND(C33*F20,0)</f>
        <v>24147927</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52776621</v>
      </c>
      <c r="D41" s="231">
        <f ca="1">C44</f>
        <v>1.2999999999999999E-3</v>
      </c>
      <c r="E41" s="232" t="s">
        <v>1984</v>
      </c>
      <c r="F41" s="2474">
        <f ca="1">F22</f>
        <v>4.2000000000000003E-2</v>
      </c>
      <c r="G41" s="230" t="str">
        <f>IF('数据-取费表'!B22&lt;=1,"单利计息","复利计息")</f>
        <v>复利计息</v>
      </c>
    </row>
    <row r="42" spans="1:7" ht="13.5" customHeight="1">
      <c r="A42" s="857" t="s">
        <v>610</v>
      </c>
      <c r="B42" s="211" t="s">
        <v>1988</v>
      </c>
      <c r="C42" s="234">
        <f ca="1">ROUND(IF('数据-取费表'!B22&lt;=1,C33*F22*'数据-取费表'!B20/2,C33*(POWER((1+F22),'数据-取费表'!B20/2)-1)),0)</f>
        <v>51239438</v>
      </c>
      <c r="D42" s="234"/>
      <c r="E42" s="234"/>
      <c r="F42" s="235"/>
      <c r="G42" s="3525" t="s">
        <v>2036</v>
      </c>
    </row>
    <row r="43" spans="1:7" ht="13.5" customHeight="1">
      <c r="A43" s="857" t="s">
        <v>611</v>
      </c>
      <c r="B43" s="211" t="s">
        <v>1990</v>
      </c>
      <c r="C43" s="234">
        <f ca="1">ROUND(IF('数据-取费表'!B22&lt;=1,C39*F22*'数据-取费表'!B20/2,C39*(POWER((1+F22),'数据-取费表'!B20/2)-1)),0)</f>
        <v>1537183</v>
      </c>
      <c r="D43" s="234"/>
      <c r="E43" s="234"/>
      <c r="F43" s="235"/>
      <c r="G43" s="3526"/>
    </row>
    <row r="44" spans="1:7" ht="13.5" customHeight="1">
      <c r="A44" s="857" t="s">
        <v>612</v>
      </c>
      <c r="B44" s="211" t="s">
        <v>1991</v>
      </c>
      <c r="C44" s="234">
        <f ca="1">ROUND(IF('数据-取费表'!B22&lt;=1,C40*F22*'数据-取费表'!B20/2,C40*(POWER((1+F22),'数据-取费表'!B20/2)-1)),4)</f>
        <v>1.2999999999999999E-3</v>
      </c>
      <c r="D44" s="234"/>
      <c r="E44" s="234"/>
      <c r="F44" s="235"/>
      <c r="G44" s="3527"/>
    </row>
    <row r="45" spans="1:7" s="210" customFormat="1" ht="13.5" customHeight="1">
      <c r="A45" s="251" t="s">
        <v>1992</v>
      </c>
      <c r="B45" s="240" t="s">
        <v>1958</v>
      </c>
      <c r="C45" s="241">
        <f ca="1">C46</f>
        <v>165815764</v>
      </c>
      <c r="D45" s="231">
        <f ca="1">C47</f>
        <v>4.0000000000000001E-3</v>
      </c>
      <c r="E45" s="232" t="s">
        <v>1984</v>
      </c>
      <c r="F45" s="2475">
        <f ca="1">F27</f>
        <v>0.2</v>
      </c>
      <c r="G45" s="243" t="s">
        <v>1993</v>
      </c>
    </row>
    <row r="46" spans="1:7" s="210" customFormat="1" ht="13.5" customHeight="1">
      <c r="A46" s="857" t="s">
        <v>610</v>
      </c>
      <c r="B46" s="244" t="s">
        <v>1994</v>
      </c>
      <c r="C46" s="245">
        <f ca="1">ROUND((C33+C39)*F27,0)</f>
        <v>165815764</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258">
        <f>ROUND(F30/(1+'数据-取费表'!C42),4)</f>
        <v>5.33E-2</v>
      </c>
      <c r="D48" s="232" t="s">
        <v>1984</v>
      </c>
      <c r="E48" s="228"/>
      <c r="F48" s="2474">
        <f>F30</f>
        <v>5.6000000000000001E-2</v>
      </c>
      <c r="G48" s="230" t="s">
        <v>1997</v>
      </c>
    </row>
    <row r="49" spans="1:7" ht="16.5" customHeight="1">
      <c r="A49" s="251" t="s">
        <v>1963</v>
      </c>
      <c r="B49" s="206" t="s">
        <v>2037</v>
      </c>
      <c r="C49" s="228">
        <f ca="1">ROUND((C33+C39+C41+C45)/(1-C40-D41-D45-C48),0)</f>
        <v>1137042765</v>
      </c>
      <c r="D49" s="228"/>
      <c r="E49" s="228"/>
      <c r="F49" s="260"/>
      <c r="G49" s="230" t="s">
        <v>1999</v>
      </c>
    </row>
    <row r="50" spans="1:7" s="254" customFormat="1" ht="13.5">
      <c r="A50" s="251" t="s">
        <v>2000</v>
      </c>
      <c r="B50" s="206" t="s">
        <v>2001</v>
      </c>
      <c r="C50" s="228"/>
      <c r="D50" s="228"/>
      <c r="E50" s="228"/>
      <c r="F50" s="260">
        <f>IF('数据-取费表'!B24=0,'数据-取费表'!N16,1)</f>
        <v>0.81</v>
      </c>
      <c r="G50" s="243"/>
    </row>
    <row r="51" spans="1:7" ht="16.5" customHeight="1">
      <c r="A51" s="251" t="s">
        <v>2003</v>
      </c>
      <c r="B51" s="206" t="s">
        <v>2038</v>
      </c>
      <c r="C51" s="228">
        <f ca="1">ROUND(C49*F50,0)</f>
        <v>921004640</v>
      </c>
      <c r="D51" s="228"/>
      <c r="E51" s="228"/>
      <c r="F51" s="260"/>
      <c r="G51" s="230" t="s">
        <v>2005</v>
      </c>
    </row>
    <row r="52" spans="1:7" s="204" customFormat="1" ht="16.5" thickBot="1">
      <c r="A52" s="261" t="s">
        <v>2006</v>
      </c>
      <c r="B52" s="262"/>
      <c r="C52" s="263">
        <f ca="1">C31+C51</f>
        <v>979444612</v>
      </c>
      <c r="D52" s="262"/>
      <c r="E52" s="262"/>
      <c r="F52" s="262"/>
      <c r="G52" s="264"/>
    </row>
    <row r="55" spans="1:7" ht="15.5">
      <c r="B55" s="266" t="s">
        <v>2007</v>
      </c>
      <c r="C55" s="267"/>
    </row>
    <row r="56" spans="1:7" ht="13">
      <c r="B56" s="269" t="s">
        <v>1237</v>
      </c>
      <c r="C56" s="271">
        <f ca="1">1-C57</f>
        <v>6.0000000000000053E-2</v>
      </c>
    </row>
    <row r="57" spans="1:7" ht="13">
      <c r="B57" s="269" t="s">
        <v>1238</v>
      </c>
      <c r="C57" s="270">
        <f ca="1">ROUND(C51/C52,3)</f>
        <v>0.94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5" customWidth="1"/>
    <col min="2" max="2" width="25.90625" style="858" customWidth="1"/>
    <col min="3" max="3" width="10.36328125" style="901" customWidth="1"/>
    <col min="4" max="4" width="9.90625" style="858" customWidth="1"/>
    <col min="5" max="5" width="9.453125" style="725" customWidth="1"/>
    <col min="6" max="6" width="10.08984375" style="858" customWidth="1"/>
    <col min="7" max="7" width="10.90625" style="858" customWidth="1"/>
    <col min="8" max="8" width="10" style="858" customWidth="1"/>
    <col min="9" max="11" width="9.453125" style="858" customWidth="1"/>
    <col min="12" max="12" width="9" style="858" customWidth="1"/>
    <col min="13" max="13" width="10.453125" style="858" bestFit="1" customWidth="1"/>
    <col min="14" max="254" width="9" style="858" customWidth="1"/>
    <col min="255" max="16384" width="6.6328125" style="858"/>
  </cols>
  <sheetData>
    <row r="1" spans="1:33" ht="21">
      <c r="A1" s="192" t="s">
        <v>2039</v>
      </c>
      <c r="B1" s="1293"/>
      <c r="C1" s="1294"/>
      <c r="D1" s="1292"/>
      <c r="E1" s="2969"/>
      <c r="F1" s="2969"/>
      <c r="G1" s="2832"/>
      <c r="H1" s="2969"/>
      <c r="I1" s="2969"/>
      <c r="J1" s="2969"/>
      <c r="K1" s="2970">
        <f>MATCH(C1,'数据-取费表'!A6:A16,0)+5</f>
        <v>7</v>
      </c>
    </row>
    <row r="2" spans="1:33" ht="18" customHeight="1">
      <c r="A2" s="197" t="s">
        <v>1907</v>
      </c>
      <c r="B2" s="200">
        <f ca="1">C32</f>
        <v>0</v>
      </c>
      <c r="C2" s="272" t="s">
        <v>2040</v>
      </c>
      <c r="D2" s="272"/>
      <c r="E2" s="2969"/>
      <c r="F2" s="2969"/>
      <c r="G2" s="2969"/>
      <c r="H2" s="2969"/>
      <c r="I2" s="2969"/>
      <c r="J2" s="2969"/>
      <c r="K2" s="2969"/>
    </row>
    <row r="3" spans="1:33" ht="18" customHeight="1" thickBot="1">
      <c r="A3" s="199" t="s">
        <v>1909</v>
      </c>
      <c r="B3" s="200">
        <f ca="1">ROUND(B2*10000/IF(C1="",'数据-汇总表'!E3,INDIRECT("'数据-取费表'!K"&amp;$K$1)),0)</f>
        <v>0</v>
      </c>
      <c r="C3" s="272" t="s">
        <v>2041</v>
      </c>
      <c r="D3" s="272"/>
      <c r="E3" s="2969"/>
      <c r="F3" s="2969"/>
      <c r="G3" s="2969"/>
      <c r="H3" s="2969"/>
      <c r="I3" s="2969"/>
      <c r="J3" s="2969"/>
      <c r="K3" s="2969"/>
    </row>
    <row r="4" spans="1:33" s="862" customFormat="1" ht="16.5" customHeight="1">
      <c r="A4" s="859" t="s">
        <v>2042</v>
      </c>
      <c r="B4" s="860"/>
      <c r="C4" s="902">
        <f>SUM(C8:K8)</f>
        <v>0</v>
      </c>
      <c r="D4" s="860"/>
      <c r="E4" s="860"/>
      <c r="F4" s="860"/>
      <c r="G4" s="860"/>
      <c r="H4" s="860"/>
      <c r="I4" s="860"/>
      <c r="J4" s="860"/>
      <c r="K4" s="861"/>
    </row>
    <row r="5" spans="1:33" s="866" customFormat="1" ht="26">
      <c r="A5" s="863" t="s">
        <v>2043</v>
      </c>
      <c r="B5" s="864" t="s">
        <v>2044</v>
      </c>
      <c r="C5" s="1984" t="s">
        <v>2045</v>
      </c>
      <c r="D5" s="1984" t="s">
        <v>2046</v>
      </c>
      <c r="E5" s="1984" t="s">
        <v>2047</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2048</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2049</v>
      </c>
      <c r="B7" s="126" t="s">
        <v>2050</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2051</v>
      </c>
      <c r="B8" s="159" t="s">
        <v>2052</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2053</v>
      </c>
      <c r="B9" s="860"/>
      <c r="C9" s="860"/>
      <c r="D9" s="860"/>
      <c r="E9" s="860"/>
      <c r="F9" s="860"/>
      <c r="G9" s="860"/>
      <c r="H9" s="860"/>
      <c r="I9" s="860"/>
      <c r="J9" s="860"/>
      <c r="K9" s="861"/>
    </row>
    <row r="10" spans="1:33" s="876" customFormat="1" ht="13.5" customHeight="1">
      <c r="A10" s="863" t="s">
        <v>2054</v>
      </c>
      <c r="B10" s="8" t="s">
        <v>2055</v>
      </c>
      <c r="C10" s="872" t="s">
        <v>2056</v>
      </c>
      <c r="D10" s="873" t="s">
        <v>2057</v>
      </c>
      <c r="E10" s="873" t="s">
        <v>2058</v>
      </c>
      <c r="F10" s="873" t="s">
        <v>2059</v>
      </c>
      <c r="G10" s="8"/>
      <c r="H10" s="874"/>
      <c r="I10" s="874"/>
      <c r="J10" s="874"/>
      <c r="K10" s="875"/>
    </row>
    <row r="11" spans="1:33" s="881" customFormat="1" ht="13.5" customHeight="1">
      <c r="A11" s="877" t="s">
        <v>1060</v>
      </c>
      <c r="B11" s="878" t="s">
        <v>2060</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2061</v>
      </c>
      <c r="C12" s="24">
        <f ca="1">ROUND(C11*F12,0)</f>
        <v>0</v>
      </c>
      <c r="D12" s="879"/>
      <c r="E12" s="325"/>
      <c r="F12" s="882">
        <f>'数据-取费表'!B33</f>
        <v>0.05</v>
      </c>
      <c r="G12" s="8" t="s">
        <v>2062</v>
      </c>
      <c r="H12" s="874"/>
      <c r="I12" s="874"/>
      <c r="J12" s="874"/>
      <c r="K12" s="875"/>
    </row>
    <row r="13" spans="1:33" s="881" customFormat="1" ht="13.5" customHeight="1">
      <c r="A13" s="877" t="s">
        <v>1062</v>
      </c>
      <c r="B13" s="878" t="s">
        <v>2063</v>
      </c>
      <c r="C13" s="24">
        <f ca="1">ROUND(IF(C1="",SUMIF('数据-取费表'!C:C,"住宅",'数据-取费表'!P:P)*F13,IF(INDIRECT("'数据-取费表'!c"&amp;$K$1)="住宅",INDIRECT("'数据-取费表'!P"&amp;$K$1)*F13,0)),0)</f>
        <v>0</v>
      </c>
      <c r="D13" s="924"/>
      <c r="E13" s="325"/>
      <c r="F13" s="882">
        <f>'数据-取费表'!B34</f>
        <v>0</v>
      </c>
      <c r="G13" s="8" t="s">
        <v>2064</v>
      </c>
      <c r="H13" s="874"/>
      <c r="I13" s="874"/>
      <c r="J13" s="874"/>
      <c r="K13" s="875"/>
    </row>
    <row r="14" spans="1:33" s="883" customFormat="1" ht="13.5" customHeight="1">
      <c r="A14" s="877" t="s">
        <v>1063</v>
      </c>
      <c r="B14" s="878" t="s">
        <v>2065</v>
      </c>
      <c r="C14" s="24">
        <f ca="1">ROUND(D14*E14*F11/10000,0)</f>
        <v>0</v>
      </c>
      <c r="D14" s="924">
        <f ca="1">IF(C1="",'数据-汇总表'!E3,INDIRECT("'数据-取费表'!K"&amp;$K$1)+INDIRECT("'数据-取费表'!S"&amp;$K$1))</f>
        <v>98312.17</v>
      </c>
      <c r="E14" s="24">
        <f>'数据-取费表'!B35</f>
        <v>200</v>
      </c>
      <c r="F14" s="882"/>
      <c r="G14" s="8" t="s">
        <v>2066</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2067</v>
      </c>
      <c r="C15" s="889">
        <f ca="1">ROUND(C11*F15,0)</f>
        <v>0</v>
      </c>
      <c r="D15" s="884"/>
      <c r="E15" s="889"/>
      <c r="F15" s="890">
        <f>'数据-取费表'!B36</f>
        <v>1.4999999999999999E-2</v>
      </c>
      <c r="G15" s="126" t="s">
        <v>2068</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2069</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2070</v>
      </c>
      <c r="C17" s="24">
        <f ca="1">ROUND(D17*E17/10000,0)</f>
        <v>0</v>
      </c>
      <c r="D17" s="924">
        <f ca="1">D14</f>
        <v>98312.17</v>
      </c>
      <c r="E17" s="24">
        <f>'数据-取费表'!B32</f>
        <v>0</v>
      </c>
      <c r="F17" s="884"/>
      <c r="G17" s="126" t="s">
        <v>2071</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2072</v>
      </c>
      <c r="C18" s="24">
        <f ca="1">C19+C20-IF(C1="",'数据-取费表'!B29,IF(G18="已全部缴纳",C19+C20,H18))</f>
        <v>0</v>
      </c>
      <c r="D18" s="924"/>
      <c r="E18" s="24"/>
      <c r="F18" s="882"/>
      <c r="G18" s="1986"/>
      <c r="H18" s="1289"/>
      <c r="I18" s="1987" t="s">
        <v>2073</v>
      </c>
      <c r="J18" s="885"/>
      <c r="K18" s="886"/>
    </row>
    <row r="19" spans="1:33" s="881" customFormat="1" ht="13.5" customHeight="1">
      <c r="A19" s="877" t="s">
        <v>624</v>
      </c>
      <c r="B19" s="878" t="s">
        <v>2074</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2075</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2076</v>
      </c>
      <c r="C21" s="892">
        <f ca="1">C16+C17+C18</f>
        <v>0</v>
      </c>
      <c r="D21" s="893"/>
      <c r="E21" s="277"/>
      <c r="F21" s="277"/>
      <c r="G21" s="126" t="s">
        <v>2077</v>
      </c>
      <c r="H21" s="885"/>
      <c r="I21" s="885"/>
      <c r="J21" s="885"/>
      <c r="K21" s="886"/>
    </row>
    <row r="22" spans="1:33" s="881" customFormat="1" ht="13.5" customHeight="1">
      <c r="A22" s="867" t="s">
        <v>2049</v>
      </c>
      <c r="B22" s="891" t="s">
        <v>2078</v>
      </c>
      <c r="C22" s="892">
        <f ca="1">ROUND(C21*F22,0)</f>
        <v>0</v>
      </c>
      <c r="D22" s="277"/>
      <c r="E22" s="277"/>
      <c r="F22" s="894">
        <f>'数据-取费表'!B37</f>
        <v>0.03</v>
      </c>
      <c r="G22" s="8" t="s">
        <v>2079</v>
      </c>
      <c r="H22" s="874"/>
      <c r="I22" s="874"/>
      <c r="J22" s="874"/>
      <c r="K22" s="875"/>
    </row>
    <row r="23" spans="1:33" s="881" customFormat="1" ht="13.5" customHeight="1">
      <c r="A23" s="867" t="s">
        <v>2051</v>
      </c>
      <c r="B23" s="891" t="s">
        <v>2080</v>
      </c>
      <c r="C23" s="892">
        <f ca="1">ROUND(C4*F23*F11,0)</f>
        <v>0</v>
      </c>
      <c r="D23" s="277"/>
      <c r="E23" s="277"/>
      <c r="F23" s="894">
        <f>'数据-取费表'!B38</f>
        <v>0.02</v>
      </c>
      <c r="G23" s="8" t="s">
        <v>2081</v>
      </c>
      <c r="H23" s="874"/>
      <c r="I23" s="874"/>
      <c r="J23" s="874"/>
      <c r="K23" s="875"/>
    </row>
    <row r="24" spans="1:33" s="881" customFormat="1" ht="13.5" customHeight="1">
      <c r="A24" s="867" t="s">
        <v>2082</v>
      </c>
      <c r="B24" s="891" t="s">
        <v>2083</v>
      </c>
      <c r="C24" s="276">
        <f>ROUND(F24/(1+'数据-取费表'!C42),4)</f>
        <v>2.9000000000000001E-2</v>
      </c>
      <c r="D24" s="277" t="s">
        <v>15</v>
      </c>
      <c r="E24" s="277"/>
      <c r="F24" s="894">
        <f>IF(项目基本情况!B8="出让",0,'数据-取费表'!B48+'数据-取费表'!B49)</f>
        <v>3.0499999999999999E-2</v>
      </c>
      <c r="G24" s="8" t="s">
        <v>2084</v>
      </c>
      <c r="H24" s="896"/>
      <c r="I24" s="896"/>
      <c r="J24" s="896"/>
      <c r="K24" s="897"/>
    </row>
    <row r="25" spans="1:33" s="881" customFormat="1" ht="13.5" customHeight="1">
      <c r="A25" s="867" t="s">
        <v>2085</v>
      </c>
      <c r="B25" s="893" t="s">
        <v>2086</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2087</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2088</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2089</v>
      </c>
      <c r="B28" s="1989" t="s">
        <v>2090</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2091</v>
      </c>
      <c r="C29" s="280">
        <f ca="1">ROUND((1+C24)*F28*'数据-取费表'!B24/'数据-取费表'!B20,4)</f>
        <v>0</v>
      </c>
      <c r="D29" s="280"/>
      <c r="E29" s="281"/>
      <c r="F29" s="286"/>
      <c r="G29" s="126" t="s">
        <v>2092</v>
      </c>
      <c r="H29" s="885"/>
      <c r="I29" s="885"/>
      <c r="J29" s="885"/>
      <c r="K29" s="886"/>
    </row>
    <row r="30" spans="1:33" s="287" customFormat="1" ht="13.5" customHeight="1">
      <c r="A30" s="877" t="s">
        <v>623</v>
      </c>
      <c r="B30" s="900" t="s">
        <v>2093</v>
      </c>
      <c r="C30" s="288">
        <f ca="1">ROUND((C21+C22+C23)*F28,0)</f>
        <v>0</v>
      </c>
      <c r="D30" s="280"/>
      <c r="E30" s="281"/>
      <c r="F30" s="286"/>
      <c r="G30" s="126"/>
      <c r="H30" s="885"/>
      <c r="I30" s="885"/>
      <c r="J30" s="885"/>
      <c r="K30" s="886"/>
    </row>
    <row r="31" spans="1:33" s="881" customFormat="1" ht="13.5" customHeight="1" thickBot="1">
      <c r="A31" s="1990" t="s">
        <v>2094</v>
      </c>
      <c r="B31" s="911" t="s">
        <v>2095</v>
      </c>
      <c r="C31" s="912">
        <f>ROUND(C4*F31/(1+'数据-取费表'!C42),0)</f>
        <v>0</v>
      </c>
      <c r="D31" s="913"/>
      <c r="E31" s="914"/>
      <c r="F31" s="915">
        <f>'数据-取费表'!B41</f>
        <v>5.6000000000000001E-2</v>
      </c>
      <c r="G31" s="916" t="s">
        <v>2096</v>
      </c>
      <c r="H31" s="917"/>
      <c r="I31" s="917"/>
      <c r="J31" s="917"/>
      <c r="K31" s="918"/>
    </row>
    <row r="32" spans="1:33" s="876" customFormat="1" ht="13.5" customHeight="1" thickBot="1">
      <c r="A32" s="906" t="s">
        <v>2097</v>
      </c>
      <c r="B32" s="907"/>
      <c r="C32" s="908">
        <f ca="1">ROUND((C4-C21-C22-C23-C25-C28-C31)/(1+C24+D25+D28),0)</f>
        <v>0</v>
      </c>
      <c r="D32" s="907"/>
      <c r="E32" s="907"/>
      <c r="F32" s="907"/>
      <c r="G32" s="909" t="s">
        <v>2098</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topLeftCell="A19" zoomScale="80" zoomScaleNormal="80" workbookViewId="0">
      <selection activeCell="E47" sqref="E47"/>
    </sheetView>
  </sheetViews>
  <sheetFormatPr defaultRowHeight="13.4" customHeight="1"/>
  <cols>
    <col min="1" max="1" width="9.453125" style="3005" customWidth="1"/>
    <col min="2" max="2" width="8.90625" style="3005"/>
    <col min="3" max="5" width="12.90625" style="3005" customWidth="1"/>
    <col min="6" max="6" width="47.453125" style="3005" customWidth="1"/>
    <col min="7" max="7" width="13" style="3158" customWidth="1"/>
    <col min="8" max="8" width="8.90625" style="2999"/>
    <col min="9" max="9" width="8.90625" style="3000"/>
    <col min="10" max="10" width="5.90625" style="3159" customWidth="1"/>
    <col min="11" max="11" width="11.90625" style="3159" customWidth="1"/>
    <col min="12" max="13" width="10.90625" style="3159" customWidth="1"/>
    <col min="14" max="14" width="10" style="3159" customWidth="1"/>
    <col min="15" max="16" width="10.453125" style="3159" bestFit="1" customWidth="1"/>
    <col min="17" max="17" width="10" style="3159" customWidth="1"/>
    <col min="18" max="18" width="10.08984375" style="3159" customWidth="1"/>
    <col min="19" max="19" width="10" style="3159" customWidth="1"/>
    <col min="20" max="20" width="26.08984375" style="3159" customWidth="1"/>
    <col min="21" max="21" width="8.90625" style="3159"/>
    <col min="22" max="22" width="8.90625" style="3000"/>
    <col min="23" max="256" width="8.90625" style="3005"/>
    <col min="257" max="257" width="9.453125" style="3005" customWidth="1"/>
    <col min="258" max="258" width="8.90625" style="3005"/>
    <col min="259" max="261" width="12.90625" style="3005" customWidth="1"/>
    <col min="262" max="262" width="47.453125" style="3005" customWidth="1"/>
    <col min="263" max="263" width="13" style="3005" customWidth="1"/>
    <col min="264" max="265" width="8.90625" style="3005"/>
    <col min="266" max="266" width="5.90625" style="3005" customWidth="1"/>
    <col min="267" max="267" width="11.90625" style="3005" customWidth="1"/>
    <col min="268" max="269" width="10.90625" style="3005" customWidth="1"/>
    <col min="270" max="270" width="10" style="3005" customWidth="1"/>
    <col min="271" max="272" width="10.453125" style="3005" bestFit="1" customWidth="1"/>
    <col min="273" max="273" width="10" style="3005" customWidth="1"/>
    <col min="274" max="274" width="10.08984375" style="3005" customWidth="1"/>
    <col min="275" max="275" width="10" style="3005" customWidth="1"/>
    <col min="276" max="276" width="26.08984375" style="3005" customWidth="1"/>
    <col min="277" max="512" width="8.90625" style="3005"/>
    <col min="513" max="513" width="9.453125" style="3005" customWidth="1"/>
    <col min="514" max="514" width="8.90625" style="3005"/>
    <col min="515" max="517" width="12.90625" style="3005" customWidth="1"/>
    <col min="518" max="518" width="47.453125" style="3005" customWidth="1"/>
    <col min="519" max="519" width="13" style="3005" customWidth="1"/>
    <col min="520" max="521" width="8.90625" style="3005"/>
    <col min="522" max="522" width="5.90625" style="3005" customWidth="1"/>
    <col min="523" max="523" width="11.90625" style="3005" customWidth="1"/>
    <col min="524" max="525" width="10.90625" style="3005" customWidth="1"/>
    <col min="526" max="526" width="10" style="3005" customWidth="1"/>
    <col min="527" max="528" width="10.453125" style="3005" bestFit="1" customWidth="1"/>
    <col min="529" max="529" width="10" style="3005" customWidth="1"/>
    <col min="530" max="530" width="10.08984375" style="3005" customWidth="1"/>
    <col min="531" max="531" width="10" style="3005" customWidth="1"/>
    <col min="532" max="532" width="26.08984375" style="3005" customWidth="1"/>
    <col min="533" max="768" width="8.90625" style="3005"/>
    <col min="769" max="769" width="9.453125" style="3005" customWidth="1"/>
    <col min="770" max="770" width="8.90625" style="3005"/>
    <col min="771" max="773" width="12.90625" style="3005" customWidth="1"/>
    <col min="774" max="774" width="47.453125" style="3005" customWidth="1"/>
    <col min="775" max="775" width="13" style="3005" customWidth="1"/>
    <col min="776" max="777" width="8.90625" style="3005"/>
    <col min="778" max="778" width="5.90625" style="3005" customWidth="1"/>
    <col min="779" max="779" width="11.90625" style="3005" customWidth="1"/>
    <col min="780" max="781" width="10.90625" style="3005" customWidth="1"/>
    <col min="782" max="782" width="10" style="3005" customWidth="1"/>
    <col min="783" max="784" width="10.453125" style="3005" bestFit="1" customWidth="1"/>
    <col min="785" max="785" width="10" style="3005" customWidth="1"/>
    <col min="786" max="786" width="10.08984375" style="3005" customWidth="1"/>
    <col min="787" max="787" width="10" style="3005" customWidth="1"/>
    <col min="788" max="788" width="26.08984375" style="3005" customWidth="1"/>
    <col min="789" max="1024" width="8.90625" style="3005"/>
    <col min="1025" max="1025" width="9.453125" style="3005" customWidth="1"/>
    <col min="1026" max="1026" width="8.90625" style="3005"/>
    <col min="1027" max="1029" width="12.90625" style="3005" customWidth="1"/>
    <col min="1030" max="1030" width="47.453125" style="3005" customWidth="1"/>
    <col min="1031" max="1031" width="13" style="3005" customWidth="1"/>
    <col min="1032" max="1033" width="8.90625" style="3005"/>
    <col min="1034" max="1034" width="5.90625" style="3005" customWidth="1"/>
    <col min="1035" max="1035" width="11.90625" style="3005" customWidth="1"/>
    <col min="1036" max="1037" width="10.90625" style="3005" customWidth="1"/>
    <col min="1038" max="1038" width="10" style="3005" customWidth="1"/>
    <col min="1039" max="1040" width="10.453125" style="3005" bestFit="1" customWidth="1"/>
    <col min="1041" max="1041" width="10" style="3005" customWidth="1"/>
    <col min="1042" max="1042" width="10.08984375" style="3005" customWidth="1"/>
    <col min="1043" max="1043" width="10" style="3005" customWidth="1"/>
    <col min="1044" max="1044" width="26.08984375" style="3005" customWidth="1"/>
    <col min="1045" max="1280" width="8.90625" style="3005"/>
    <col min="1281" max="1281" width="9.453125" style="3005" customWidth="1"/>
    <col min="1282" max="1282" width="8.90625" style="3005"/>
    <col min="1283" max="1285" width="12.90625" style="3005" customWidth="1"/>
    <col min="1286" max="1286" width="47.453125" style="3005" customWidth="1"/>
    <col min="1287" max="1287" width="13" style="3005" customWidth="1"/>
    <col min="1288" max="1289" width="8.90625" style="3005"/>
    <col min="1290" max="1290" width="5.90625" style="3005" customWidth="1"/>
    <col min="1291" max="1291" width="11.90625" style="3005" customWidth="1"/>
    <col min="1292" max="1293" width="10.90625" style="3005" customWidth="1"/>
    <col min="1294" max="1294" width="10" style="3005" customWidth="1"/>
    <col min="1295" max="1296" width="10.453125" style="3005" bestFit="1" customWidth="1"/>
    <col min="1297" max="1297" width="10" style="3005" customWidth="1"/>
    <col min="1298" max="1298" width="10.08984375" style="3005" customWidth="1"/>
    <col min="1299" max="1299" width="10" style="3005" customWidth="1"/>
    <col min="1300" max="1300" width="26.08984375" style="3005" customWidth="1"/>
    <col min="1301" max="1536" width="8.90625" style="3005"/>
    <col min="1537" max="1537" width="9.453125" style="3005" customWidth="1"/>
    <col min="1538" max="1538" width="8.90625" style="3005"/>
    <col min="1539" max="1541" width="12.90625" style="3005" customWidth="1"/>
    <col min="1542" max="1542" width="47.453125" style="3005" customWidth="1"/>
    <col min="1543" max="1543" width="13" style="3005" customWidth="1"/>
    <col min="1544" max="1545" width="8.90625" style="3005"/>
    <col min="1546" max="1546" width="5.90625" style="3005" customWidth="1"/>
    <col min="1547" max="1547" width="11.90625" style="3005" customWidth="1"/>
    <col min="1548" max="1549" width="10.90625" style="3005" customWidth="1"/>
    <col min="1550" max="1550" width="10" style="3005" customWidth="1"/>
    <col min="1551" max="1552" width="10.453125" style="3005" bestFit="1" customWidth="1"/>
    <col min="1553" max="1553" width="10" style="3005" customWidth="1"/>
    <col min="1554" max="1554" width="10.08984375" style="3005" customWidth="1"/>
    <col min="1555" max="1555" width="10" style="3005" customWidth="1"/>
    <col min="1556" max="1556" width="26.08984375" style="3005" customWidth="1"/>
    <col min="1557" max="1792" width="8.90625" style="3005"/>
    <col min="1793" max="1793" width="9.453125" style="3005" customWidth="1"/>
    <col min="1794" max="1794" width="8.90625" style="3005"/>
    <col min="1795" max="1797" width="12.90625" style="3005" customWidth="1"/>
    <col min="1798" max="1798" width="47.453125" style="3005" customWidth="1"/>
    <col min="1799" max="1799" width="13" style="3005" customWidth="1"/>
    <col min="1800" max="1801" width="8.90625" style="3005"/>
    <col min="1802" max="1802" width="5.90625" style="3005" customWidth="1"/>
    <col min="1803" max="1803" width="11.90625" style="3005" customWidth="1"/>
    <col min="1804" max="1805" width="10.90625" style="3005" customWidth="1"/>
    <col min="1806" max="1806" width="10" style="3005" customWidth="1"/>
    <col min="1807" max="1808" width="10.453125" style="3005" bestFit="1" customWidth="1"/>
    <col min="1809" max="1809" width="10" style="3005" customWidth="1"/>
    <col min="1810" max="1810" width="10.08984375" style="3005" customWidth="1"/>
    <col min="1811" max="1811" width="10" style="3005" customWidth="1"/>
    <col min="1812" max="1812" width="26.08984375" style="3005" customWidth="1"/>
    <col min="1813" max="2048" width="8.90625" style="3005"/>
    <col min="2049" max="2049" width="9.453125" style="3005" customWidth="1"/>
    <col min="2050" max="2050" width="8.90625" style="3005"/>
    <col min="2051" max="2053" width="12.90625" style="3005" customWidth="1"/>
    <col min="2054" max="2054" width="47.453125" style="3005" customWidth="1"/>
    <col min="2055" max="2055" width="13" style="3005" customWidth="1"/>
    <col min="2056" max="2057" width="8.90625" style="3005"/>
    <col min="2058" max="2058" width="5.90625" style="3005" customWidth="1"/>
    <col min="2059" max="2059" width="11.90625" style="3005" customWidth="1"/>
    <col min="2060" max="2061" width="10.90625" style="3005" customWidth="1"/>
    <col min="2062" max="2062" width="10" style="3005" customWidth="1"/>
    <col min="2063" max="2064" width="10.453125" style="3005" bestFit="1" customWidth="1"/>
    <col min="2065" max="2065" width="10" style="3005" customWidth="1"/>
    <col min="2066" max="2066" width="10.08984375" style="3005" customWidth="1"/>
    <col min="2067" max="2067" width="10" style="3005" customWidth="1"/>
    <col min="2068" max="2068" width="26.08984375" style="3005" customWidth="1"/>
    <col min="2069" max="2304" width="8.90625" style="3005"/>
    <col min="2305" max="2305" width="9.453125" style="3005" customWidth="1"/>
    <col min="2306" max="2306" width="8.90625" style="3005"/>
    <col min="2307" max="2309" width="12.90625" style="3005" customWidth="1"/>
    <col min="2310" max="2310" width="47.453125" style="3005" customWidth="1"/>
    <col min="2311" max="2311" width="13" style="3005" customWidth="1"/>
    <col min="2312" max="2313" width="8.90625" style="3005"/>
    <col min="2314" max="2314" width="5.90625" style="3005" customWidth="1"/>
    <col min="2315" max="2315" width="11.90625" style="3005" customWidth="1"/>
    <col min="2316" max="2317" width="10.90625" style="3005" customWidth="1"/>
    <col min="2318" max="2318" width="10" style="3005" customWidth="1"/>
    <col min="2319" max="2320" width="10.453125" style="3005" bestFit="1" customWidth="1"/>
    <col min="2321" max="2321" width="10" style="3005" customWidth="1"/>
    <col min="2322" max="2322" width="10.08984375" style="3005" customWidth="1"/>
    <col min="2323" max="2323" width="10" style="3005" customWidth="1"/>
    <col min="2324" max="2324" width="26.08984375" style="3005" customWidth="1"/>
    <col min="2325" max="2560" width="8.90625" style="3005"/>
    <col min="2561" max="2561" width="9.453125" style="3005" customWidth="1"/>
    <col min="2562" max="2562" width="8.90625" style="3005"/>
    <col min="2563" max="2565" width="12.90625" style="3005" customWidth="1"/>
    <col min="2566" max="2566" width="47.453125" style="3005" customWidth="1"/>
    <col min="2567" max="2567" width="13" style="3005" customWidth="1"/>
    <col min="2568" max="2569" width="8.90625" style="3005"/>
    <col min="2570" max="2570" width="5.90625" style="3005" customWidth="1"/>
    <col min="2571" max="2571" width="11.90625" style="3005" customWidth="1"/>
    <col min="2572" max="2573" width="10.90625" style="3005" customWidth="1"/>
    <col min="2574" max="2574" width="10" style="3005" customWidth="1"/>
    <col min="2575" max="2576" width="10.453125" style="3005" bestFit="1" customWidth="1"/>
    <col min="2577" max="2577" width="10" style="3005" customWidth="1"/>
    <col min="2578" max="2578" width="10.08984375" style="3005" customWidth="1"/>
    <col min="2579" max="2579" width="10" style="3005" customWidth="1"/>
    <col min="2580" max="2580" width="26.08984375" style="3005" customWidth="1"/>
    <col min="2581" max="2816" width="8.90625" style="3005"/>
    <col min="2817" max="2817" width="9.453125" style="3005" customWidth="1"/>
    <col min="2818" max="2818" width="8.90625" style="3005"/>
    <col min="2819" max="2821" width="12.90625" style="3005" customWidth="1"/>
    <col min="2822" max="2822" width="47.453125" style="3005" customWidth="1"/>
    <col min="2823" max="2823" width="13" style="3005" customWidth="1"/>
    <col min="2824" max="2825" width="8.90625" style="3005"/>
    <col min="2826" max="2826" width="5.90625" style="3005" customWidth="1"/>
    <col min="2827" max="2827" width="11.90625" style="3005" customWidth="1"/>
    <col min="2828" max="2829" width="10.90625" style="3005" customWidth="1"/>
    <col min="2830" max="2830" width="10" style="3005" customWidth="1"/>
    <col min="2831" max="2832" width="10.453125" style="3005" bestFit="1" customWidth="1"/>
    <col min="2833" max="2833" width="10" style="3005" customWidth="1"/>
    <col min="2834" max="2834" width="10.08984375" style="3005" customWidth="1"/>
    <col min="2835" max="2835" width="10" style="3005" customWidth="1"/>
    <col min="2836" max="2836" width="26.08984375" style="3005" customWidth="1"/>
    <col min="2837" max="3072" width="8.90625" style="3005"/>
    <col min="3073" max="3073" width="9.453125" style="3005" customWidth="1"/>
    <col min="3074" max="3074" width="8.90625" style="3005"/>
    <col min="3075" max="3077" width="12.90625" style="3005" customWidth="1"/>
    <col min="3078" max="3078" width="47.453125" style="3005" customWidth="1"/>
    <col min="3079" max="3079" width="13" style="3005" customWidth="1"/>
    <col min="3080" max="3081" width="8.90625" style="3005"/>
    <col min="3082" max="3082" width="5.90625" style="3005" customWidth="1"/>
    <col min="3083" max="3083" width="11.90625" style="3005" customWidth="1"/>
    <col min="3084" max="3085" width="10.90625" style="3005" customWidth="1"/>
    <col min="3086" max="3086" width="10" style="3005" customWidth="1"/>
    <col min="3087" max="3088" width="10.453125" style="3005" bestFit="1" customWidth="1"/>
    <col min="3089" max="3089" width="10" style="3005" customWidth="1"/>
    <col min="3090" max="3090" width="10.08984375" style="3005" customWidth="1"/>
    <col min="3091" max="3091" width="10" style="3005" customWidth="1"/>
    <col min="3092" max="3092" width="26.08984375" style="3005" customWidth="1"/>
    <col min="3093" max="3328" width="8.90625" style="3005"/>
    <col min="3329" max="3329" width="9.453125" style="3005" customWidth="1"/>
    <col min="3330" max="3330" width="8.90625" style="3005"/>
    <col min="3331" max="3333" width="12.90625" style="3005" customWidth="1"/>
    <col min="3334" max="3334" width="47.453125" style="3005" customWidth="1"/>
    <col min="3335" max="3335" width="13" style="3005" customWidth="1"/>
    <col min="3336" max="3337" width="8.90625" style="3005"/>
    <col min="3338" max="3338" width="5.90625" style="3005" customWidth="1"/>
    <col min="3339" max="3339" width="11.90625" style="3005" customWidth="1"/>
    <col min="3340" max="3341" width="10.90625" style="3005" customWidth="1"/>
    <col min="3342" max="3342" width="10" style="3005" customWidth="1"/>
    <col min="3343" max="3344" width="10.453125" style="3005" bestFit="1" customWidth="1"/>
    <col min="3345" max="3345" width="10" style="3005" customWidth="1"/>
    <col min="3346" max="3346" width="10.08984375" style="3005" customWidth="1"/>
    <col min="3347" max="3347" width="10" style="3005" customWidth="1"/>
    <col min="3348" max="3348" width="26.08984375" style="3005" customWidth="1"/>
    <col min="3349" max="3584" width="8.90625" style="3005"/>
    <col min="3585" max="3585" width="9.453125" style="3005" customWidth="1"/>
    <col min="3586" max="3586" width="8.90625" style="3005"/>
    <col min="3587" max="3589" width="12.90625" style="3005" customWidth="1"/>
    <col min="3590" max="3590" width="47.453125" style="3005" customWidth="1"/>
    <col min="3591" max="3591" width="13" style="3005" customWidth="1"/>
    <col min="3592" max="3593" width="8.90625" style="3005"/>
    <col min="3594" max="3594" width="5.90625" style="3005" customWidth="1"/>
    <col min="3595" max="3595" width="11.90625" style="3005" customWidth="1"/>
    <col min="3596" max="3597" width="10.90625" style="3005" customWidth="1"/>
    <col min="3598" max="3598" width="10" style="3005" customWidth="1"/>
    <col min="3599" max="3600" width="10.453125" style="3005" bestFit="1" customWidth="1"/>
    <col min="3601" max="3601" width="10" style="3005" customWidth="1"/>
    <col min="3602" max="3602" width="10.08984375" style="3005" customWidth="1"/>
    <col min="3603" max="3603" width="10" style="3005" customWidth="1"/>
    <col min="3604" max="3604" width="26.08984375" style="3005" customWidth="1"/>
    <col min="3605" max="3840" width="8.90625" style="3005"/>
    <col min="3841" max="3841" width="9.453125" style="3005" customWidth="1"/>
    <col min="3842" max="3842" width="8.90625" style="3005"/>
    <col min="3843" max="3845" width="12.90625" style="3005" customWidth="1"/>
    <col min="3846" max="3846" width="47.453125" style="3005" customWidth="1"/>
    <col min="3847" max="3847" width="13" style="3005" customWidth="1"/>
    <col min="3848" max="3849" width="8.90625" style="3005"/>
    <col min="3850" max="3850" width="5.90625" style="3005" customWidth="1"/>
    <col min="3851" max="3851" width="11.90625" style="3005" customWidth="1"/>
    <col min="3852" max="3853" width="10.90625" style="3005" customWidth="1"/>
    <col min="3854" max="3854" width="10" style="3005" customWidth="1"/>
    <col min="3855" max="3856" width="10.453125" style="3005" bestFit="1" customWidth="1"/>
    <col min="3857" max="3857" width="10" style="3005" customWidth="1"/>
    <col min="3858" max="3858" width="10.08984375" style="3005" customWidth="1"/>
    <col min="3859" max="3859" width="10" style="3005" customWidth="1"/>
    <col min="3860" max="3860" width="26.08984375" style="3005" customWidth="1"/>
    <col min="3861" max="4096" width="8.90625" style="3005"/>
    <col min="4097" max="4097" width="9.453125" style="3005" customWidth="1"/>
    <col min="4098" max="4098" width="8.90625" style="3005"/>
    <col min="4099" max="4101" width="12.90625" style="3005" customWidth="1"/>
    <col min="4102" max="4102" width="47.453125" style="3005" customWidth="1"/>
    <col min="4103" max="4103" width="13" style="3005" customWidth="1"/>
    <col min="4104" max="4105" width="8.90625" style="3005"/>
    <col min="4106" max="4106" width="5.90625" style="3005" customWidth="1"/>
    <col min="4107" max="4107" width="11.90625" style="3005" customWidth="1"/>
    <col min="4108" max="4109" width="10.90625" style="3005" customWidth="1"/>
    <col min="4110" max="4110" width="10" style="3005" customWidth="1"/>
    <col min="4111" max="4112" width="10.453125" style="3005" bestFit="1" customWidth="1"/>
    <col min="4113" max="4113" width="10" style="3005" customWidth="1"/>
    <col min="4114" max="4114" width="10.08984375" style="3005" customWidth="1"/>
    <col min="4115" max="4115" width="10" style="3005" customWidth="1"/>
    <col min="4116" max="4116" width="26.08984375" style="3005" customWidth="1"/>
    <col min="4117" max="4352" width="8.90625" style="3005"/>
    <col min="4353" max="4353" width="9.453125" style="3005" customWidth="1"/>
    <col min="4354" max="4354" width="8.90625" style="3005"/>
    <col min="4355" max="4357" width="12.90625" style="3005" customWidth="1"/>
    <col min="4358" max="4358" width="47.453125" style="3005" customWidth="1"/>
    <col min="4359" max="4359" width="13" style="3005" customWidth="1"/>
    <col min="4360" max="4361" width="8.90625" style="3005"/>
    <col min="4362" max="4362" width="5.90625" style="3005" customWidth="1"/>
    <col min="4363" max="4363" width="11.90625" style="3005" customWidth="1"/>
    <col min="4364" max="4365" width="10.90625" style="3005" customWidth="1"/>
    <col min="4366" max="4366" width="10" style="3005" customWidth="1"/>
    <col min="4367" max="4368" width="10.453125" style="3005" bestFit="1" customWidth="1"/>
    <col min="4369" max="4369" width="10" style="3005" customWidth="1"/>
    <col min="4370" max="4370" width="10.08984375" style="3005" customWidth="1"/>
    <col min="4371" max="4371" width="10" style="3005" customWidth="1"/>
    <col min="4372" max="4372" width="26.08984375" style="3005" customWidth="1"/>
    <col min="4373" max="4608" width="8.90625" style="3005"/>
    <col min="4609" max="4609" width="9.453125" style="3005" customWidth="1"/>
    <col min="4610" max="4610" width="8.90625" style="3005"/>
    <col min="4611" max="4613" width="12.90625" style="3005" customWidth="1"/>
    <col min="4614" max="4614" width="47.453125" style="3005" customWidth="1"/>
    <col min="4615" max="4615" width="13" style="3005" customWidth="1"/>
    <col min="4616" max="4617" width="8.90625" style="3005"/>
    <col min="4618" max="4618" width="5.90625" style="3005" customWidth="1"/>
    <col min="4619" max="4619" width="11.90625" style="3005" customWidth="1"/>
    <col min="4620" max="4621" width="10.90625" style="3005" customWidth="1"/>
    <col min="4622" max="4622" width="10" style="3005" customWidth="1"/>
    <col min="4623" max="4624" width="10.453125" style="3005" bestFit="1" customWidth="1"/>
    <col min="4625" max="4625" width="10" style="3005" customWidth="1"/>
    <col min="4626" max="4626" width="10.08984375" style="3005" customWidth="1"/>
    <col min="4627" max="4627" width="10" style="3005" customWidth="1"/>
    <col min="4628" max="4628" width="26.08984375" style="3005" customWidth="1"/>
    <col min="4629" max="4864" width="8.90625" style="3005"/>
    <col min="4865" max="4865" width="9.453125" style="3005" customWidth="1"/>
    <col min="4866" max="4866" width="8.90625" style="3005"/>
    <col min="4867" max="4869" width="12.90625" style="3005" customWidth="1"/>
    <col min="4870" max="4870" width="47.453125" style="3005" customWidth="1"/>
    <col min="4871" max="4871" width="13" style="3005" customWidth="1"/>
    <col min="4872" max="4873" width="8.90625" style="3005"/>
    <col min="4874" max="4874" width="5.90625" style="3005" customWidth="1"/>
    <col min="4875" max="4875" width="11.90625" style="3005" customWidth="1"/>
    <col min="4876" max="4877" width="10.90625" style="3005" customWidth="1"/>
    <col min="4878" max="4878" width="10" style="3005" customWidth="1"/>
    <col min="4879" max="4880" width="10.453125" style="3005" bestFit="1" customWidth="1"/>
    <col min="4881" max="4881" width="10" style="3005" customWidth="1"/>
    <col min="4882" max="4882" width="10.08984375" style="3005" customWidth="1"/>
    <col min="4883" max="4883" width="10" style="3005" customWidth="1"/>
    <col min="4884" max="4884" width="26.08984375" style="3005" customWidth="1"/>
    <col min="4885" max="5120" width="8.90625" style="3005"/>
    <col min="5121" max="5121" width="9.453125" style="3005" customWidth="1"/>
    <col min="5122" max="5122" width="8.90625" style="3005"/>
    <col min="5123" max="5125" width="12.90625" style="3005" customWidth="1"/>
    <col min="5126" max="5126" width="47.453125" style="3005" customWidth="1"/>
    <col min="5127" max="5127" width="13" style="3005" customWidth="1"/>
    <col min="5128" max="5129" width="8.90625" style="3005"/>
    <col min="5130" max="5130" width="5.90625" style="3005" customWidth="1"/>
    <col min="5131" max="5131" width="11.90625" style="3005" customWidth="1"/>
    <col min="5132" max="5133" width="10.90625" style="3005" customWidth="1"/>
    <col min="5134" max="5134" width="10" style="3005" customWidth="1"/>
    <col min="5135" max="5136" width="10.453125" style="3005" bestFit="1" customWidth="1"/>
    <col min="5137" max="5137" width="10" style="3005" customWidth="1"/>
    <col min="5138" max="5138" width="10.08984375" style="3005" customWidth="1"/>
    <col min="5139" max="5139" width="10" style="3005" customWidth="1"/>
    <col min="5140" max="5140" width="26.08984375" style="3005" customWidth="1"/>
    <col min="5141" max="5376" width="8.90625" style="3005"/>
    <col min="5377" max="5377" width="9.453125" style="3005" customWidth="1"/>
    <col min="5378" max="5378" width="8.90625" style="3005"/>
    <col min="5379" max="5381" width="12.90625" style="3005" customWidth="1"/>
    <col min="5382" max="5382" width="47.453125" style="3005" customWidth="1"/>
    <col min="5383" max="5383" width="13" style="3005" customWidth="1"/>
    <col min="5384" max="5385" width="8.90625" style="3005"/>
    <col min="5386" max="5386" width="5.90625" style="3005" customWidth="1"/>
    <col min="5387" max="5387" width="11.90625" style="3005" customWidth="1"/>
    <col min="5388" max="5389" width="10.90625" style="3005" customWidth="1"/>
    <col min="5390" max="5390" width="10" style="3005" customWidth="1"/>
    <col min="5391" max="5392" width="10.453125" style="3005" bestFit="1" customWidth="1"/>
    <col min="5393" max="5393" width="10" style="3005" customWidth="1"/>
    <col min="5394" max="5394" width="10.08984375" style="3005" customWidth="1"/>
    <col min="5395" max="5395" width="10" style="3005" customWidth="1"/>
    <col min="5396" max="5396" width="26.08984375" style="3005" customWidth="1"/>
    <col min="5397" max="5632" width="8.90625" style="3005"/>
    <col min="5633" max="5633" width="9.453125" style="3005" customWidth="1"/>
    <col min="5634" max="5634" width="8.90625" style="3005"/>
    <col min="5635" max="5637" width="12.90625" style="3005" customWidth="1"/>
    <col min="5638" max="5638" width="47.453125" style="3005" customWidth="1"/>
    <col min="5639" max="5639" width="13" style="3005" customWidth="1"/>
    <col min="5640" max="5641" width="8.90625" style="3005"/>
    <col min="5642" max="5642" width="5.90625" style="3005" customWidth="1"/>
    <col min="5643" max="5643" width="11.90625" style="3005" customWidth="1"/>
    <col min="5644" max="5645" width="10.90625" style="3005" customWidth="1"/>
    <col min="5646" max="5646" width="10" style="3005" customWidth="1"/>
    <col min="5647" max="5648" width="10.453125" style="3005" bestFit="1" customWidth="1"/>
    <col min="5649" max="5649" width="10" style="3005" customWidth="1"/>
    <col min="5650" max="5650" width="10.08984375" style="3005" customWidth="1"/>
    <col min="5651" max="5651" width="10" style="3005" customWidth="1"/>
    <col min="5652" max="5652" width="26.08984375" style="3005" customWidth="1"/>
    <col min="5653" max="5888" width="8.90625" style="3005"/>
    <col min="5889" max="5889" width="9.453125" style="3005" customWidth="1"/>
    <col min="5890" max="5890" width="8.90625" style="3005"/>
    <col min="5891" max="5893" width="12.90625" style="3005" customWidth="1"/>
    <col min="5894" max="5894" width="47.453125" style="3005" customWidth="1"/>
    <col min="5895" max="5895" width="13" style="3005" customWidth="1"/>
    <col min="5896" max="5897" width="8.90625" style="3005"/>
    <col min="5898" max="5898" width="5.90625" style="3005" customWidth="1"/>
    <col min="5899" max="5899" width="11.90625" style="3005" customWidth="1"/>
    <col min="5900" max="5901" width="10.90625" style="3005" customWidth="1"/>
    <col min="5902" max="5902" width="10" style="3005" customWidth="1"/>
    <col min="5903" max="5904" width="10.453125" style="3005" bestFit="1" customWidth="1"/>
    <col min="5905" max="5905" width="10" style="3005" customWidth="1"/>
    <col min="5906" max="5906" width="10.08984375" style="3005" customWidth="1"/>
    <col min="5907" max="5907" width="10" style="3005" customWidth="1"/>
    <col min="5908" max="5908" width="26.08984375" style="3005" customWidth="1"/>
    <col min="5909" max="6144" width="8.90625" style="3005"/>
    <col min="6145" max="6145" width="9.453125" style="3005" customWidth="1"/>
    <col min="6146" max="6146" width="8.90625" style="3005"/>
    <col min="6147" max="6149" width="12.90625" style="3005" customWidth="1"/>
    <col min="6150" max="6150" width="47.453125" style="3005" customWidth="1"/>
    <col min="6151" max="6151" width="13" style="3005" customWidth="1"/>
    <col min="6152" max="6153" width="8.90625" style="3005"/>
    <col min="6154" max="6154" width="5.90625" style="3005" customWidth="1"/>
    <col min="6155" max="6155" width="11.90625" style="3005" customWidth="1"/>
    <col min="6156" max="6157" width="10.90625" style="3005" customWidth="1"/>
    <col min="6158" max="6158" width="10" style="3005" customWidth="1"/>
    <col min="6159" max="6160" width="10.453125" style="3005" bestFit="1" customWidth="1"/>
    <col min="6161" max="6161" width="10" style="3005" customWidth="1"/>
    <col min="6162" max="6162" width="10.08984375" style="3005" customWidth="1"/>
    <col min="6163" max="6163" width="10" style="3005" customWidth="1"/>
    <col min="6164" max="6164" width="26.08984375" style="3005" customWidth="1"/>
    <col min="6165" max="6400" width="8.90625" style="3005"/>
    <col min="6401" max="6401" width="9.453125" style="3005" customWidth="1"/>
    <col min="6402" max="6402" width="8.90625" style="3005"/>
    <col min="6403" max="6405" width="12.90625" style="3005" customWidth="1"/>
    <col min="6406" max="6406" width="47.453125" style="3005" customWidth="1"/>
    <col min="6407" max="6407" width="13" style="3005" customWidth="1"/>
    <col min="6408" max="6409" width="8.90625" style="3005"/>
    <col min="6410" max="6410" width="5.90625" style="3005" customWidth="1"/>
    <col min="6411" max="6411" width="11.90625" style="3005" customWidth="1"/>
    <col min="6412" max="6413" width="10.90625" style="3005" customWidth="1"/>
    <col min="6414" max="6414" width="10" style="3005" customWidth="1"/>
    <col min="6415" max="6416" width="10.453125" style="3005" bestFit="1" customWidth="1"/>
    <col min="6417" max="6417" width="10" style="3005" customWidth="1"/>
    <col min="6418" max="6418" width="10.08984375" style="3005" customWidth="1"/>
    <col min="6419" max="6419" width="10" style="3005" customWidth="1"/>
    <col min="6420" max="6420" width="26.08984375" style="3005" customWidth="1"/>
    <col min="6421" max="6656" width="8.90625" style="3005"/>
    <col min="6657" max="6657" width="9.453125" style="3005" customWidth="1"/>
    <col min="6658" max="6658" width="8.90625" style="3005"/>
    <col min="6659" max="6661" width="12.90625" style="3005" customWidth="1"/>
    <col min="6662" max="6662" width="47.453125" style="3005" customWidth="1"/>
    <col min="6663" max="6663" width="13" style="3005" customWidth="1"/>
    <col min="6664" max="6665" width="8.90625" style="3005"/>
    <col min="6666" max="6666" width="5.90625" style="3005" customWidth="1"/>
    <col min="6667" max="6667" width="11.90625" style="3005" customWidth="1"/>
    <col min="6668" max="6669" width="10.90625" style="3005" customWidth="1"/>
    <col min="6670" max="6670" width="10" style="3005" customWidth="1"/>
    <col min="6671" max="6672" width="10.453125" style="3005" bestFit="1" customWidth="1"/>
    <col min="6673" max="6673" width="10" style="3005" customWidth="1"/>
    <col min="6674" max="6674" width="10.08984375" style="3005" customWidth="1"/>
    <col min="6675" max="6675" width="10" style="3005" customWidth="1"/>
    <col min="6676" max="6676" width="26.08984375" style="3005" customWidth="1"/>
    <col min="6677" max="6912" width="8.90625" style="3005"/>
    <col min="6913" max="6913" width="9.453125" style="3005" customWidth="1"/>
    <col min="6914" max="6914" width="8.90625" style="3005"/>
    <col min="6915" max="6917" width="12.90625" style="3005" customWidth="1"/>
    <col min="6918" max="6918" width="47.453125" style="3005" customWidth="1"/>
    <col min="6919" max="6919" width="13" style="3005" customWidth="1"/>
    <col min="6920" max="6921" width="8.90625" style="3005"/>
    <col min="6922" max="6922" width="5.90625" style="3005" customWidth="1"/>
    <col min="6923" max="6923" width="11.90625" style="3005" customWidth="1"/>
    <col min="6924" max="6925" width="10.90625" style="3005" customWidth="1"/>
    <col min="6926" max="6926" width="10" style="3005" customWidth="1"/>
    <col min="6927" max="6928" width="10.453125" style="3005" bestFit="1" customWidth="1"/>
    <col min="6929" max="6929" width="10" style="3005" customWidth="1"/>
    <col min="6930" max="6930" width="10.08984375" style="3005" customWidth="1"/>
    <col min="6931" max="6931" width="10" style="3005" customWidth="1"/>
    <col min="6932" max="6932" width="26.08984375" style="3005" customWidth="1"/>
    <col min="6933" max="7168" width="8.90625" style="3005"/>
    <col min="7169" max="7169" width="9.453125" style="3005" customWidth="1"/>
    <col min="7170" max="7170" width="8.90625" style="3005"/>
    <col min="7171" max="7173" width="12.90625" style="3005" customWidth="1"/>
    <col min="7174" max="7174" width="47.453125" style="3005" customWidth="1"/>
    <col min="7175" max="7175" width="13" style="3005" customWidth="1"/>
    <col min="7176" max="7177" width="8.90625" style="3005"/>
    <col min="7178" max="7178" width="5.90625" style="3005" customWidth="1"/>
    <col min="7179" max="7179" width="11.90625" style="3005" customWidth="1"/>
    <col min="7180" max="7181" width="10.90625" style="3005" customWidth="1"/>
    <col min="7182" max="7182" width="10" style="3005" customWidth="1"/>
    <col min="7183" max="7184" width="10.453125" style="3005" bestFit="1" customWidth="1"/>
    <col min="7185" max="7185" width="10" style="3005" customWidth="1"/>
    <col min="7186" max="7186" width="10.08984375" style="3005" customWidth="1"/>
    <col min="7187" max="7187" width="10" style="3005" customWidth="1"/>
    <col min="7188" max="7188" width="26.08984375" style="3005" customWidth="1"/>
    <col min="7189" max="7424" width="8.90625" style="3005"/>
    <col min="7425" max="7425" width="9.453125" style="3005" customWidth="1"/>
    <col min="7426" max="7426" width="8.90625" style="3005"/>
    <col min="7427" max="7429" width="12.90625" style="3005" customWidth="1"/>
    <col min="7430" max="7430" width="47.453125" style="3005" customWidth="1"/>
    <col min="7431" max="7431" width="13" style="3005" customWidth="1"/>
    <col min="7432" max="7433" width="8.90625" style="3005"/>
    <col min="7434" max="7434" width="5.90625" style="3005" customWidth="1"/>
    <col min="7435" max="7435" width="11.90625" style="3005" customWidth="1"/>
    <col min="7436" max="7437" width="10.90625" style="3005" customWidth="1"/>
    <col min="7438" max="7438" width="10" style="3005" customWidth="1"/>
    <col min="7439" max="7440" width="10.453125" style="3005" bestFit="1" customWidth="1"/>
    <col min="7441" max="7441" width="10" style="3005" customWidth="1"/>
    <col min="7442" max="7442" width="10.08984375" style="3005" customWidth="1"/>
    <col min="7443" max="7443" width="10" style="3005" customWidth="1"/>
    <col min="7444" max="7444" width="26.08984375" style="3005" customWidth="1"/>
    <col min="7445" max="7680" width="8.90625" style="3005"/>
    <col min="7681" max="7681" width="9.453125" style="3005" customWidth="1"/>
    <col min="7682" max="7682" width="8.90625" style="3005"/>
    <col min="7683" max="7685" width="12.90625" style="3005" customWidth="1"/>
    <col min="7686" max="7686" width="47.453125" style="3005" customWidth="1"/>
    <col min="7687" max="7687" width="13" style="3005" customWidth="1"/>
    <col min="7688" max="7689" width="8.90625" style="3005"/>
    <col min="7690" max="7690" width="5.90625" style="3005" customWidth="1"/>
    <col min="7691" max="7691" width="11.90625" style="3005" customWidth="1"/>
    <col min="7692" max="7693" width="10.90625" style="3005" customWidth="1"/>
    <col min="7694" max="7694" width="10" style="3005" customWidth="1"/>
    <col min="7695" max="7696" width="10.453125" style="3005" bestFit="1" customWidth="1"/>
    <col min="7697" max="7697" width="10" style="3005" customWidth="1"/>
    <col min="7698" max="7698" width="10.08984375" style="3005" customWidth="1"/>
    <col min="7699" max="7699" width="10" style="3005" customWidth="1"/>
    <col min="7700" max="7700" width="26.08984375" style="3005" customWidth="1"/>
    <col min="7701" max="7936" width="8.90625" style="3005"/>
    <col min="7937" max="7937" width="9.453125" style="3005" customWidth="1"/>
    <col min="7938" max="7938" width="8.90625" style="3005"/>
    <col min="7939" max="7941" width="12.90625" style="3005" customWidth="1"/>
    <col min="7942" max="7942" width="47.453125" style="3005" customWidth="1"/>
    <col min="7943" max="7943" width="13" style="3005" customWidth="1"/>
    <col min="7944" max="7945" width="8.90625" style="3005"/>
    <col min="7946" max="7946" width="5.90625" style="3005" customWidth="1"/>
    <col min="7947" max="7947" width="11.90625" style="3005" customWidth="1"/>
    <col min="7948" max="7949" width="10.90625" style="3005" customWidth="1"/>
    <col min="7950" max="7950" width="10" style="3005" customWidth="1"/>
    <col min="7951" max="7952" width="10.453125" style="3005" bestFit="1" customWidth="1"/>
    <col min="7953" max="7953" width="10" style="3005" customWidth="1"/>
    <col min="7954" max="7954" width="10.08984375" style="3005" customWidth="1"/>
    <col min="7955" max="7955" width="10" style="3005" customWidth="1"/>
    <col min="7956" max="7956" width="26.08984375" style="3005" customWidth="1"/>
    <col min="7957" max="8192" width="8.90625" style="3005"/>
    <col min="8193" max="8193" width="9.453125" style="3005" customWidth="1"/>
    <col min="8194" max="8194" width="8.90625" style="3005"/>
    <col min="8195" max="8197" width="12.90625" style="3005" customWidth="1"/>
    <col min="8198" max="8198" width="47.453125" style="3005" customWidth="1"/>
    <col min="8199" max="8199" width="13" style="3005" customWidth="1"/>
    <col min="8200" max="8201" width="8.90625" style="3005"/>
    <col min="8202" max="8202" width="5.90625" style="3005" customWidth="1"/>
    <col min="8203" max="8203" width="11.90625" style="3005" customWidth="1"/>
    <col min="8204" max="8205" width="10.90625" style="3005" customWidth="1"/>
    <col min="8206" max="8206" width="10" style="3005" customWidth="1"/>
    <col min="8207" max="8208" width="10.453125" style="3005" bestFit="1" customWidth="1"/>
    <col min="8209" max="8209" width="10" style="3005" customWidth="1"/>
    <col min="8210" max="8210" width="10.08984375" style="3005" customWidth="1"/>
    <col min="8211" max="8211" width="10" style="3005" customWidth="1"/>
    <col min="8212" max="8212" width="26.08984375" style="3005" customWidth="1"/>
    <col min="8213" max="8448" width="8.90625" style="3005"/>
    <col min="8449" max="8449" width="9.453125" style="3005" customWidth="1"/>
    <col min="8450" max="8450" width="8.90625" style="3005"/>
    <col min="8451" max="8453" width="12.90625" style="3005" customWidth="1"/>
    <col min="8454" max="8454" width="47.453125" style="3005" customWidth="1"/>
    <col min="8455" max="8455" width="13" style="3005" customWidth="1"/>
    <col min="8456" max="8457" width="8.90625" style="3005"/>
    <col min="8458" max="8458" width="5.90625" style="3005" customWidth="1"/>
    <col min="8459" max="8459" width="11.90625" style="3005" customWidth="1"/>
    <col min="8460" max="8461" width="10.90625" style="3005" customWidth="1"/>
    <col min="8462" max="8462" width="10" style="3005" customWidth="1"/>
    <col min="8463" max="8464" width="10.453125" style="3005" bestFit="1" customWidth="1"/>
    <col min="8465" max="8465" width="10" style="3005" customWidth="1"/>
    <col min="8466" max="8466" width="10.08984375" style="3005" customWidth="1"/>
    <col min="8467" max="8467" width="10" style="3005" customWidth="1"/>
    <col min="8468" max="8468" width="26.08984375" style="3005" customWidth="1"/>
    <col min="8469" max="8704" width="8.90625" style="3005"/>
    <col min="8705" max="8705" width="9.453125" style="3005" customWidth="1"/>
    <col min="8706" max="8706" width="8.90625" style="3005"/>
    <col min="8707" max="8709" width="12.90625" style="3005" customWidth="1"/>
    <col min="8710" max="8710" width="47.453125" style="3005" customWidth="1"/>
    <col min="8711" max="8711" width="13" style="3005" customWidth="1"/>
    <col min="8712" max="8713" width="8.90625" style="3005"/>
    <col min="8714" max="8714" width="5.90625" style="3005" customWidth="1"/>
    <col min="8715" max="8715" width="11.90625" style="3005" customWidth="1"/>
    <col min="8716" max="8717" width="10.90625" style="3005" customWidth="1"/>
    <col min="8718" max="8718" width="10" style="3005" customWidth="1"/>
    <col min="8719" max="8720" width="10.453125" style="3005" bestFit="1" customWidth="1"/>
    <col min="8721" max="8721" width="10" style="3005" customWidth="1"/>
    <col min="8722" max="8722" width="10.08984375" style="3005" customWidth="1"/>
    <col min="8723" max="8723" width="10" style="3005" customWidth="1"/>
    <col min="8724" max="8724" width="26.08984375" style="3005" customWidth="1"/>
    <col min="8725" max="8960" width="8.90625" style="3005"/>
    <col min="8961" max="8961" width="9.453125" style="3005" customWidth="1"/>
    <col min="8962" max="8962" width="8.90625" style="3005"/>
    <col min="8963" max="8965" width="12.90625" style="3005" customWidth="1"/>
    <col min="8966" max="8966" width="47.453125" style="3005" customWidth="1"/>
    <col min="8967" max="8967" width="13" style="3005" customWidth="1"/>
    <col min="8968" max="8969" width="8.90625" style="3005"/>
    <col min="8970" max="8970" width="5.90625" style="3005" customWidth="1"/>
    <col min="8971" max="8971" width="11.90625" style="3005" customWidth="1"/>
    <col min="8972" max="8973" width="10.90625" style="3005" customWidth="1"/>
    <col min="8974" max="8974" width="10" style="3005" customWidth="1"/>
    <col min="8975" max="8976" width="10.453125" style="3005" bestFit="1" customWidth="1"/>
    <col min="8977" max="8977" width="10" style="3005" customWidth="1"/>
    <col min="8978" max="8978" width="10.08984375" style="3005" customWidth="1"/>
    <col min="8979" max="8979" width="10" style="3005" customWidth="1"/>
    <col min="8980" max="8980" width="26.08984375" style="3005" customWidth="1"/>
    <col min="8981" max="9216" width="8.90625" style="3005"/>
    <col min="9217" max="9217" width="9.453125" style="3005" customWidth="1"/>
    <col min="9218" max="9218" width="8.90625" style="3005"/>
    <col min="9219" max="9221" width="12.90625" style="3005" customWidth="1"/>
    <col min="9222" max="9222" width="47.453125" style="3005" customWidth="1"/>
    <col min="9223" max="9223" width="13" style="3005" customWidth="1"/>
    <col min="9224" max="9225" width="8.90625" style="3005"/>
    <col min="9226" max="9226" width="5.90625" style="3005" customWidth="1"/>
    <col min="9227" max="9227" width="11.90625" style="3005" customWidth="1"/>
    <col min="9228" max="9229" width="10.90625" style="3005" customWidth="1"/>
    <col min="9230" max="9230" width="10" style="3005" customWidth="1"/>
    <col min="9231" max="9232" width="10.453125" style="3005" bestFit="1" customWidth="1"/>
    <col min="9233" max="9233" width="10" style="3005" customWidth="1"/>
    <col min="9234" max="9234" width="10.08984375" style="3005" customWidth="1"/>
    <col min="9235" max="9235" width="10" style="3005" customWidth="1"/>
    <col min="9236" max="9236" width="26.08984375" style="3005" customWidth="1"/>
    <col min="9237" max="9472" width="8.90625" style="3005"/>
    <col min="9473" max="9473" width="9.453125" style="3005" customWidth="1"/>
    <col min="9474" max="9474" width="8.90625" style="3005"/>
    <col min="9475" max="9477" width="12.90625" style="3005" customWidth="1"/>
    <col min="9478" max="9478" width="47.453125" style="3005" customWidth="1"/>
    <col min="9479" max="9479" width="13" style="3005" customWidth="1"/>
    <col min="9480" max="9481" width="8.90625" style="3005"/>
    <col min="9482" max="9482" width="5.90625" style="3005" customWidth="1"/>
    <col min="9483" max="9483" width="11.90625" style="3005" customWidth="1"/>
    <col min="9484" max="9485" width="10.90625" style="3005" customWidth="1"/>
    <col min="9486" max="9486" width="10" style="3005" customWidth="1"/>
    <col min="9487" max="9488" width="10.453125" style="3005" bestFit="1" customWidth="1"/>
    <col min="9489" max="9489" width="10" style="3005" customWidth="1"/>
    <col min="9490" max="9490" width="10.08984375" style="3005" customWidth="1"/>
    <col min="9491" max="9491" width="10" style="3005" customWidth="1"/>
    <col min="9492" max="9492" width="26.08984375" style="3005" customWidth="1"/>
    <col min="9493" max="9728" width="8.90625" style="3005"/>
    <col min="9729" max="9729" width="9.453125" style="3005" customWidth="1"/>
    <col min="9730" max="9730" width="8.90625" style="3005"/>
    <col min="9731" max="9733" width="12.90625" style="3005" customWidth="1"/>
    <col min="9734" max="9734" width="47.453125" style="3005" customWidth="1"/>
    <col min="9735" max="9735" width="13" style="3005" customWidth="1"/>
    <col min="9736" max="9737" width="8.90625" style="3005"/>
    <col min="9738" max="9738" width="5.90625" style="3005" customWidth="1"/>
    <col min="9739" max="9739" width="11.90625" style="3005" customWidth="1"/>
    <col min="9740" max="9741" width="10.90625" style="3005" customWidth="1"/>
    <col min="9742" max="9742" width="10" style="3005" customWidth="1"/>
    <col min="9743" max="9744" width="10.453125" style="3005" bestFit="1" customWidth="1"/>
    <col min="9745" max="9745" width="10" style="3005" customWidth="1"/>
    <col min="9746" max="9746" width="10.08984375" style="3005" customWidth="1"/>
    <col min="9747" max="9747" width="10" style="3005" customWidth="1"/>
    <col min="9748" max="9748" width="26.08984375" style="3005" customWidth="1"/>
    <col min="9749" max="9984" width="8.90625" style="3005"/>
    <col min="9985" max="9985" width="9.453125" style="3005" customWidth="1"/>
    <col min="9986" max="9986" width="8.90625" style="3005"/>
    <col min="9987" max="9989" width="12.90625" style="3005" customWidth="1"/>
    <col min="9990" max="9990" width="47.453125" style="3005" customWidth="1"/>
    <col min="9991" max="9991" width="13" style="3005" customWidth="1"/>
    <col min="9992" max="9993" width="8.90625" style="3005"/>
    <col min="9994" max="9994" width="5.90625" style="3005" customWidth="1"/>
    <col min="9995" max="9995" width="11.90625" style="3005" customWidth="1"/>
    <col min="9996" max="9997" width="10.90625" style="3005" customWidth="1"/>
    <col min="9998" max="9998" width="10" style="3005" customWidth="1"/>
    <col min="9999" max="10000" width="10.453125" style="3005" bestFit="1" customWidth="1"/>
    <col min="10001" max="10001" width="10" style="3005" customWidth="1"/>
    <col min="10002" max="10002" width="10.08984375" style="3005" customWidth="1"/>
    <col min="10003" max="10003" width="10" style="3005" customWidth="1"/>
    <col min="10004" max="10004" width="26.08984375" style="3005" customWidth="1"/>
    <col min="10005" max="10240" width="8.90625" style="3005"/>
    <col min="10241" max="10241" width="9.453125" style="3005" customWidth="1"/>
    <col min="10242" max="10242" width="8.90625" style="3005"/>
    <col min="10243" max="10245" width="12.90625" style="3005" customWidth="1"/>
    <col min="10246" max="10246" width="47.453125" style="3005" customWidth="1"/>
    <col min="10247" max="10247" width="13" style="3005" customWidth="1"/>
    <col min="10248" max="10249" width="8.90625" style="3005"/>
    <col min="10250" max="10250" width="5.90625" style="3005" customWidth="1"/>
    <col min="10251" max="10251" width="11.90625" style="3005" customWidth="1"/>
    <col min="10252" max="10253" width="10.90625" style="3005" customWidth="1"/>
    <col min="10254" max="10254" width="10" style="3005" customWidth="1"/>
    <col min="10255" max="10256" width="10.453125" style="3005" bestFit="1" customWidth="1"/>
    <col min="10257" max="10257" width="10" style="3005" customWidth="1"/>
    <col min="10258" max="10258" width="10.08984375" style="3005" customWidth="1"/>
    <col min="10259" max="10259" width="10" style="3005" customWidth="1"/>
    <col min="10260" max="10260" width="26.08984375" style="3005" customWidth="1"/>
    <col min="10261" max="10496" width="8.90625" style="3005"/>
    <col min="10497" max="10497" width="9.453125" style="3005" customWidth="1"/>
    <col min="10498" max="10498" width="8.90625" style="3005"/>
    <col min="10499" max="10501" width="12.90625" style="3005" customWidth="1"/>
    <col min="10502" max="10502" width="47.453125" style="3005" customWidth="1"/>
    <col min="10503" max="10503" width="13" style="3005" customWidth="1"/>
    <col min="10504" max="10505" width="8.90625" style="3005"/>
    <col min="10506" max="10506" width="5.90625" style="3005" customWidth="1"/>
    <col min="10507" max="10507" width="11.90625" style="3005" customWidth="1"/>
    <col min="10508" max="10509" width="10.90625" style="3005" customWidth="1"/>
    <col min="10510" max="10510" width="10" style="3005" customWidth="1"/>
    <col min="10511" max="10512" width="10.453125" style="3005" bestFit="1" customWidth="1"/>
    <col min="10513" max="10513" width="10" style="3005" customWidth="1"/>
    <col min="10514" max="10514" width="10.08984375" style="3005" customWidth="1"/>
    <col min="10515" max="10515" width="10" style="3005" customWidth="1"/>
    <col min="10516" max="10516" width="26.08984375" style="3005" customWidth="1"/>
    <col min="10517" max="10752" width="8.90625" style="3005"/>
    <col min="10753" max="10753" width="9.453125" style="3005" customWidth="1"/>
    <col min="10754" max="10754" width="8.90625" style="3005"/>
    <col min="10755" max="10757" width="12.90625" style="3005" customWidth="1"/>
    <col min="10758" max="10758" width="47.453125" style="3005" customWidth="1"/>
    <col min="10759" max="10759" width="13" style="3005" customWidth="1"/>
    <col min="10760" max="10761" width="8.90625" style="3005"/>
    <col min="10762" max="10762" width="5.90625" style="3005" customWidth="1"/>
    <col min="10763" max="10763" width="11.90625" style="3005" customWidth="1"/>
    <col min="10764" max="10765" width="10.90625" style="3005" customWidth="1"/>
    <col min="10766" max="10766" width="10" style="3005" customWidth="1"/>
    <col min="10767" max="10768" width="10.453125" style="3005" bestFit="1" customWidth="1"/>
    <col min="10769" max="10769" width="10" style="3005" customWidth="1"/>
    <col min="10770" max="10770" width="10.08984375" style="3005" customWidth="1"/>
    <col min="10771" max="10771" width="10" style="3005" customWidth="1"/>
    <col min="10772" max="10772" width="26.08984375" style="3005" customWidth="1"/>
    <col min="10773" max="11008" width="8.90625" style="3005"/>
    <col min="11009" max="11009" width="9.453125" style="3005" customWidth="1"/>
    <col min="11010" max="11010" width="8.90625" style="3005"/>
    <col min="11011" max="11013" width="12.90625" style="3005" customWidth="1"/>
    <col min="11014" max="11014" width="47.453125" style="3005" customWidth="1"/>
    <col min="11015" max="11015" width="13" style="3005" customWidth="1"/>
    <col min="11016" max="11017" width="8.90625" style="3005"/>
    <col min="11018" max="11018" width="5.90625" style="3005" customWidth="1"/>
    <col min="11019" max="11019" width="11.90625" style="3005" customWidth="1"/>
    <col min="11020" max="11021" width="10.90625" style="3005" customWidth="1"/>
    <col min="11022" max="11022" width="10" style="3005" customWidth="1"/>
    <col min="11023" max="11024" width="10.453125" style="3005" bestFit="1" customWidth="1"/>
    <col min="11025" max="11025" width="10" style="3005" customWidth="1"/>
    <col min="11026" max="11026" width="10.08984375" style="3005" customWidth="1"/>
    <col min="11027" max="11027" width="10" style="3005" customWidth="1"/>
    <col min="11028" max="11028" width="26.08984375" style="3005" customWidth="1"/>
    <col min="11029" max="11264" width="8.90625" style="3005"/>
    <col min="11265" max="11265" width="9.453125" style="3005" customWidth="1"/>
    <col min="11266" max="11266" width="8.90625" style="3005"/>
    <col min="11267" max="11269" width="12.90625" style="3005" customWidth="1"/>
    <col min="11270" max="11270" width="47.453125" style="3005" customWidth="1"/>
    <col min="11271" max="11271" width="13" style="3005" customWidth="1"/>
    <col min="11272" max="11273" width="8.90625" style="3005"/>
    <col min="11274" max="11274" width="5.90625" style="3005" customWidth="1"/>
    <col min="11275" max="11275" width="11.90625" style="3005" customWidth="1"/>
    <col min="11276" max="11277" width="10.90625" style="3005" customWidth="1"/>
    <col min="11278" max="11278" width="10" style="3005" customWidth="1"/>
    <col min="11279" max="11280" width="10.453125" style="3005" bestFit="1" customWidth="1"/>
    <col min="11281" max="11281" width="10" style="3005" customWidth="1"/>
    <col min="11282" max="11282" width="10.08984375" style="3005" customWidth="1"/>
    <col min="11283" max="11283" width="10" style="3005" customWidth="1"/>
    <col min="11284" max="11284" width="26.08984375" style="3005" customWidth="1"/>
    <col min="11285" max="11520" width="8.90625" style="3005"/>
    <col min="11521" max="11521" width="9.453125" style="3005" customWidth="1"/>
    <col min="11522" max="11522" width="8.90625" style="3005"/>
    <col min="11523" max="11525" width="12.90625" style="3005" customWidth="1"/>
    <col min="11526" max="11526" width="47.453125" style="3005" customWidth="1"/>
    <col min="11527" max="11527" width="13" style="3005" customWidth="1"/>
    <col min="11528" max="11529" width="8.90625" style="3005"/>
    <col min="11530" max="11530" width="5.90625" style="3005" customWidth="1"/>
    <col min="11531" max="11531" width="11.90625" style="3005" customWidth="1"/>
    <col min="11532" max="11533" width="10.90625" style="3005" customWidth="1"/>
    <col min="11534" max="11534" width="10" style="3005" customWidth="1"/>
    <col min="11535" max="11536" width="10.453125" style="3005" bestFit="1" customWidth="1"/>
    <col min="11537" max="11537" width="10" style="3005" customWidth="1"/>
    <col min="11538" max="11538" width="10.08984375" style="3005" customWidth="1"/>
    <col min="11539" max="11539" width="10" style="3005" customWidth="1"/>
    <col min="11540" max="11540" width="26.08984375" style="3005" customWidth="1"/>
    <col min="11541" max="11776" width="8.90625" style="3005"/>
    <col min="11777" max="11777" width="9.453125" style="3005" customWidth="1"/>
    <col min="11778" max="11778" width="8.90625" style="3005"/>
    <col min="11779" max="11781" width="12.90625" style="3005" customWidth="1"/>
    <col min="11782" max="11782" width="47.453125" style="3005" customWidth="1"/>
    <col min="11783" max="11783" width="13" style="3005" customWidth="1"/>
    <col min="11784" max="11785" width="8.90625" style="3005"/>
    <col min="11786" max="11786" width="5.90625" style="3005" customWidth="1"/>
    <col min="11787" max="11787" width="11.90625" style="3005" customWidth="1"/>
    <col min="11788" max="11789" width="10.90625" style="3005" customWidth="1"/>
    <col min="11790" max="11790" width="10" style="3005" customWidth="1"/>
    <col min="11791" max="11792" width="10.453125" style="3005" bestFit="1" customWidth="1"/>
    <col min="11793" max="11793" width="10" style="3005" customWidth="1"/>
    <col min="11794" max="11794" width="10.08984375" style="3005" customWidth="1"/>
    <col min="11795" max="11795" width="10" style="3005" customWidth="1"/>
    <col min="11796" max="11796" width="26.08984375" style="3005" customWidth="1"/>
    <col min="11797" max="12032" width="8.90625" style="3005"/>
    <col min="12033" max="12033" width="9.453125" style="3005" customWidth="1"/>
    <col min="12034" max="12034" width="8.90625" style="3005"/>
    <col min="12035" max="12037" width="12.90625" style="3005" customWidth="1"/>
    <col min="12038" max="12038" width="47.453125" style="3005" customWidth="1"/>
    <col min="12039" max="12039" width="13" style="3005" customWidth="1"/>
    <col min="12040" max="12041" width="8.90625" style="3005"/>
    <col min="12042" max="12042" width="5.90625" style="3005" customWidth="1"/>
    <col min="12043" max="12043" width="11.90625" style="3005" customWidth="1"/>
    <col min="12044" max="12045" width="10.90625" style="3005" customWidth="1"/>
    <col min="12046" max="12046" width="10" style="3005" customWidth="1"/>
    <col min="12047" max="12048" width="10.453125" style="3005" bestFit="1" customWidth="1"/>
    <col min="12049" max="12049" width="10" style="3005" customWidth="1"/>
    <col min="12050" max="12050" width="10.08984375" style="3005" customWidth="1"/>
    <col min="12051" max="12051" width="10" style="3005" customWidth="1"/>
    <col min="12052" max="12052" width="26.08984375" style="3005" customWidth="1"/>
    <col min="12053" max="12288" width="8.90625" style="3005"/>
    <col min="12289" max="12289" width="9.453125" style="3005" customWidth="1"/>
    <col min="12290" max="12290" width="8.90625" style="3005"/>
    <col min="12291" max="12293" width="12.90625" style="3005" customWidth="1"/>
    <col min="12294" max="12294" width="47.453125" style="3005" customWidth="1"/>
    <col min="12295" max="12295" width="13" style="3005" customWidth="1"/>
    <col min="12296" max="12297" width="8.90625" style="3005"/>
    <col min="12298" max="12298" width="5.90625" style="3005" customWidth="1"/>
    <col min="12299" max="12299" width="11.90625" style="3005" customWidth="1"/>
    <col min="12300" max="12301" width="10.90625" style="3005" customWidth="1"/>
    <col min="12302" max="12302" width="10" style="3005" customWidth="1"/>
    <col min="12303" max="12304" width="10.453125" style="3005" bestFit="1" customWidth="1"/>
    <col min="12305" max="12305" width="10" style="3005" customWidth="1"/>
    <col min="12306" max="12306" width="10.08984375" style="3005" customWidth="1"/>
    <col min="12307" max="12307" width="10" style="3005" customWidth="1"/>
    <col min="12308" max="12308" width="26.08984375" style="3005" customWidth="1"/>
    <col min="12309" max="12544" width="8.90625" style="3005"/>
    <col min="12545" max="12545" width="9.453125" style="3005" customWidth="1"/>
    <col min="12546" max="12546" width="8.90625" style="3005"/>
    <col min="12547" max="12549" width="12.90625" style="3005" customWidth="1"/>
    <col min="12550" max="12550" width="47.453125" style="3005" customWidth="1"/>
    <col min="12551" max="12551" width="13" style="3005" customWidth="1"/>
    <col min="12552" max="12553" width="8.90625" style="3005"/>
    <col min="12554" max="12554" width="5.90625" style="3005" customWidth="1"/>
    <col min="12555" max="12555" width="11.90625" style="3005" customWidth="1"/>
    <col min="12556" max="12557" width="10.90625" style="3005" customWidth="1"/>
    <col min="12558" max="12558" width="10" style="3005" customWidth="1"/>
    <col min="12559" max="12560" width="10.453125" style="3005" bestFit="1" customWidth="1"/>
    <col min="12561" max="12561" width="10" style="3005" customWidth="1"/>
    <col min="12562" max="12562" width="10.08984375" style="3005" customWidth="1"/>
    <col min="12563" max="12563" width="10" style="3005" customWidth="1"/>
    <col min="12564" max="12564" width="26.08984375" style="3005" customWidth="1"/>
    <col min="12565" max="12800" width="8.90625" style="3005"/>
    <col min="12801" max="12801" width="9.453125" style="3005" customWidth="1"/>
    <col min="12802" max="12802" width="8.90625" style="3005"/>
    <col min="12803" max="12805" width="12.90625" style="3005" customWidth="1"/>
    <col min="12806" max="12806" width="47.453125" style="3005" customWidth="1"/>
    <col min="12807" max="12807" width="13" style="3005" customWidth="1"/>
    <col min="12808" max="12809" width="8.90625" style="3005"/>
    <col min="12810" max="12810" width="5.90625" style="3005" customWidth="1"/>
    <col min="12811" max="12811" width="11.90625" style="3005" customWidth="1"/>
    <col min="12812" max="12813" width="10.90625" style="3005" customWidth="1"/>
    <col min="12814" max="12814" width="10" style="3005" customWidth="1"/>
    <col min="12815" max="12816" width="10.453125" style="3005" bestFit="1" customWidth="1"/>
    <col min="12817" max="12817" width="10" style="3005" customWidth="1"/>
    <col min="12818" max="12818" width="10.08984375" style="3005" customWidth="1"/>
    <col min="12819" max="12819" width="10" style="3005" customWidth="1"/>
    <col min="12820" max="12820" width="26.08984375" style="3005" customWidth="1"/>
    <col min="12821" max="13056" width="8.90625" style="3005"/>
    <col min="13057" max="13057" width="9.453125" style="3005" customWidth="1"/>
    <col min="13058" max="13058" width="8.90625" style="3005"/>
    <col min="13059" max="13061" width="12.90625" style="3005" customWidth="1"/>
    <col min="13062" max="13062" width="47.453125" style="3005" customWidth="1"/>
    <col min="13063" max="13063" width="13" style="3005" customWidth="1"/>
    <col min="13064" max="13065" width="8.90625" style="3005"/>
    <col min="13066" max="13066" width="5.90625" style="3005" customWidth="1"/>
    <col min="13067" max="13067" width="11.90625" style="3005" customWidth="1"/>
    <col min="13068" max="13069" width="10.90625" style="3005" customWidth="1"/>
    <col min="13070" max="13070" width="10" style="3005" customWidth="1"/>
    <col min="13071" max="13072" width="10.453125" style="3005" bestFit="1" customWidth="1"/>
    <col min="13073" max="13073" width="10" style="3005" customWidth="1"/>
    <col min="13074" max="13074" width="10.08984375" style="3005" customWidth="1"/>
    <col min="13075" max="13075" width="10" style="3005" customWidth="1"/>
    <col min="13076" max="13076" width="26.08984375" style="3005" customWidth="1"/>
    <col min="13077" max="13312" width="8.90625" style="3005"/>
    <col min="13313" max="13313" width="9.453125" style="3005" customWidth="1"/>
    <col min="13314" max="13314" width="8.90625" style="3005"/>
    <col min="13315" max="13317" width="12.90625" style="3005" customWidth="1"/>
    <col min="13318" max="13318" width="47.453125" style="3005" customWidth="1"/>
    <col min="13319" max="13319" width="13" style="3005" customWidth="1"/>
    <col min="13320" max="13321" width="8.90625" style="3005"/>
    <col min="13322" max="13322" width="5.90625" style="3005" customWidth="1"/>
    <col min="13323" max="13323" width="11.90625" style="3005" customWidth="1"/>
    <col min="13324" max="13325" width="10.90625" style="3005" customWidth="1"/>
    <col min="13326" max="13326" width="10" style="3005" customWidth="1"/>
    <col min="13327" max="13328" width="10.453125" style="3005" bestFit="1" customWidth="1"/>
    <col min="13329" max="13329" width="10" style="3005" customWidth="1"/>
    <col min="13330" max="13330" width="10.08984375" style="3005" customWidth="1"/>
    <col min="13331" max="13331" width="10" style="3005" customWidth="1"/>
    <col min="13332" max="13332" width="26.08984375" style="3005" customWidth="1"/>
    <col min="13333" max="13568" width="8.90625" style="3005"/>
    <col min="13569" max="13569" width="9.453125" style="3005" customWidth="1"/>
    <col min="13570" max="13570" width="8.90625" style="3005"/>
    <col min="13571" max="13573" width="12.90625" style="3005" customWidth="1"/>
    <col min="13574" max="13574" width="47.453125" style="3005" customWidth="1"/>
    <col min="13575" max="13575" width="13" style="3005" customWidth="1"/>
    <col min="13576" max="13577" width="8.90625" style="3005"/>
    <col min="13578" max="13578" width="5.90625" style="3005" customWidth="1"/>
    <col min="13579" max="13579" width="11.90625" style="3005" customWidth="1"/>
    <col min="13580" max="13581" width="10.90625" style="3005" customWidth="1"/>
    <col min="13582" max="13582" width="10" style="3005" customWidth="1"/>
    <col min="13583" max="13584" width="10.453125" style="3005" bestFit="1" customWidth="1"/>
    <col min="13585" max="13585" width="10" style="3005" customWidth="1"/>
    <col min="13586" max="13586" width="10.08984375" style="3005" customWidth="1"/>
    <col min="13587" max="13587" width="10" style="3005" customWidth="1"/>
    <col min="13588" max="13588" width="26.08984375" style="3005" customWidth="1"/>
    <col min="13589" max="13824" width="8.90625" style="3005"/>
    <col min="13825" max="13825" width="9.453125" style="3005" customWidth="1"/>
    <col min="13826" max="13826" width="8.90625" style="3005"/>
    <col min="13827" max="13829" width="12.90625" style="3005" customWidth="1"/>
    <col min="13830" max="13830" width="47.453125" style="3005" customWidth="1"/>
    <col min="13831" max="13831" width="13" style="3005" customWidth="1"/>
    <col min="13832" max="13833" width="8.90625" style="3005"/>
    <col min="13834" max="13834" width="5.90625" style="3005" customWidth="1"/>
    <col min="13835" max="13835" width="11.90625" style="3005" customWidth="1"/>
    <col min="13836" max="13837" width="10.90625" style="3005" customWidth="1"/>
    <col min="13838" max="13838" width="10" style="3005" customWidth="1"/>
    <col min="13839" max="13840" width="10.453125" style="3005" bestFit="1" customWidth="1"/>
    <col min="13841" max="13841" width="10" style="3005" customWidth="1"/>
    <col min="13842" max="13842" width="10.08984375" style="3005" customWidth="1"/>
    <col min="13843" max="13843" width="10" style="3005" customWidth="1"/>
    <col min="13844" max="13844" width="26.08984375" style="3005" customWidth="1"/>
    <col min="13845" max="14080" width="8.90625" style="3005"/>
    <col min="14081" max="14081" width="9.453125" style="3005" customWidth="1"/>
    <col min="14082" max="14082" width="8.90625" style="3005"/>
    <col min="14083" max="14085" width="12.90625" style="3005" customWidth="1"/>
    <col min="14086" max="14086" width="47.453125" style="3005" customWidth="1"/>
    <col min="14087" max="14087" width="13" style="3005" customWidth="1"/>
    <col min="14088" max="14089" width="8.90625" style="3005"/>
    <col min="14090" max="14090" width="5.90625" style="3005" customWidth="1"/>
    <col min="14091" max="14091" width="11.90625" style="3005" customWidth="1"/>
    <col min="14092" max="14093" width="10.90625" style="3005" customWidth="1"/>
    <col min="14094" max="14094" width="10" style="3005" customWidth="1"/>
    <col min="14095" max="14096" width="10.453125" style="3005" bestFit="1" customWidth="1"/>
    <col min="14097" max="14097" width="10" style="3005" customWidth="1"/>
    <col min="14098" max="14098" width="10.08984375" style="3005" customWidth="1"/>
    <col min="14099" max="14099" width="10" style="3005" customWidth="1"/>
    <col min="14100" max="14100" width="26.08984375" style="3005" customWidth="1"/>
    <col min="14101" max="14336" width="8.90625" style="3005"/>
    <col min="14337" max="14337" width="9.453125" style="3005" customWidth="1"/>
    <col min="14338" max="14338" width="8.90625" style="3005"/>
    <col min="14339" max="14341" width="12.90625" style="3005" customWidth="1"/>
    <col min="14342" max="14342" width="47.453125" style="3005" customWidth="1"/>
    <col min="14343" max="14343" width="13" style="3005" customWidth="1"/>
    <col min="14344" max="14345" width="8.90625" style="3005"/>
    <col min="14346" max="14346" width="5.90625" style="3005" customWidth="1"/>
    <col min="14347" max="14347" width="11.90625" style="3005" customWidth="1"/>
    <col min="14348" max="14349" width="10.90625" style="3005" customWidth="1"/>
    <col min="14350" max="14350" width="10" style="3005" customWidth="1"/>
    <col min="14351" max="14352" width="10.453125" style="3005" bestFit="1" customWidth="1"/>
    <col min="14353" max="14353" width="10" style="3005" customWidth="1"/>
    <col min="14354" max="14354" width="10.08984375" style="3005" customWidth="1"/>
    <col min="14355" max="14355" width="10" style="3005" customWidth="1"/>
    <col min="14356" max="14356" width="26.08984375" style="3005" customWidth="1"/>
    <col min="14357" max="14592" width="8.90625" style="3005"/>
    <col min="14593" max="14593" width="9.453125" style="3005" customWidth="1"/>
    <col min="14594" max="14594" width="8.90625" style="3005"/>
    <col min="14595" max="14597" width="12.90625" style="3005" customWidth="1"/>
    <col min="14598" max="14598" width="47.453125" style="3005" customWidth="1"/>
    <col min="14599" max="14599" width="13" style="3005" customWidth="1"/>
    <col min="14600" max="14601" width="8.90625" style="3005"/>
    <col min="14602" max="14602" width="5.90625" style="3005" customWidth="1"/>
    <col min="14603" max="14603" width="11.90625" style="3005" customWidth="1"/>
    <col min="14604" max="14605" width="10.90625" style="3005" customWidth="1"/>
    <col min="14606" max="14606" width="10" style="3005" customWidth="1"/>
    <col min="14607" max="14608" width="10.453125" style="3005" bestFit="1" customWidth="1"/>
    <col min="14609" max="14609" width="10" style="3005" customWidth="1"/>
    <col min="14610" max="14610" width="10.08984375" style="3005" customWidth="1"/>
    <col min="14611" max="14611" width="10" style="3005" customWidth="1"/>
    <col min="14612" max="14612" width="26.08984375" style="3005" customWidth="1"/>
    <col min="14613" max="14848" width="8.90625" style="3005"/>
    <col min="14849" max="14849" width="9.453125" style="3005" customWidth="1"/>
    <col min="14850" max="14850" width="8.90625" style="3005"/>
    <col min="14851" max="14853" width="12.90625" style="3005" customWidth="1"/>
    <col min="14854" max="14854" width="47.453125" style="3005" customWidth="1"/>
    <col min="14855" max="14855" width="13" style="3005" customWidth="1"/>
    <col min="14856" max="14857" width="8.90625" style="3005"/>
    <col min="14858" max="14858" width="5.90625" style="3005" customWidth="1"/>
    <col min="14859" max="14859" width="11.90625" style="3005" customWidth="1"/>
    <col min="14860" max="14861" width="10.90625" style="3005" customWidth="1"/>
    <col min="14862" max="14862" width="10" style="3005" customWidth="1"/>
    <col min="14863" max="14864" width="10.453125" style="3005" bestFit="1" customWidth="1"/>
    <col min="14865" max="14865" width="10" style="3005" customWidth="1"/>
    <col min="14866" max="14866" width="10.08984375" style="3005" customWidth="1"/>
    <col min="14867" max="14867" width="10" style="3005" customWidth="1"/>
    <col min="14868" max="14868" width="26.08984375" style="3005" customWidth="1"/>
    <col min="14869" max="15104" width="8.90625" style="3005"/>
    <col min="15105" max="15105" width="9.453125" style="3005" customWidth="1"/>
    <col min="15106" max="15106" width="8.90625" style="3005"/>
    <col min="15107" max="15109" width="12.90625" style="3005" customWidth="1"/>
    <col min="15110" max="15110" width="47.453125" style="3005" customWidth="1"/>
    <col min="15111" max="15111" width="13" style="3005" customWidth="1"/>
    <col min="15112" max="15113" width="8.90625" style="3005"/>
    <col min="15114" max="15114" width="5.90625" style="3005" customWidth="1"/>
    <col min="15115" max="15115" width="11.90625" style="3005" customWidth="1"/>
    <col min="15116" max="15117" width="10.90625" style="3005" customWidth="1"/>
    <col min="15118" max="15118" width="10" style="3005" customWidth="1"/>
    <col min="15119" max="15120" width="10.453125" style="3005" bestFit="1" customWidth="1"/>
    <col min="15121" max="15121" width="10" style="3005" customWidth="1"/>
    <col min="15122" max="15122" width="10.08984375" style="3005" customWidth="1"/>
    <col min="15123" max="15123" width="10" style="3005" customWidth="1"/>
    <col min="15124" max="15124" width="26.08984375" style="3005" customWidth="1"/>
    <col min="15125" max="15360" width="8.90625" style="3005"/>
    <col min="15361" max="15361" width="9.453125" style="3005" customWidth="1"/>
    <col min="15362" max="15362" width="8.90625" style="3005"/>
    <col min="15363" max="15365" width="12.90625" style="3005" customWidth="1"/>
    <col min="15366" max="15366" width="47.453125" style="3005" customWidth="1"/>
    <col min="15367" max="15367" width="13" style="3005" customWidth="1"/>
    <col min="15368" max="15369" width="8.90625" style="3005"/>
    <col min="15370" max="15370" width="5.90625" style="3005" customWidth="1"/>
    <col min="15371" max="15371" width="11.90625" style="3005" customWidth="1"/>
    <col min="15372" max="15373" width="10.90625" style="3005" customWidth="1"/>
    <col min="15374" max="15374" width="10" style="3005" customWidth="1"/>
    <col min="15375" max="15376" width="10.453125" style="3005" bestFit="1" customWidth="1"/>
    <col min="15377" max="15377" width="10" style="3005" customWidth="1"/>
    <col min="15378" max="15378" width="10.08984375" style="3005" customWidth="1"/>
    <col min="15379" max="15379" width="10" style="3005" customWidth="1"/>
    <col min="15380" max="15380" width="26.08984375" style="3005" customWidth="1"/>
    <col min="15381" max="15616" width="8.90625" style="3005"/>
    <col min="15617" max="15617" width="9.453125" style="3005" customWidth="1"/>
    <col min="15618" max="15618" width="8.90625" style="3005"/>
    <col min="15619" max="15621" width="12.90625" style="3005" customWidth="1"/>
    <col min="15622" max="15622" width="47.453125" style="3005" customWidth="1"/>
    <col min="15623" max="15623" width="13" style="3005" customWidth="1"/>
    <col min="15624" max="15625" width="8.90625" style="3005"/>
    <col min="15626" max="15626" width="5.90625" style="3005" customWidth="1"/>
    <col min="15627" max="15627" width="11.90625" style="3005" customWidth="1"/>
    <col min="15628" max="15629" width="10.90625" style="3005" customWidth="1"/>
    <col min="15630" max="15630" width="10" style="3005" customWidth="1"/>
    <col min="15631" max="15632" width="10.453125" style="3005" bestFit="1" customWidth="1"/>
    <col min="15633" max="15633" width="10" style="3005" customWidth="1"/>
    <col min="15634" max="15634" width="10.08984375" style="3005" customWidth="1"/>
    <col min="15635" max="15635" width="10" style="3005" customWidth="1"/>
    <col min="15636" max="15636" width="26.08984375" style="3005" customWidth="1"/>
    <col min="15637" max="15872" width="8.90625" style="3005"/>
    <col min="15873" max="15873" width="9.453125" style="3005" customWidth="1"/>
    <col min="15874" max="15874" width="8.90625" style="3005"/>
    <col min="15875" max="15877" width="12.90625" style="3005" customWidth="1"/>
    <col min="15878" max="15878" width="47.453125" style="3005" customWidth="1"/>
    <col min="15879" max="15879" width="13" style="3005" customWidth="1"/>
    <col min="15880" max="15881" width="8.90625" style="3005"/>
    <col min="15882" max="15882" width="5.90625" style="3005" customWidth="1"/>
    <col min="15883" max="15883" width="11.90625" style="3005" customWidth="1"/>
    <col min="15884" max="15885" width="10.90625" style="3005" customWidth="1"/>
    <col min="15886" max="15886" width="10" style="3005" customWidth="1"/>
    <col min="15887" max="15888" width="10.453125" style="3005" bestFit="1" customWidth="1"/>
    <col min="15889" max="15889" width="10" style="3005" customWidth="1"/>
    <col min="15890" max="15890" width="10.08984375" style="3005" customWidth="1"/>
    <col min="15891" max="15891" width="10" style="3005" customWidth="1"/>
    <col min="15892" max="15892" width="26.08984375" style="3005" customWidth="1"/>
    <col min="15893" max="16128" width="8.90625" style="3005"/>
    <col min="16129" max="16129" width="9.453125" style="3005" customWidth="1"/>
    <col min="16130" max="16130" width="8.90625" style="3005"/>
    <col min="16131" max="16133" width="12.90625" style="3005" customWidth="1"/>
    <col min="16134" max="16134" width="47.453125" style="3005" customWidth="1"/>
    <col min="16135" max="16135" width="13" style="3005" customWidth="1"/>
    <col min="16136" max="16137" width="8.90625" style="3005"/>
    <col min="16138" max="16138" width="5.90625" style="3005" customWidth="1"/>
    <col min="16139" max="16139" width="11.90625" style="3005" customWidth="1"/>
    <col min="16140" max="16141" width="10.90625" style="3005" customWidth="1"/>
    <col min="16142" max="16142" width="10" style="3005" customWidth="1"/>
    <col min="16143" max="16144" width="10.453125" style="3005" bestFit="1" customWidth="1"/>
    <col min="16145" max="16145" width="10" style="3005" customWidth="1"/>
    <col min="16146" max="16146" width="10.08984375" style="3005" customWidth="1"/>
    <col min="16147" max="16147" width="10" style="3005" customWidth="1"/>
    <col min="16148" max="16148" width="26.08984375" style="3005" customWidth="1"/>
    <col min="16149" max="16384" width="8.90625" style="3005"/>
  </cols>
  <sheetData>
    <row r="1" spans="1:22" ht="21" customHeight="1">
      <c r="A1" s="2994" t="s">
        <v>2935</v>
      </c>
      <c r="B1" s="2995"/>
      <c r="C1" s="3007"/>
      <c r="D1" s="3007"/>
      <c r="E1" s="2996"/>
      <c r="F1" s="2997"/>
      <c r="G1" s="2998"/>
      <c r="J1" s="3001" t="s">
        <v>2815</v>
      </c>
      <c r="K1" s="3002"/>
      <c r="L1" s="3002"/>
      <c r="M1" s="3002"/>
      <c r="N1" s="3002"/>
      <c r="O1" s="3002"/>
      <c r="P1" s="3002"/>
      <c r="Q1" s="3002"/>
      <c r="R1" s="3003"/>
      <c r="S1" s="3004"/>
      <c r="T1" s="3004"/>
      <c r="U1" s="3004"/>
    </row>
    <row r="2" spans="1:22" s="3016" customFormat="1" ht="13.4" customHeight="1">
      <c r="A2" s="1507" t="s">
        <v>2816</v>
      </c>
      <c r="B2" s="3006">
        <f ca="1">C40+D2</f>
        <v>220750</v>
      </c>
      <c r="C2" s="3007" t="s">
        <v>2817</v>
      </c>
      <c r="D2" s="3282">
        <f ca="1">收益法!L46</f>
        <v>11101</v>
      </c>
      <c r="E2" s="3283" t="s">
        <v>3355</v>
      </c>
      <c r="F2" s="3284"/>
      <c r="G2" s="3010"/>
      <c r="H2" s="3011"/>
      <c r="I2" s="3012"/>
      <c r="J2" s="3528" t="s">
        <v>2818</v>
      </c>
      <c r="K2" s="3529"/>
      <c r="L2" s="3013" t="s">
        <v>2819</v>
      </c>
      <c r="M2" s="3013" t="s">
        <v>2820</v>
      </c>
      <c r="N2" s="3013" t="s">
        <v>2821</v>
      </c>
      <c r="O2" s="3013" t="s">
        <v>2822</v>
      </c>
      <c r="P2" s="3013" t="s">
        <v>2823</v>
      </c>
      <c r="Q2" s="3014" t="s">
        <v>2824</v>
      </c>
      <c r="R2" s="3015" t="s">
        <v>2825</v>
      </c>
      <c r="S2" s="3004"/>
      <c r="T2" s="3004"/>
      <c r="U2" s="3004"/>
      <c r="V2" s="3012"/>
    </row>
    <row r="3" spans="1:22" s="3016" customFormat="1" ht="13.4" customHeight="1">
      <c r="A3" s="3017" t="s">
        <v>2826</v>
      </c>
      <c r="B3" s="3018">
        <f ca="1">ROUND(B2*10000/B4,0)</f>
        <v>22454</v>
      </c>
      <c r="C3" s="3007" t="s">
        <v>2827</v>
      </c>
      <c r="D3" s="3007"/>
      <c r="E3" s="3008"/>
      <c r="F3" s="3009"/>
      <c r="G3" s="3010"/>
      <c r="H3" s="3011"/>
      <c r="I3" s="3012"/>
      <c r="J3" s="3530" t="s">
        <v>2828</v>
      </c>
      <c r="K3" s="3531"/>
      <c r="L3" s="3019"/>
      <c r="M3" s="3019"/>
      <c r="N3" s="3019"/>
      <c r="O3" s="3019"/>
      <c r="P3" s="3019"/>
      <c r="Q3" s="3020"/>
      <c r="R3" s="3021">
        <f>SUM(L3:Q3)</f>
        <v>0</v>
      </c>
      <c r="S3" s="3004"/>
      <c r="T3" s="3004"/>
      <c r="U3" s="3004"/>
      <c r="V3" s="3012"/>
    </row>
    <row r="4" spans="1:22" s="3016" customFormat="1" ht="13.4" customHeight="1">
      <c r="A4" s="3022" t="s">
        <v>2829</v>
      </c>
      <c r="B4" s="3023">
        <f>'数据-汇总表'!E3</f>
        <v>98312.17</v>
      </c>
      <c r="C4" s="3007"/>
      <c r="D4" s="3007"/>
      <c r="E4" s="3008"/>
      <c r="F4" s="3009"/>
      <c r="G4" s="3010"/>
      <c r="H4" s="3011"/>
      <c r="I4" s="3012"/>
      <c r="J4" s="3530" t="s">
        <v>2830</v>
      </c>
      <c r="K4" s="3531"/>
      <c r="L4" s="3024"/>
      <c r="M4" s="3024"/>
      <c r="N4" s="3024"/>
      <c r="O4" s="3024"/>
      <c r="P4" s="3024"/>
      <c r="Q4" s="3025"/>
      <c r="R4" s="3026">
        <f>SUM(L4:Q4)</f>
        <v>0</v>
      </c>
      <c r="S4" s="3004"/>
      <c r="T4" s="3004"/>
      <c r="U4" s="3004"/>
      <c r="V4" s="3012"/>
    </row>
    <row r="5" spans="1:22" s="3016" customFormat="1" ht="13.4" customHeight="1" thickBot="1">
      <c r="A5" s="3027" t="s">
        <v>2831</v>
      </c>
      <c r="B5" s="3028">
        <f>'数据-汇总表'!D3</f>
        <v>28178.74</v>
      </c>
      <c r="C5" s="3007"/>
      <c r="D5" s="3029"/>
      <c r="E5" s="3009"/>
      <c r="F5" s="3009"/>
      <c r="G5" s="3010"/>
      <c r="H5" s="3011"/>
      <c r="I5" s="3012"/>
      <c r="J5" s="3030" t="s">
        <v>2832</v>
      </c>
      <c r="K5" s="3031"/>
      <c r="L5" s="3031"/>
      <c r="M5" s="3032"/>
      <c r="N5" s="3032"/>
      <c r="O5" s="3032"/>
      <c r="P5" s="3032"/>
      <c r="Q5" s="3032"/>
      <c r="R5" s="3015">
        <f>SUM(R14,R19,R24,R25,R27,R28)</f>
        <v>25245</v>
      </c>
      <c r="S5" s="3004"/>
      <c r="T5" s="3004" t="s">
        <v>2833</v>
      </c>
      <c r="U5" s="3004" t="e">
        <f>ROUND(R5*10000/365/R3,1)</f>
        <v>#DIV/0!</v>
      </c>
      <c r="V5" s="3012"/>
    </row>
    <row r="6" spans="1:22" s="3016" customFormat="1" ht="13.4" customHeight="1" thickBot="1">
      <c r="A6" s="3532" t="s">
        <v>2834</v>
      </c>
      <c r="B6" s="3533"/>
      <c r="C6" s="3534"/>
      <c r="D6" s="3033">
        <f>R5</f>
        <v>25245</v>
      </c>
      <c r="E6" s="3034"/>
      <c r="F6" s="3035"/>
      <c r="G6" s="3036"/>
      <c r="H6" s="3011"/>
      <c r="I6" s="3012"/>
      <c r="J6" s="3535">
        <v>1</v>
      </c>
      <c r="K6" s="3536" t="s">
        <v>2835</v>
      </c>
      <c r="L6" s="3037" t="s">
        <v>2836</v>
      </c>
      <c r="M6" s="3038" t="s">
        <v>2837</v>
      </c>
      <c r="N6" s="3038" t="s">
        <v>2838</v>
      </c>
      <c r="O6" s="3038" t="s">
        <v>2839</v>
      </c>
      <c r="P6" s="3038" t="s">
        <v>2840</v>
      </c>
      <c r="Q6" s="3038" t="s">
        <v>2841</v>
      </c>
      <c r="R6" s="3021" t="s">
        <v>2842</v>
      </c>
      <c r="S6" s="3004"/>
      <c r="T6" s="3004" t="s">
        <v>2843</v>
      </c>
      <c r="U6" s="3004"/>
      <c r="V6" s="3012"/>
    </row>
    <row r="7" spans="1:22" s="3016" customFormat="1" ht="13.4" customHeight="1">
      <c r="A7" s="3039" t="s">
        <v>2844</v>
      </c>
      <c r="B7" s="3040"/>
      <c r="C7" s="3041"/>
      <c r="D7" s="3042">
        <f ca="1">SUM(D9,D10,D11,D17,0)</f>
        <v>9951</v>
      </c>
      <c r="E7" s="3043">
        <f ca="1">E9+E10+E11+E17</f>
        <v>0.39415725886314118</v>
      </c>
      <c r="F7" s="3044"/>
      <c r="G7" s="3045"/>
      <c r="H7" s="3011"/>
      <c r="I7" s="3012"/>
      <c r="J7" s="3535"/>
      <c r="K7" s="3537"/>
      <c r="L7" s="3046" t="s">
        <v>2845</v>
      </c>
      <c r="M7" s="3047"/>
      <c r="N7" s="3023"/>
      <c r="O7" s="3048"/>
      <c r="P7" s="3048"/>
      <c r="Q7" s="3049">
        <v>365</v>
      </c>
      <c r="R7" s="3050">
        <f>ROUND(M7*N7*O7*P7*Q7/10000,0)</f>
        <v>0</v>
      </c>
      <c r="S7" s="3004"/>
      <c r="T7" s="3004" t="s">
        <v>2846</v>
      </c>
      <c r="U7" s="3004"/>
      <c r="V7" s="3012"/>
    </row>
    <row r="8" spans="1:22" s="3016" customFormat="1" ht="13.4" customHeight="1">
      <c r="A8" s="3051" t="s">
        <v>2847</v>
      </c>
      <c r="B8" s="3539" t="s">
        <v>2848</v>
      </c>
      <c r="C8" s="3540"/>
      <c r="D8" s="3052" t="s">
        <v>2849</v>
      </c>
      <c r="E8" s="3053" t="s">
        <v>2850</v>
      </c>
      <c r="F8" s="3054" t="s">
        <v>2851</v>
      </c>
      <c r="G8" s="3055"/>
      <c r="H8" s="3011"/>
      <c r="I8" s="3012"/>
      <c r="J8" s="3535"/>
      <c r="K8" s="3537"/>
      <c r="L8" s="3046" t="s">
        <v>2852</v>
      </c>
      <c r="M8" s="3047"/>
      <c r="N8" s="3023"/>
      <c r="O8" s="3048"/>
      <c r="P8" s="3048"/>
      <c r="Q8" s="3049">
        <v>365</v>
      </c>
      <c r="R8" s="3050">
        <f t="shared" ref="R8:R13" si="0">ROUND(M8*N8*O8*P8*Q8/10000,0)</f>
        <v>0</v>
      </c>
      <c r="S8" s="3004"/>
      <c r="T8" s="3004" t="s">
        <v>2853</v>
      </c>
      <c r="U8" s="3004"/>
      <c r="V8" s="3012"/>
    </row>
    <row r="9" spans="1:22" s="3016" customFormat="1" ht="13.4" customHeight="1">
      <c r="A9" s="3051">
        <v>1</v>
      </c>
      <c r="B9" s="3539" t="s">
        <v>2854</v>
      </c>
      <c r="C9" s="3540"/>
      <c r="D9" s="3052">
        <f>ROUND(D6*E9,0)</f>
        <v>3787</v>
      </c>
      <c r="E9" s="3275">
        <v>0.15</v>
      </c>
      <c r="F9" s="3056" t="s">
        <v>2855</v>
      </c>
      <c r="G9" s="3036"/>
      <c r="H9" s="3011"/>
      <c r="I9" s="3012"/>
      <c r="J9" s="3535"/>
      <c r="K9" s="3537"/>
      <c r="L9" s="3046" t="s">
        <v>2856</v>
      </c>
      <c r="M9" s="3047"/>
      <c r="N9" s="3023"/>
      <c r="O9" s="3048"/>
      <c r="P9" s="3048"/>
      <c r="Q9" s="3049">
        <v>365</v>
      </c>
      <c r="R9" s="3050">
        <f t="shared" si="0"/>
        <v>0</v>
      </c>
      <c r="S9" s="3004"/>
      <c r="T9" s="3004"/>
      <c r="U9" s="3004"/>
      <c r="V9" s="3012"/>
    </row>
    <row r="10" spans="1:22" s="3016" customFormat="1" ht="13.4" customHeight="1">
      <c r="A10" s="3051">
        <v>2</v>
      </c>
      <c r="B10" s="3539" t="s">
        <v>2857</v>
      </c>
      <c r="C10" s="3540"/>
      <c r="D10" s="3052">
        <f>ROUND(D6*E10,0)</f>
        <v>2525</v>
      </c>
      <c r="E10" s="3275">
        <v>0.1</v>
      </c>
      <c r="F10" s="3056" t="s">
        <v>2858</v>
      </c>
      <c r="G10" s="3036"/>
      <c r="H10" s="3011"/>
      <c r="I10" s="3012"/>
      <c r="J10" s="3535"/>
      <c r="K10" s="3537"/>
      <c r="L10" s="3046" t="s">
        <v>2859</v>
      </c>
      <c r="M10" s="3272">
        <v>567</v>
      </c>
      <c r="N10" s="3273">
        <v>850</v>
      </c>
      <c r="O10" s="3274">
        <v>1</v>
      </c>
      <c r="P10" s="3274">
        <v>0.6</v>
      </c>
      <c r="Q10" s="3049">
        <v>365</v>
      </c>
      <c r="R10" s="3050">
        <f t="shared" si="0"/>
        <v>10555</v>
      </c>
      <c r="S10" s="3004"/>
      <c r="T10" s="3004"/>
      <c r="U10" s="3004"/>
      <c r="V10" s="3012"/>
    </row>
    <row r="11" spans="1:22" s="3016" customFormat="1" ht="13.4" customHeight="1">
      <c r="A11" s="3051">
        <v>3</v>
      </c>
      <c r="B11" s="3539" t="s">
        <v>2860</v>
      </c>
      <c r="C11" s="3540"/>
      <c r="D11" s="3052">
        <f ca="1">D12+D14+D15+D16</f>
        <v>2377</v>
      </c>
      <c r="E11" s="3057">
        <f ca="1">D11/D6</f>
        <v>9.4157258863141219E-2</v>
      </c>
      <c r="F11" s="3054"/>
      <c r="G11" s="3055"/>
      <c r="H11" s="3011"/>
      <c r="I11" s="3012"/>
      <c r="J11" s="3535"/>
      <c r="K11" s="3537"/>
      <c r="L11" s="3046" t="s">
        <v>2861</v>
      </c>
      <c r="M11" s="3047"/>
      <c r="N11" s="3023"/>
      <c r="O11" s="3048"/>
      <c r="P11" s="3048"/>
      <c r="Q11" s="3049">
        <v>365</v>
      </c>
      <c r="R11" s="3050">
        <f t="shared" si="0"/>
        <v>0</v>
      </c>
      <c r="S11" s="3004"/>
      <c r="T11" s="3004"/>
      <c r="U11" s="3004"/>
      <c r="V11" s="3012"/>
    </row>
    <row r="12" spans="1:22" s="3016" customFormat="1" ht="13.4" customHeight="1">
      <c r="A12" s="3058" t="s">
        <v>2862</v>
      </c>
      <c r="B12" s="3541" t="s">
        <v>2863</v>
      </c>
      <c r="C12" s="3542"/>
      <c r="D12" s="3059">
        <f ca="1">ROUND(D13*1.2%*(1-30%),0)</f>
        <v>955</v>
      </c>
      <c r="E12" s="3060">
        <v>1.2E-2</v>
      </c>
      <c r="F12" s="3054" t="s">
        <v>2864</v>
      </c>
      <c r="G12" s="3055"/>
      <c r="H12" s="3011"/>
      <c r="I12" s="3012"/>
      <c r="J12" s="3535"/>
      <c r="K12" s="3537"/>
      <c r="L12" s="3046" t="s">
        <v>2865</v>
      </c>
      <c r="M12" s="3047"/>
      <c r="N12" s="3023"/>
      <c r="O12" s="3048"/>
      <c r="P12" s="3048"/>
      <c r="Q12" s="3049">
        <v>365</v>
      </c>
      <c r="R12" s="3050">
        <f t="shared" si="0"/>
        <v>0</v>
      </c>
      <c r="S12" s="3004"/>
      <c r="T12" s="3004"/>
      <c r="U12" s="3004"/>
      <c r="V12" s="3012"/>
    </row>
    <row r="13" spans="1:22" s="3016" customFormat="1" ht="13.4" customHeight="1">
      <c r="A13" s="3058"/>
      <c r="B13" s="3061"/>
      <c r="C13" s="3062" t="s">
        <v>2866</v>
      </c>
      <c r="D13" s="3063">
        <f ca="1">成本法!C49</f>
        <v>113705</v>
      </c>
      <c r="E13" s="3064"/>
      <c r="F13" s="3054"/>
      <c r="G13" s="3055"/>
      <c r="H13" s="3011"/>
      <c r="I13" s="3012"/>
      <c r="J13" s="3535"/>
      <c r="K13" s="3537"/>
      <c r="L13" s="3046" t="s">
        <v>2867</v>
      </c>
      <c r="M13" s="3047"/>
      <c r="N13" s="3023"/>
      <c r="O13" s="3048"/>
      <c r="P13" s="3048"/>
      <c r="Q13" s="3049">
        <v>365</v>
      </c>
      <c r="R13" s="3050">
        <f t="shared" si="0"/>
        <v>0</v>
      </c>
      <c r="S13" s="3004"/>
      <c r="T13" s="3004"/>
      <c r="U13" s="3004"/>
      <c r="V13" s="3012"/>
    </row>
    <row r="14" spans="1:22" s="3016" customFormat="1" ht="13.4" customHeight="1">
      <c r="A14" s="3058" t="s">
        <v>2868</v>
      </c>
      <c r="B14" s="3541" t="s">
        <v>2869</v>
      </c>
      <c r="C14" s="3542"/>
      <c r="D14" s="3059">
        <f>ROUND(E14*B5/10000,0)</f>
        <v>34</v>
      </c>
      <c r="E14" s="3049">
        <v>12</v>
      </c>
      <c r="F14" s="3054" t="s">
        <v>2870</v>
      </c>
      <c r="G14" s="3055"/>
      <c r="H14" s="3011"/>
      <c r="I14" s="3012"/>
      <c r="J14" s="3535"/>
      <c r="K14" s="3538"/>
      <c r="L14" s="3065" t="s">
        <v>2871</v>
      </c>
      <c r="M14" s="3066">
        <f>SUM(M7:M13)</f>
        <v>567</v>
      </c>
      <c r="N14" s="3066">
        <f>ROUND((N7*M7+N8*M8+N9*M9+N10*M10+N11*M11+N12*M12+N13*M13)/M14,0)</f>
        <v>850</v>
      </c>
      <c r="O14" s="3067"/>
      <c r="P14" s="3067"/>
      <c r="Q14" s="3068"/>
      <c r="R14" s="3015">
        <f>SUM(R7:R13)</f>
        <v>10555</v>
      </c>
      <c r="S14" s="3004"/>
      <c r="T14" s="3004"/>
      <c r="U14" s="3004"/>
      <c r="V14" s="3012"/>
    </row>
    <row r="15" spans="1:22" s="3016" customFormat="1" ht="13.4" customHeight="1">
      <c r="A15" s="3058" t="s">
        <v>2872</v>
      </c>
      <c r="B15" s="3541" t="s">
        <v>2873</v>
      </c>
      <c r="C15" s="3542"/>
      <c r="D15" s="3059">
        <f>ROUND(D6*E15,0)</f>
        <v>1388</v>
      </c>
      <c r="E15" s="3060">
        <v>5.5E-2</v>
      </c>
      <c r="F15" s="3054" t="s">
        <v>2874</v>
      </c>
      <c r="G15" s="3036"/>
      <c r="H15" s="3011"/>
      <c r="I15" s="3012"/>
      <c r="J15" s="3535">
        <v>2</v>
      </c>
      <c r="K15" s="3536" t="s">
        <v>2875</v>
      </c>
      <c r="L15" s="3046" t="s">
        <v>2876</v>
      </c>
      <c r="M15" s="3047" t="s">
        <v>2877</v>
      </c>
      <c r="N15" s="3047" t="s">
        <v>2878</v>
      </c>
      <c r="O15" s="3048" t="s">
        <v>2879</v>
      </c>
      <c r="P15" s="3048" t="s">
        <v>2841</v>
      </c>
      <c r="Q15" s="3023" t="s">
        <v>2880</v>
      </c>
      <c r="R15" s="3069" t="s">
        <v>2842</v>
      </c>
      <c r="S15" s="3004"/>
      <c r="T15" s="3004"/>
      <c r="U15" s="3004"/>
      <c r="V15" s="3012"/>
    </row>
    <row r="16" spans="1:22" s="3016" customFormat="1" ht="13.4" customHeight="1">
      <c r="A16" s="3058" t="s">
        <v>2881</v>
      </c>
      <c r="B16" s="3541" t="s">
        <v>2882</v>
      </c>
      <c r="C16" s="3542"/>
      <c r="D16" s="3070">
        <f>D6*E16</f>
        <v>0</v>
      </c>
      <c r="E16" s="3071"/>
      <c r="F16" s="3056" t="s">
        <v>2883</v>
      </c>
      <c r="G16" s="3036"/>
      <c r="H16" s="3011"/>
      <c r="I16" s="3012"/>
      <c r="J16" s="3535"/>
      <c r="K16" s="3537"/>
      <c r="L16" s="3046" t="s">
        <v>2884</v>
      </c>
      <c r="M16" s="3047"/>
      <c r="N16" s="3047"/>
      <c r="O16" s="3048"/>
      <c r="P16" s="3049">
        <v>365</v>
      </c>
      <c r="Q16" s="3023"/>
      <c r="R16" s="3069">
        <f>ROUND(M16*N16*O16*P16/10000,0)</f>
        <v>0</v>
      </c>
      <c r="S16" s="3004"/>
      <c r="T16" s="3004"/>
      <c r="U16" s="3004"/>
      <c r="V16" s="3012"/>
    </row>
    <row r="17" spans="1:22" s="3016" customFormat="1" ht="13.4" customHeight="1" thickBot="1">
      <c r="A17" s="3072">
        <v>4</v>
      </c>
      <c r="B17" s="3543" t="s">
        <v>2885</v>
      </c>
      <c r="C17" s="3544"/>
      <c r="D17" s="3073">
        <f>ROUND(D6*E17,0)</f>
        <v>1262</v>
      </c>
      <c r="E17" s="3276">
        <v>0.05</v>
      </c>
      <c r="F17" s="3074" t="s">
        <v>2886</v>
      </c>
      <c r="G17" s="3036"/>
      <c r="H17" s="3011"/>
      <c r="I17" s="3012"/>
      <c r="J17" s="3535"/>
      <c r="K17" s="3537"/>
      <c r="L17" s="3046" t="s">
        <v>2887</v>
      </c>
      <c r="M17" s="3047"/>
      <c r="N17" s="3047"/>
      <c r="O17" s="3048"/>
      <c r="P17" s="3049">
        <v>365</v>
      </c>
      <c r="Q17" s="3023"/>
      <c r="R17" s="3069">
        <f>ROUND(M17*N17*O17*P17/10000,0)</f>
        <v>0</v>
      </c>
      <c r="S17" s="3004"/>
      <c r="T17" s="3004"/>
      <c r="U17" s="3004"/>
      <c r="V17" s="3012"/>
    </row>
    <row r="18" spans="1:22" s="3016" customFormat="1" ht="13.4" customHeight="1" thickBot="1">
      <c r="A18" s="3039" t="s">
        <v>2888</v>
      </c>
      <c r="B18" s="3040"/>
      <c r="C18" s="3040"/>
      <c r="D18" s="3075">
        <f>ROUND(D6*E18,0)</f>
        <v>1262</v>
      </c>
      <c r="E18" s="3277">
        <v>0.05</v>
      </c>
      <c r="F18" s="3076" t="s">
        <v>2889</v>
      </c>
      <c r="G18" s="3036"/>
      <c r="H18" s="3011"/>
      <c r="I18" s="3012"/>
      <c r="J18" s="3535"/>
      <c r="K18" s="3537"/>
      <c r="L18" s="3046" t="s">
        <v>2890</v>
      </c>
      <c r="M18" s="3047"/>
      <c r="N18" s="3047"/>
      <c r="O18" s="3048"/>
      <c r="P18" s="3049">
        <v>365</v>
      </c>
      <c r="Q18" s="3023"/>
      <c r="R18" s="3069">
        <f>ROUND(M18*N18*O18*P18/10000,0)</f>
        <v>0</v>
      </c>
      <c r="S18" s="3004"/>
      <c r="T18" s="3004"/>
      <c r="U18" s="3004"/>
      <c r="V18" s="3012"/>
    </row>
    <row r="19" spans="1:22" s="3016" customFormat="1" ht="13.4" customHeight="1" thickBot="1">
      <c r="A19" s="3077" t="s">
        <v>2891</v>
      </c>
      <c r="B19" s="3034"/>
      <c r="C19" s="3034"/>
      <c r="D19" s="3034"/>
      <c r="E19" s="3034"/>
      <c r="F19" s="3035"/>
      <c r="G19" s="3055"/>
      <c r="H19" s="3011"/>
      <c r="I19" s="3012"/>
      <c r="J19" s="3535"/>
      <c r="K19" s="3538"/>
      <c r="L19" s="3065" t="s">
        <v>2871</v>
      </c>
      <c r="M19" s="3066"/>
      <c r="N19" s="3066">
        <f>SUM(N16:N18)</f>
        <v>0</v>
      </c>
      <c r="O19" s="3067"/>
      <c r="P19" s="3078" t="s">
        <v>3351</v>
      </c>
      <c r="Q19" s="3048">
        <v>0.9</v>
      </c>
      <c r="R19" s="3079">
        <f>ROUND(IF(P19="按比例",R14*Q19,SUM(R16:R18)),0)</f>
        <v>9500</v>
      </c>
      <c r="S19" s="3004"/>
      <c r="T19" s="3004"/>
      <c r="U19" s="3004"/>
      <c r="V19" s="3012"/>
    </row>
    <row r="20" spans="1:22" s="3016" customFormat="1" ht="13.4" customHeight="1">
      <c r="A20" s="3039"/>
      <c r="B20" s="3040"/>
      <c r="C20" s="3040"/>
      <c r="D20" s="3040"/>
      <c r="E20" s="3040"/>
      <c r="F20" s="3080"/>
      <c r="G20" s="3055"/>
      <c r="H20" s="3011"/>
      <c r="I20" s="3012"/>
      <c r="J20" s="3535">
        <v>3</v>
      </c>
      <c r="K20" s="3536" t="s">
        <v>2892</v>
      </c>
      <c r="L20" s="3046" t="s">
        <v>2893</v>
      </c>
      <c r="M20" s="3047" t="s">
        <v>2894</v>
      </c>
      <c r="N20" s="3081" t="s">
        <v>2895</v>
      </c>
      <c r="O20" s="3048" t="s">
        <v>2896</v>
      </c>
      <c r="P20" s="3049" t="s">
        <v>2897</v>
      </c>
      <c r="Q20" s="3023" t="s">
        <v>2898</v>
      </c>
      <c r="R20" s="3069" t="s">
        <v>2899</v>
      </c>
      <c r="S20" s="3082"/>
      <c r="T20" s="3082"/>
      <c r="U20" s="3082"/>
      <c r="V20" s="3012"/>
    </row>
    <row r="21" spans="1:22" s="3016" customFormat="1" ht="13.4" customHeight="1">
      <c r="A21" s="3039"/>
      <c r="B21" s="3040"/>
      <c r="C21" s="3083" t="s">
        <v>2900</v>
      </c>
      <c r="D21" s="3084" t="s">
        <v>2901</v>
      </c>
      <c r="E21" s="3085" t="s">
        <v>2902</v>
      </c>
      <c r="F21" s="3080"/>
      <c r="G21" s="3055"/>
      <c r="H21" s="3011"/>
      <c r="I21" s="3012"/>
      <c r="J21" s="3535"/>
      <c r="K21" s="3537"/>
      <c r="L21" s="3046" t="s">
        <v>2903</v>
      </c>
      <c r="M21" s="3047"/>
      <c r="N21" s="3047"/>
      <c r="O21" s="3048"/>
      <c r="P21" s="3049">
        <v>365</v>
      </c>
      <c r="Q21" s="3023"/>
      <c r="R21" s="3086">
        <f>ROUND(M21*N21*O21*P21/10000,0)</f>
        <v>0</v>
      </c>
      <c r="S21" s="3082"/>
      <c r="T21" s="3082"/>
      <c r="U21" s="3082"/>
      <c r="V21" s="3012"/>
    </row>
    <row r="22" spans="1:22" s="3016" customFormat="1" ht="13.4" customHeight="1">
      <c r="A22" s="3039"/>
      <c r="B22" s="3040"/>
      <c r="C22" s="3087" t="s">
        <v>2904</v>
      </c>
      <c r="D22" s="3088" t="s">
        <v>2905</v>
      </c>
      <c r="E22" s="3089" t="s">
        <v>2906</v>
      </c>
      <c r="F22" s="3080"/>
      <c r="G22" s="3090"/>
      <c r="H22" s="3011"/>
      <c r="I22" s="3012"/>
      <c r="J22" s="3535"/>
      <c r="K22" s="3537"/>
      <c r="L22" s="3046" t="s">
        <v>2907</v>
      </c>
      <c r="M22" s="3047"/>
      <c r="N22" s="3047"/>
      <c r="O22" s="3048"/>
      <c r="P22" s="3049">
        <v>365</v>
      </c>
      <c r="Q22" s="3023"/>
      <c r="R22" s="3086">
        <f>ROUND(M22*N22*O22*P22/10000,0)</f>
        <v>0</v>
      </c>
      <c r="S22" s="3082"/>
      <c r="T22" s="3082"/>
      <c r="U22" s="3082"/>
      <c r="V22" s="3012"/>
    </row>
    <row r="23" spans="1:22" s="3016" customFormat="1" ht="13.4" customHeight="1">
      <c r="A23" s="3091">
        <v>1</v>
      </c>
      <c r="B23" s="3092" t="s">
        <v>2908</v>
      </c>
      <c r="C23" s="3093">
        <f>D6</f>
        <v>25245</v>
      </c>
      <c r="D23" s="3094">
        <f>C23*(1+D24)</f>
        <v>25245</v>
      </c>
      <c r="E23" s="3095">
        <f>D23*(1+E24)</f>
        <v>25245</v>
      </c>
      <c r="F23" s="3096"/>
      <c r="G23" s="3097"/>
      <c r="H23" s="3011"/>
      <c r="I23" s="3012"/>
      <c r="J23" s="3535"/>
      <c r="K23" s="3537"/>
      <c r="L23" s="3046" t="s">
        <v>2909</v>
      </c>
      <c r="M23" s="3047"/>
      <c r="N23" s="3047"/>
      <c r="O23" s="3048"/>
      <c r="P23" s="3049">
        <v>365</v>
      </c>
      <c r="Q23" s="3023"/>
      <c r="R23" s="3086">
        <f>ROUND(M23*N23*O23*P23/10000,0)</f>
        <v>0</v>
      </c>
      <c r="S23" s="3004"/>
      <c r="T23" s="3004"/>
      <c r="U23" s="3004"/>
      <c r="V23" s="3012"/>
    </row>
    <row r="24" spans="1:22" s="3016" customFormat="1" ht="13.4" customHeight="1">
      <c r="A24" s="3098"/>
      <c r="B24" s="3099" t="s">
        <v>2910</v>
      </c>
      <c r="C24" s="3100"/>
      <c r="D24" s="3101"/>
      <c r="E24" s="3102"/>
      <c r="F24" s="3103"/>
      <c r="G24" s="3097"/>
      <c r="H24" s="3011"/>
      <c r="I24" s="3012"/>
      <c r="J24" s="3535"/>
      <c r="K24" s="3538"/>
      <c r="L24" s="3065" t="s">
        <v>2871</v>
      </c>
      <c r="M24" s="3066">
        <f>SUM(M21:M23)</f>
        <v>0</v>
      </c>
      <c r="N24" s="3066"/>
      <c r="O24" s="3067"/>
      <c r="P24" s="3078" t="s">
        <v>3351</v>
      </c>
      <c r="Q24" s="3048">
        <v>0.12</v>
      </c>
      <c r="R24" s="3079">
        <f>ROUND(IF(P24="按比例",R14*Q24,SUM(R21:R23)),0)</f>
        <v>1267</v>
      </c>
      <c r="S24" s="3004"/>
      <c r="T24" s="3004"/>
      <c r="U24" s="3004"/>
      <c r="V24" s="3012"/>
    </row>
    <row r="25" spans="1:22" s="3110" customFormat="1" ht="13.4" customHeight="1">
      <c r="A25" s="3098"/>
      <c r="B25" s="3099"/>
      <c r="C25" s="3100"/>
      <c r="D25" s="3101"/>
      <c r="E25" s="3102"/>
      <c r="F25" s="3103"/>
      <c r="G25" s="3090"/>
      <c r="H25" s="3011"/>
      <c r="I25" s="3012"/>
      <c r="J25" s="3104">
        <v>4</v>
      </c>
      <c r="K25" s="3105" t="s">
        <v>2911</v>
      </c>
      <c r="L25" s="3106"/>
      <c r="M25" s="3106"/>
      <c r="N25" s="3106"/>
      <c r="O25" s="3106"/>
      <c r="P25" s="3107"/>
      <c r="Q25" s="3108">
        <v>0.05</v>
      </c>
      <c r="R25" s="3079">
        <f>ROUND(R14*Q25,0)</f>
        <v>528</v>
      </c>
      <c r="S25" s="3004"/>
      <c r="T25" s="3004"/>
      <c r="U25" s="3004"/>
      <c r="V25" s="3109"/>
    </row>
    <row r="26" spans="1:22" s="3110" customFormat="1" ht="13.4" customHeight="1">
      <c r="A26" s="3091">
        <v>2</v>
      </c>
      <c r="B26" s="3092" t="s">
        <v>2912</v>
      </c>
      <c r="C26" s="3093">
        <f ca="1">D7</f>
        <v>9951</v>
      </c>
      <c r="D26" s="3094">
        <f>D23*D27</f>
        <v>0</v>
      </c>
      <c r="E26" s="3095">
        <f>E23*E27</f>
        <v>0</v>
      </c>
      <c r="F26" s="3096"/>
      <c r="G26" s="3097"/>
      <c r="H26" s="3011"/>
      <c r="I26" s="3012"/>
      <c r="J26" s="3545">
        <v>5</v>
      </c>
      <c r="K26" s="3111" t="s">
        <v>2913</v>
      </c>
      <c r="L26" s="3112"/>
      <c r="M26" s="3113"/>
      <c r="N26" s="3114" t="s">
        <v>2914</v>
      </c>
      <c r="O26" s="3114" t="s">
        <v>2915</v>
      </c>
      <c r="P26" s="3115" t="s">
        <v>2916</v>
      </c>
      <c r="Q26" s="3115" t="s">
        <v>2917</v>
      </c>
      <c r="R26" s="3021" t="s">
        <v>2842</v>
      </c>
      <c r="S26" s="3116"/>
      <c r="T26" s="3116"/>
      <c r="U26" s="3116"/>
      <c r="V26" s="3109"/>
    </row>
    <row r="27" spans="1:22" s="3016" customFormat="1" ht="13.4" customHeight="1">
      <c r="A27" s="3098"/>
      <c r="B27" s="3099" t="s">
        <v>2918</v>
      </c>
      <c r="C27" s="3117">
        <f ca="1">E7</f>
        <v>0.39415725886314118</v>
      </c>
      <c r="D27" s="3101"/>
      <c r="E27" s="3102"/>
      <c r="F27" s="3103"/>
      <c r="G27" s="3097"/>
      <c r="H27" s="3118"/>
      <c r="I27" s="3109"/>
      <c r="J27" s="3546"/>
      <c r="K27" s="3119"/>
      <c r="L27" s="3120"/>
      <c r="M27" s="3121"/>
      <c r="N27" s="3122"/>
      <c r="O27" s="3122"/>
      <c r="P27" s="3122"/>
      <c r="Q27" s="3123"/>
      <c r="R27" s="3079">
        <f>ROUND(O27*N27*P27*(1-Q27)/10000,0)</f>
        <v>0</v>
      </c>
      <c r="S27" s="3004"/>
      <c r="T27" s="3004"/>
      <c r="U27" s="3004"/>
      <c r="V27" s="3012"/>
    </row>
    <row r="28" spans="1:22" s="3110" customFormat="1" ht="13.4" customHeight="1" thickBot="1">
      <c r="A28" s="3098"/>
      <c r="B28" s="3099"/>
      <c r="C28" s="3117"/>
      <c r="D28" s="3101"/>
      <c r="E28" s="3102" t="s">
        <v>2919</v>
      </c>
      <c r="F28" s="3103"/>
      <c r="G28" s="3090"/>
      <c r="H28" s="3118"/>
      <c r="I28" s="3109"/>
      <c r="J28" s="3124">
        <v>6</v>
      </c>
      <c r="K28" s="3125" t="s">
        <v>2920</v>
      </c>
      <c r="L28" s="3126" t="s">
        <v>2921</v>
      </c>
      <c r="M28" s="3127"/>
      <c r="N28" s="3126" t="s">
        <v>2922</v>
      </c>
      <c r="O28" s="3128"/>
      <c r="P28" s="3126" t="s">
        <v>2923</v>
      </c>
      <c r="Q28" s="3129">
        <v>1.4999999999999999E-2</v>
      </c>
      <c r="R28" s="3130">
        <v>3395</v>
      </c>
      <c r="S28" s="3082"/>
      <c r="T28" s="3082"/>
      <c r="U28" s="3082"/>
      <c r="V28" s="3109"/>
    </row>
    <row r="29" spans="1:22" s="3110" customFormat="1" ht="13.4" customHeight="1">
      <c r="A29" s="3091">
        <v>3</v>
      </c>
      <c r="B29" s="3092" t="s">
        <v>2924</v>
      </c>
      <c r="C29" s="3093">
        <f>C23*C30</f>
        <v>1262.25</v>
      </c>
      <c r="D29" s="3094">
        <f>D23*C30</f>
        <v>1262.25</v>
      </c>
      <c r="E29" s="3095">
        <f>E23*C30</f>
        <v>1262.25</v>
      </c>
      <c r="F29" s="3096"/>
      <c r="G29" s="3097"/>
      <c r="H29" s="3011"/>
      <c r="I29" s="3012"/>
      <c r="J29" s="3082"/>
      <c r="K29" s="3082"/>
      <c r="L29" s="3082"/>
      <c r="M29" s="3082"/>
      <c r="N29" s="3082"/>
      <c r="O29" s="3082"/>
      <c r="P29" s="3082"/>
      <c r="Q29" s="3082"/>
      <c r="R29" s="3082"/>
      <c r="S29" s="3082"/>
      <c r="T29" s="3082"/>
      <c r="U29" s="3082"/>
      <c r="V29" s="3109"/>
    </row>
    <row r="30" spans="1:22" s="3016" customFormat="1" ht="13.4" customHeight="1" thickBot="1">
      <c r="A30" s="3098"/>
      <c r="B30" s="3099" t="s">
        <v>2918</v>
      </c>
      <c r="C30" s="3117">
        <f>E18</f>
        <v>0.05</v>
      </c>
      <c r="D30" s="3131"/>
      <c r="E30" s="3064"/>
      <c r="F30" s="3103"/>
      <c r="G30" s="3097"/>
      <c r="H30" s="3118"/>
      <c r="I30" s="3109"/>
      <c r="J30" s="3082"/>
      <c r="K30" s="3082"/>
      <c r="L30" s="3082"/>
      <c r="M30" s="3082"/>
      <c r="N30" s="3082"/>
      <c r="O30" s="3082"/>
      <c r="P30" s="3082"/>
      <c r="Q30" s="3082"/>
      <c r="R30" s="3082"/>
      <c r="S30" s="3082"/>
      <c r="T30" s="3082"/>
      <c r="U30" s="3004"/>
      <c r="V30" s="3012"/>
    </row>
    <row r="31" spans="1:22" s="3110" customFormat="1" ht="13.4" customHeight="1">
      <c r="A31" s="3098"/>
      <c r="B31" s="3099"/>
      <c r="C31" s="3132"/>
      <c r="D31" s="3131"/>
      <c r="E31" s="3064"/>
      <c r="F31" s="3103"/>
      <c r="G31" s="3090"/>
      <c r="H31" s="3118"/>
      <c r="I31" s="3109"/>
      <c r="J31" s="3001" t="s">
        <v>2925</v>
      </c>
      <c r="K31" s="3002"/>
      <c r="L31" s="3002"/>
      <c r="M31" s="3002"/>
      <c r="N31" s="3002"/>
      <c r="O31" s="3002"/>
      <c r="P31" s="3002"/>
      <c r="Q31" s="3002"/>
      <c r="R31" s="3003"/>
      <c r="S31" s="3082"/>
      <c r="T31" s="3004"/>
      <c r="U31" s="3004"/>
      <c r="V31" s="3109"/>
    </row>
    <row r="32" spans="1:22" s="3110" customFormat="1" ht="13.4" customHeight="1">
      <c r="A32" s="3091">
        <v>4</v>
      </c>
      <c r="B32" s="3092" t="s">
        <v>2926</v>
      </c>
      <c r="C32" s="3093">
        <f ca="1">C23-C26-C29</f>
        <v>14031.75</v>
      </c>
      <c r="D32" s="3094">
        <f>D23-D26-D29</f>
        <v>23982.75</v>
      </c>
      <c r="E32" s="3095">
        <f>E23-E26-E29</f>
        <v>23982.75</v>
      </c>
      <c r="F32" s="3096"/>
      <c r="G32" s="3090"/>
      <c r="H32" s="3011"/>
      <c r="I32" s="3012"/>
      <c r="J32" s="3528" t="s">
        <v>2818</v>
      </c>
      <c r="K32" s="3529"/>
      <c r="L32" s="3013" t="s">
        <v>2819</v>
      </c>
      <c r="M32" s="3013" t="s">
        <v>2820</v>
      </c>
      <c r="N32" s="3013" t="s">
        <v>2821</v>
      </c>
      <c r="O32" s="3013" t="s">
        <v>2822</v>
      </c>
      <c r="P32" s="3013" t="s">
        <v>2823</v>
      </c>
      <c r="Q32" s="3014" t="s">
        <v>2824</v>
      </c>
      <c r="R32" s="3133" t="s">
        <v>2825</v>
      </c>
      <c r="S32" s="3082"/>
      <c r="T32" s="3004"/>
      <c r="U32" s="3004"/>
      <c r="V32" s="3109"/>
    </row>
    <row r="33" spans="1:23" s="3016" customFormat="1" ht="13.4" customHeight="1">
      <c r="A33" s="3091"/>
      <c r="B33" s="3092"/>
      <c r="C33" s="3093"/>
      <c r="D33" s="3134"/>
      <c r="E33" s="3135"/>
      <c r="F33" s="3096"/>
      <c r="G33" s="3090"/>
      <c r="H33" s="3118"/>
      <c r="I33" s="3109"/>
      <c r="J33" s="3530" t="s">
        <v>2828</v>
      </c>
      <c r="K33" s="3531"/>
      <c r="L33" s="3019"/>
      <c r="M33" s="3019"/>
      <c r="N33" s="3019"/>
      <c r="O33" s="3019"/>
      <c r="P33" s="3019"/>
      <c r="Q33" s="3020"/>
      <c r="R33" s="3136">
        <f>SUM(L33:Q33)</f>
        <v>0</v>
      </c>
      <c r="S33" s="3082"/>
      <c r="T33" s="3004"/>
      <c r="U33" s="3004"/>
      <c r="V33" s="3012"/>
    </row>
    <row r="34" spans="1:23" s="3016" customFormat="1" ht="13.4" customHeight="1">
      <c r="A34" s="3091">
        <v>5</v>
      </c>
      <c r="B34" s="3092" t="s">
        <v>2927</v>
      </c>
      <c r="C34" s="3278">
        <f>'[1]数据-取费表'!I6</f>
        <v>5.5E-2</v>
      </c>
      <c r="D34" s="3137"/>
      <c r="E34" s="3138"/>
      <c r="F34" s="3096"/>
      <c r="G34" s="3090"/>
      <c r="H34" s="3118"/>
      <c r="I34" s="3109"/>
      <c r="J34" s="3530" t="s">
        <v>2830</v>
      </c>
      <c r="K34" s="3531"/>
      <c r="L34" s="3024"/>
      <c r="M34" s="3024"/>
      <c r="N34" s="3024"/>
      <c r="O34" s="3024"/>
      <c r="P34" s="3024"/>
      <c r="Q34" s="3025"/>
      <c r="R34" s="3139">
        <f>SUM(L34:Q34)</f>
        <v>0</v>
      </c>
      <c r="S34" s="3082"/>
      <c r="T34" s="3004"/>
      <c r="U34" s="3004" t="e">
        <f>ROUND(R35*10000/365/R33,1)</f>
        <v>#DIV/0!</v>
      </c>
      <c r="V34" s="3012"/>
    </row>
    <row r="35" spans="1:23" s="3016" customFormat="1" ht="13.4" customHeight="1">
      <c r="A35" s="3091">
        <v>6</v>
      </c>
      <c r="B35" s="3092" t="s">
        <v>2928</v>
      </c>
      <c r="C35" s="3279">
        <v>0.03</v>
      </c>
      <c r="D35" s="3140"/>
      <c r="E35" s="3141"/>
      <c r="F35" s="3096"/>
      <c r="G35" s="3142"/>
      <c r="H35" s="3011"/>
      <c r="I35" s="3109"/>
      <c r="J35" s="3030" t="s">
        <v>2832</v>
      </c>
      <c r="K35" s="3031"/>
      <c r="L35" s="3031"/>
      <c r="M35" s="3032"/>
      <c r="N35" s="3032"/>
      <c r="O35" s="3032"/>
      <c r="P35" s="3032"/>
      <c r="Q35" s="3032"/>
      <c r="R35" s="3143">
        <f>R40+R41+R43</f>
        <v>0</v>
      </c>
      <c r="S35" s="3082"/>
      <c r="T35" s="3004" t="s">
        <v>2833</v>
      </c>
      <c r="U35" s="3004"/>
      <c r="V35" s="3012"/>
    </row>
    <row r="36" spans="1:23" s="3016" customFormat="1" ht="13.4" customHeight="1" thickBot="1">
      <c r="A36" s="3091">
        <v>7</v>
      </c>
      <c r="B36" s="3144" t="s">
        <v>2929</v>
      </c>
      <c r="C36" s="3280">
        <f>'数据-取费表'!F6</f>
        <v>19.5</v>
      </c>
      <c r="D36" s="3145"/>
      <c r="E36" s="3146"/>
      <c r="F36" s="3147">
        <f>C36+D36+E36</f>
        <v>19.5</v>
      </c>
      <c r="G36" s="3090"/>
      <c r="H36" s="3011"/>
      <c r="I36" s="3012"/>
      <c r="J36" s="3535">
        <v>1</v>
      </c>
      <c r="K36" s="3536" t="s">
        <v>2930</v>
      </c>
      <c r="L36" s="3037"/>
      <c r="M36" s="3038"/>
      <c r="N36" s="3038"/>
      <c r="O36" s="3038"/>
      <c r="P36" s="3038"/>
      <c r="Q36" s="3038"/>
      <c r="R36" s="3021" t="s">
        <v>2842</v>
      </c>
      <c r="S36" s="3082"/>
      <c r="T36" s="3004" t="s">
        <v>2843</v>
      </c>
      <c r="U36" s="3004"/>
      <c r="V36" s="3012"/>
    </row>
    <row r="37" spans="1:23" s="3016" customFormat="1" ht="13.4" customHeight="1">
      <c r="A37" s="3091"/>
      <c r="B37" s="3092"/>
      <c r="C37" s="3092"/>
      <c r="D37" s="3092"/>
      <c r="E37" s="3092"/>
      <c r="F37" s="3096"/>
      <c r="G37" s="3090"/>
      <c r="H37" s="3011"/>
      <c r="I37" s="3012"/>
      <c r="J37" s="3535"/>
      <c r="K37" s="3537"/>
      <c r="L37" s="3046"/>
      <c r="M37" s="3047"/>
      <c r="N37" s="3023"/>
      <c r="O37" s="3048"/>
      <c r="P37" s="3048"/>
      <c r="Q37" s="3049"/>
      <c r="R37" s="3050"/>
      <c r="S37" s="3082"/>
      <c r="T37" s="3004" t="s">
        <v>2846</v>
      </c>
      <c r="U37" s="3004"/>
      <c r="V37" s="3012"/>
    </row>
    <row r="38" spans="1:23" s="3016" customFormat="1" ht="13.4" customHeight="1">
      <c r="A38" s="3091">
        <v>8</v>
      </c>
      <c r="B38" s="3092"/>
      <c r="C38" s="3052">
        <f ca="1">ROUND(C32*(1-((1+C35)/(1+C34))^C36)/(C34-C35),0)</f>
        <v>209649</v>
      </c>
      <c r="D38" s="3052"/>
      <c r="E38" s="3052"/>
      <c r="F38" s="3096"/>
      <c r="G38" s="3090"/>
      <c r="H38" s="3011"/>
      <c r="I38" s="3012"/>
      <c r="J38" s="3535"/>
      <c r="K38" s="3537"/>
      <c r="L38" s="3046"/>
      <c r="M38" s="3047"/>
      <c r="N38" s="3023"/>
      <c r="O38" s="3048"/>
      <c r="P38" s="3048"/>
      <c r="Q38" s="3049"/>
      <c r="R38" s="3050"/>
      <c r="S38" s="3082"/>
      <c r="T38" s="3004" t="s">
        <v>2853</v>
      </c>
      <c r="U38" s="3004"/>
      <c r="V38" s="3012"/>
    </row>
    <row r="39" spans="1:23" s="3016" customFormat="1" ht="13.4" customHeight="1">
      <c r="A39" s="3091">
        <v>9</v>
      </c>
      <c r="B39" s="3092" t="s">
        <v>2931</v>
      </c>
      <c r="C39" s="3059">
        <f ca="1">C38</f>
        <v>209649</v>
      </c>
      <c r="D39" s="3092">
        <f>D38/(1+D34)^C36</f>
        <v>0</v>
      </c>
      <c r="E39" s="3092">
        <f>E38/(1+E34)^(C36+D36)</f>
        <v>0</v>
      </c>
      <c r="F39" s="3096"/>
      <c r="G39" s="3148"/>
      <c r="H39" s="3011"/>
      <c r="I39" s="3012"/>
      <c r="J39" s="3535"/>
      <c r="K39" s="3537"/>
      <c r="L39" s="3046"/>
      <c r="M39" s="3047"/>
      <c r="N39" s="3023"/>
      <c r="O39" s="3048"/>
      <c r="P39" s="3048"/>
      <c r="Q39" s="3049"/>
      <c r="R39" s="3050"/>
      <c r="S39" s="3082"/>
      <c r="T39" s="3004"/>
      <c r="U39" s="3004"/>
      <c r="V39" s="3012"/>
    </row>
    <row r="40" spans="1:23" s="3016" customFormat="1" ht="13.4" customHeight="1">
      <c r="A40" s="3149">
        <v>10</v>
      </c>
      <c r="B40" s="3092" t="s">
        <v>2932</v>
      </c>
      <c r="C40" s="3150">
        <f ca="1">C39+D39+E39</f>
        <v>209649</v>
      </c>
      <c r="D40" s="3151"/>
      <c r="E40" s="3151"/>
      <c r="F40" s="3152"/>
      <c r="G40" s="3090"/>
      <c r="H40" s="3011"/>
      <c r="I40" s="3012"/>
      <c r="J40" s="3535"/>
      <c r="K40" s="3538"/>
      <c r="L40" s="3065" t="s">
        <v>2871</v>
      </c>
      <c r="M40" s="3066"/>
      <c r="N40" s="3066"/>
      <c r="O40" s="3067"/>
      <c r="P40" s="3067"/>
      <c r="Q40" s="3068"/>
      <c r="R40" s="3015">
        <f>SUM(R37:R39)</f>
        <v>0</v>
      </c>
      <c r="S40" s="3082"/>
      <c r="T40" s="3004"/>
      <c r="U40" s="3004"/>
      <c r="V40" s="3012"/>
    </row>
    <row r="41" spans="1:23" s="3016" customFormat="1" ht="13.4" customHeight="1" thickBot="1">
      <c r="A41" s="3153">
        <v>11</v>
      </c>
      <c r="B41" s="3154" t="s">
        <v>2933</v>
      </c>
      <c r="C41" s="3154">
        <f ca="1">ROUND(C40*10000/B4,0)</f>
        <v>21325</v>
      </c>
      <c r="D41" s="3155"/>
      <c r="E41" s="3155"/>
      <c r="F41" s="3156"/>
      <c r="G41" s="3157"/>
      <c r="H41" s="3011"/>
      <c r="I41" s="3012"/>
      <c r="J41" s="3104">
        <v>2</v>
      </c>
      <c r="K41" s="3105" t="s">
        <v>2911</v>
      </c>
      <c r="L41" s="3106"/>
      <c r="M41" s="3106"/>
      <c r="N41" s="3106"/>
      <c r="O41" s="3106"/>
      <c r="P41" s="3107"/>
      <c r="Q41" s="3108"/>
      <c r="R41" s="3079">
        <f>ROUND(R40*Q41,0)</f>
        <v>0</v>
      </c>
      <c r="S41" s="3082"/>
      <c r="T41" s="3004"/>
      <c r="U41" s="3116"/>
      <c r="V41" s="3012"/>
    </row>
    <row r="42" spans="1:23" s="3016" customFormat="1" ht="13.4" customHeight="1">
      <c r="G42" s="3157"/>
      <c r="H42" s="3011"/>
      <c r="I42" s="3012"/>
      <c r="J42" s="3545">
        <v>3</v>
      </c>
      <c r="K42" s="3111" t="s">
        <v>2913</v>
      </c>
      <c r="L42" s="3112"/>
      <c r="M42" s="3113"/>
      <c r="N42" s="3114" t="s">
        <v>2914</v>
      </c>
      <c r="O42" s="3114" t="s">
        <v>2915</v>
      </c>
      <c r="P42" s="3115" t="s">
        <v>2916</v>
      </c>
      <c r="Q42" s="3115" t="s">
        <v>2917</v>
      </c>
      <c r="R42" s="3021" t="s">
        <v>2842</v>
      </c>
      <c r="S42" s="3116"/>
      <c r="T42" s="3116"/>
      <c r="U42" s="3004"/>
      <c r="V42" s="3012"/>
    </row>
    <row r="43" spans="1:23" ht="13.4" customHeight="1">
      <c r="A43" s="3016"/>
      <c r="B43" s="3016"/>
      <c r="C43" s="3016"/>
      <c r="D43" s="3016"/>
      <c r="E43" s="3016"/>
      <c r="F43" s="3016"/>
      <c r="I43" s="2999"/>
      <c r="J43" s="3546"/>
      <c r="K43" s="3119"/>
      <c r="L43" s="3120"/>
      <c r="M43" s="3121"/>
      <c r="N43" s="3047"/>
      <c r="O43" s="3047"/>
      <c r="P43" s="3047"/>
      <c r="Q43" s="3108"/>
      <c r="R43" s="3079">
        <f>ROUND(O43*N43*P43*(1-Q43)/10000,0)</f>
        <v>0</v>
      </c>
      <c r="S43" s="3082"/>
      <c r="T43" s="3004"/>
      <c r="V43" s="3159"/>
      <c r="W43" s="3160"/>
    </row>
    <row r="44" spans="1:23" ht="13.4" customHeight="1" thickBot="1">
      <c r="J44" s="3124">
        <v>6</v>
      </c>
      <c r="K44" s="3125" t="s">
        <v>2920</v>
      </c>
      <c r="L44" s="3161" t="s">
        <v>2921</v>
      </c>
      <c r="M44" s="3127"/>
      <c r="N44" s="3161" t="s">
        <v>2922</v>
      </c>
      <c r="O44" s="3127"/>
      <c r="P44" s="3161" t="s">
        <v>2923</v>
      </c>
      <c r="Q44" s="3129">
        <v>1.4999999999999999E-2</v>
      </c>
      <c r="R44" s="313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90" customWidth="1"/>
    <col min="12" max="12" width="16.36328125" style="254" customWidth="1"/>
    <col min="13" max="13" width="13" style="254" customWidth="1"/>
    <col min="14" max="14" width="13.90625" style="1506" customWidth="1"/>
    <col min="15" max="15" width="5.08984375" style="1506" customWidth="1"/>
    <col min="16" max="16" width="25.90625" style="1506" customWidth="1"/>
    <col min="17" max="17" width="13.90625" style="1506" customWidth="1"/>
    <col min="18" max="18" width="20.453125" style="1506" customWidth="1"/>
    <col min="19" max="19" width="13.08984375" style="1506" customWidth="1"/>
    <col min="20" max="37" width="9" style="1506"/>
    <col min="38" max="16384" width="9" style="254"/>
  </cols>
  <sheetData>
    <row r="1" spans="1:37" s="289" customFormat="1" ht="21">
      <c r="A1" s="1497" t="s">
        <v>1313</v>
      </c>
      <c r="B1" s="710"/>
      <c r="C1" s="1501" t="s">
        <v>3183</v>
      </c>
      <c r="D1" s="1484"/>
      <c r="E1" s="1485" t="s">
        <v>1111</v>
      </c>
      <c r="F1" s="1162">
        <f ca="1">J53</f>
        <v>19.5</v>
      </c>
      <c r="G1" s="1500">
        <f>MATCH(C1,'数据-取费表'!A6:A16,0)+5</f>
        <v>6</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11101</v>
      </c>
      <c r="C2" s="1509" t="s">
        <v>1240</v>
      </c>
      <c r="D2" s="1509"/>
      <c r="E2" s="1510"/>
      <c r="F2" s="1511"/>
      <c r="G2" s="2867"/>
      <c r="H2" s="2856"/>
      <c r="I2" s="2856"/>
      <c r="J2" s="2856"/>
      <c r="K2" s="2857"/>
      <c r="L2" s="2856"/>
      <c r="M2" s="2856"/>
    </row>
    <row r="3" spans="1:37" ht="18" customHeight="1" thickBot="1">
      <c r="A3" s="1512" t="s">
        <v>1241</v>
      </c>
      <c r="B3" s="1513">
        <f ca="1">IF(ISERROR(B2*10000/F43),0,ROUND(B2*10000/F43,0))</f>
        <v>1129</v>
      </c>
      <c r="C3" s="1509" t="s">
        <v>1242</v>
      </c>
      <c r="D3" s="1509"/>
      <c r="E3" s="1510"/>
      <c r="F3" s="1511"/>
      <c r="G3" s="286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9" t="s">
        <v>1127</v>
      </c>
      <c r="C6" s="1175">
        <f ca="1">ROUND(F6*F8*F7*(1-F9)/10000,0)</f>
        <v>0</v>
      </c>
      <c r="D6" s="150" t="s">
        <v>2609</v>
      </c>
      <c r="E6" s="298" t="s">
        <v>1129</v>
      </c>
      <c r="F6" s="299">
        <f ca="1">INDIRECT("'数据-取费表'!u"&amp;$G$1)</f>
        <v>0</v>
      </c>
      <c r="G6" s="1506"/>
      <c r="H6" s="1170" t="s">
        <v>822</v>
      </c>
      <c r="I6" s="3549" t="s">
        <v>1127</v>
      </c>
      <c r="J6" s="297">
        <f ca="1">ROUND(M6*M8*M7*(1-M9)/10000,0)</f>
        <v>0</v>
      </c>
      <c r="K6" s="150" t="s">
        <v>2608</v>
      </c>
      <c r="L6" s="298" t="s">
        <v>1129</v>
      </c>
      <c r="M6" s="299">
        <f ca="1">INDIRECT("'数据-取费表'!z"&amp;$G$1)</f>
        <v>0</v>
      </c>
    </row>
    <row r="7" spans="1:37" ht="18" customHeight="1">
      <c r="A7" s="1174"/>
      <c r="B7" s="3550"/>
      <c r="C7" s="1176"/>
      <c r="D7" s="303"/>
      <c r="E7" s="1177" t="s">
        <v>1130</v>
      </c>
      <c r="F7" s="299">
        <f ca="1">IF(INDIRECT("'数据-取费表'!ah"&amp;$G$1)="",INDIRECT("'数据-取费表'!k"&amp;$G$1),INDIRECT("'数据-取费表'!ah"&amp;$G$1))</f>
        <v>98312.17</v>
      </c>
      <c r="G7" s="1506"/>
      <c r="H7" s="300"/>
      <c r="I7" s="3550"/>
      <c r="J7" s="302"/>
      <c r="K7" s="303"/>
      <c r="L7" s="298" t="s">
        <v>1130</v>
      </c>
      <c r="M7" s="299">
        <f ca="1">F7</f>
        <v>98312.17</v>
      </c>
    </row>
    <row r="8" spans="1:37" ht="18" customHeight="1">
      <c r="A8" s="300"/>
      <c r="B8" s="3550"/>
      <c r="C8" s="302"/>
      <c r="D8" s="303"/>
      <c r="E8" s="298" t="s">
        <v>1131</v>
      </c>
      <c r="F8" s="299">
        <f ca="1">INDIRECT("'数据-取费表'!ai"&amp;$G$1)</f>
        <v>0</v>
      </c>
      <c r="G8" s="1506"/>
      <c r="H8" s="300"/>
      <c r="I8" s="3550"/>
      <c r="J8" s="302"/>
      <c r="K8" s="303"/>
      <c r="L8" s="298" t="s">
        <v>1131</v>
      </c>
      <c r="M8" s="299">
        <f ca="1">INDIRECT("'数据-取费表'!ai"&amp;$G$1)</f>
        <v>0</v>
      </c>
    </row>
    <row r="9" spans="1:37" ht="18" customHeight="1">
      <c r="A9" s="300"/>
      <c r="B9" s="3551"/>
      <c r="C9" s="302"/>
      <c r="D9" s="303"/>
      <c r="E9" s="298" t="s">
        <v>1132</v>
      </c>
      <c r="F9" s="308">
        <f ca="1">INDIRECT("'数据-取费表'!w"&amp;$G$1)</f>
        <v>0</v>
      </c>
      <c r="G9" s="1506"/>
      <c r="H9" s="300"/>
      <c r="I9" s="3551"/>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2617</v>
      </c>
      <c r="E10" s="309" t="s">
        <v>1134</v>
      </c>
      <c r="F10" s="1217"/>
      <c r="G10" s="1506"/>
      <c r="H10" s="1170" t="s">
        <v>826</v>
      </c>
      <c r="I10" s="1487" t="s">
        <v>1133</v>
      </c>
      <c r="J10" s="297">
        <f ca="1">ROUND(IF(M10="押一",J6/12*M11,IF(M10="押二",J6/12*2*M11,IF(M10="押三",J6/12*3*M11,J11*M11))),0)</f>
        <v>0</v>
      </c>
      <c r="K10" s="1488" t="s">
        <v>2616</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113705</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989</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989</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955.12</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5278</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-989</v>
      </c>
      <c r="K25" s="1196" t="s">
        <v>1188</v>
      </c>
      <c r="L25" s="1197"/>
      <c r="M25" s="1198"/>
    </row>
    <row r="26" spans="1:37" ht="13">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113705</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989</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989</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IF(项目基本情况!B11="自然人","——",IF(D33="按租金收入计税",ROUND(C6*F33/(1+'数据-取费表'!C42),2),IF(D33="按房产原值计税",ROUND(C29*F33*0.7,2),INDIRECT("'数据-取费表'!Aj"&amp;$G$1))))</f>
        <v>955.12</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IF(项目基本情况!B11="自然人","——",ROUND(F34*F35/10000,2))</f>
        <v>33.81</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28178.74</v>
      </c>
      <c r="G35" s="1506"/>
      <c r="H35" s="2858"/>
      <c r="I35" s="1520"/>
      <c r="J35" s="1521"/>
      <c r="K35" s="2862"/>
      <c r="L35" s="2861"/>
      <c r="M35" s="2861"/>
    </row>
    <row r="36" spans="1:18" ht="18" customHeight="1">
      <c r="A36" s="1203" t="s">
        <v>826</v>
      </c>
      <c r="B36" s="298" t="s">
        <v>1173</v>
      </c>
      <c r="C36" s="24">
        <f ca="1">ROUND(C29*F36,1)</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ROUND(C13*F37,1)</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5" customHeight="1" thickTop="1">
      <c r="A39" s="1180" t="s">
        <v>818</v>
      </c>
      <c r="B39" s="1195" t="s">
        <v>1207</v>
      </c>
      <c r="C39" s="306">
        <f ca="1">C5-C30</f>
        <v>-989</v>
      </c>
      <c r="D39" s="1196" t="s">
        <v>1208</v>
      </c>
      <c r="E39" s="1197"/>
      <c r="F39" s="1198"/>
      <c r="G39" s="1506"/>
      <c r="H39" s="2861"/>
      <c r="I39" s="1520"/>
      <c r="J39" s="1521"/>
      <c r="K39" s="2865"/>
      <c r="L39" s="2861"/>
      <c r="M39" s="286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66" t="s">
        <v>1243</v>
      </c>
      <c r="P45" s="1583"/>
      <c r="Q45" s="1583"/>
      <c r="R45" s="1583"/>
    </row>
    <row r="46" spans="1:18" s="1506" customFormat="1" ht="14" thickBot="1">
      <c r="A46" s="1526" t="s">
        <v>1244</v>
      </c>
      <c r="C46" s="1527">
        <f ca="1">C68-C40</f>
        <v>0</v>
      </c>
      <c r="D46" s="1528" t="str">
        <f>C2</f>
        <v>万元</v>
      </c>
      <c r="E46" s="1522"/>
      <c r="F46" s="1522"/>
      <c r="I46" s="1529" t="s">
        <v>1245</v>
      </c>
      <c r="J46" s="1530"/>
      <c r="K46" s="1531"/>
      <c r="L46" s="1532">
        <f ca="1">IF(M47="住宅",0,IF(L48&gt;J51,L60,J60))</f>
        <v>11101</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3352</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43.5" thickBot="1">
      <c r="A48" s="1211" t="s">
        <v>863</v>
      </c>
      <c r="B48" s="296" t="s">
        <v>1125</v>
      </c>
      <c r="C48" s="1481">
        <f ca="1">C49+C53+C55</f>
        <v>0</v>
      </c>
      <c r="D48" s="1213"/>
      <c r="E48" s="1214"/>
      <c r="F48" s="1062"/>
      <c r="G48" s="719"/>
      <c r="H48" s="720"/>
      <c r="I48" s="1543" t="s">
        <v>1254</v>
      </c>
      <c r="J48" s="1544" t="s">
        <v>3353</v>
      </c>
      <c r="K48" s="1545" t="s">
        <v>1255</v>
      </c>
      <c r="L48" s="1546">
        <f ca="1">INDIRECT("'数据-取费表'!f"&amp;$G$1)</f>
        <v>19.5</v>
      </c>
      <c r="O48" s="1540" t="s">
        <v>828</v>
      </c>
      <c r="P48" s="1541" t="s">
        <v>1256</v>
      </c>
      <c r="Q48" s="1542">
        <f ca="1">J60</f>
        <v>11101</v>
      </c>
      <c r="R48" s="1542" t="s">
        <v>1257</v>
      </c>
    </row>
    <row r="49" spans="1:18" s="1506" customFormat="1" ht="13.5" thickBot="1">
      <c r="A49" s="1075" t="s">
        <v>864</v>
      </c>
      <c r="B49" s="1493" t="s">
        <v>1214</v>
      </c>
      <c r="C49" s="1215">
        <f ca="1">ROUND(F49*F51*F50*(1-F52)/10000,0)</f>
        <v>0</v>
      </c>
      <c r="D49" s="1155" t="s">
        <v>2610</v>
      </c>
      <c r="E49" s="1494" t="s">
        <v>1215</v>
      </c>
      <c r="F49" s="1160"/>
      <c r="G49" s="1547"/>
      <c r="H49" s="720"/>
      <c r="I49" s="1543" t="s">
        <v>1258</v>
      </c>
      <c r="J49" s="1548">
        <f>'[1]数据-取费表'!N19</f>
        <v>2002</v>
      </c>
      <c r="K49" s="1545" t="s">
        <v>1259</v>
      </c>
      <c r="L49" s="1549"/>
      <c r="O49" s="1550" t="s">
        <v>829</v>
      </c>
      <c r="P49" s="1541" t="s">
        <v>1260</v>
      </c>
      <c r="Q49" s="1542">
        <f ca="1">C29</f>
        <v>113705</v>
      </c>
      <c r="R49" s="1542" t="s">
        <v>1253</v>
      </c>
    </row>
    <row r="50" spans="1:18" s="1506" customFormat="1" ht="13.5"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-16970</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81">
        <f>'[1]数据-取费表'!I6+2%</f>
        <v>7.4999999999999997E-2</v>
      </c>
      <c r="K52" s="1559" t="s">
        <v>1268</v>
      </c>
      <c r="L52" s="1560"/>
      <c r="O52" s="1550" t="s">
        <v>832</v>
      </c>
      <c r="P52" s="1541" t="s">
        <v>1269</v>
      </c>
      <c r="Q52" s="1542">
        <f ca="1">J53</f>
        <v>19.5</v>
      </c>
      <c r="R52" s="1542" t="s">
        <v>1270</v>
      </c>
    </row>
    <row r="53" spans="1:18" s="1506" customFormat="1" ht="26.5" thickBot="1">
      <c r="A53" s="1255" t="s">
        <v>865</v>
      </c>
      <c r="B53" s="1495" t="s">
        <v>1133</v>
      </c>
      <c r="C53" s="312">
        <f ca="1">ROUND(IF(F53="押一",C49/12*F11,IF(F53="押二",C49/12*2*F11,IF(F53="押三",C49/12*3*F11,C54*F11))),0)</f>
        <v>0</v>
      </c>
      <c r="D53" s="1488" t="s">
        <v>2616</v>
      </c>
      <c r="E53" s="309" t="s">
        <v>1134</v>
      </c>
      <c r="F53" s="1217"/>
      <c r="I53" s="1561" t="s">
        <v>1271</v>
      </c>
      <c r="J53" s="2324">
        <f ca="1">IF(M47="住宅",IF(D1="——",MAX(J51,L48),MAX(J51,L48-'数据-取费表'!B24)),IF(D1="——",MIN(J51,L48),MIN(J51,L48-'数据-取费表'!B24)))</f>
        <v>19.5</v>
      </c>
      <c r="K53" s="3547" t="s">
        <v>1272</v>
      </c>
      <c r="L53" s="3548"/>
      <c r="O53" s="1540" t="s">
        <v>833</v>
      </c>
      <c r="P53" s="1541" t="s">
        <v>1273</v>
      </c>
      <c r="Q53" s="1542">
        <f ca="1">Q47+Q48</f>
        <v>11101</v>
      </c>
      <c r="R53" s="1542" t="s">
        <v>834</v>
      </c>
    </row>
    <row r="54" spans="1:18" s="1506" customFormat="1" ht="26.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40" thickTop="1" thickBot="1">
      <c r="A56" s="1057">
        <v>2</v>
      </c>
      <c r="B56" s="1058" t="s">
        <v>1138</v>
      </c>
      <c r="C56" s="228">
        <f ca="1">C13</f>
        <v>0</v>
      </c>
      <c r="D56" s="1569"/>
      <c r="E56" s="1570"/>
      <c r="F56" s="1562"/>
      <c r="I56" s="1571" t="s">
        <v>1278</v>
      </c>
      <c r="J56" s="1572" t="s">
        <v>3354</v>
      </c>
      <c r="K56" s="1543" t="s">
        <v>1279</v>
      </c>
      <c r="L56" s="1546" t="str">
        <f ca="1">IF(L48&lt;J51,"——",L48-J53)</f>
        <v>——</v>
      </c>
      <c r="O56" s="1540" t="s">
        <v>827</v>
      </c>
      <c r="P56" s="1541" t="s">
        <v>1252</v>
      </c>
      <c r="Q56" s="1542">
        <f ca="1">C40+J29</f>
        <v>0</v>
      </c>
      <c r="R56" s="1542" t="s">
        <v>1253</v>
      </c>
    </row>
    <row r="57" spans="1:18" s="1506" customFormat="1" ht="26.5" thickBot="1">
      <c r="A57" s="1573"/>
      <c r="B57" s="1050" t="s">
        <v>1202</v>
      </c>
      <c r="C57" s="234">
        <f ca="1">C29</f>
        <v>113705</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6.5" thickBot="1">
      <c r="A58" s="311" t="s">
        <v>817</v>
      </c>
      <c r="B58" s="1058" t="s">
        <v>1148</v>
      </c>
      <c r="C58" s="312">
        <f ca="1">ROUND(C59+C64+C65+C66,0)</f>
        <v>989</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6.5" thickBot="1">
      <c r="A59" s="1082" t="s">
        <v>822</v>
      </c>
      <c r="B59" s="1050" t="s">
        <v>1153</v>
      </c>
      <c r="C59" s="2472">
        <f ca="1">ROUND(IF(AND(项目基本情况!B11="自然人",项目基本情况!B10="北京市"),C49*F59/(1+'数据-取费表'!C42),C60+C61+C62),0)</f>
        <v>989</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45482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11101</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955.12</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26.5" thickBot="1">
      <c r="A67" s="1057" t="s">
        <v>818</v>
      </c>
      <c r="B67" s="1067" t="s">
        <v>1187</v>
      </c>
      <c r="C67" s="312">
        <f ca="1">C48-C58</f>
        <v>-989</v>
      </c>
      <c r="D67" s="1063" t="s">
        <v>1188</v>
      </c>
      <c r="E67" s="1068"/>
      <c r="F67" s="1069"/>
      <c r="O67" s="1550" t="s">
        <v>829</v>
      </c>
      <c r="P67" s="1541" t="s">
        <v>1286</v>
      </c>
      <c r="Q67" s="1588">
        <f ca="1">L51</f>
        <v>-16970</v>
      </c>
      <c r="R67" s="1542" t="s">
        <v>1306</v>
      </c>
    </row>
    <row r="68" spans="1:18" s="1506" customFormat="1" ht="16"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-989</v>
      </c>
      <c r="R68" s="1542" t="s">
        <v>838</v>
      </c>
    </row>
    <row r="69" spans="1:18" s="1506" customFormat="1" ht="13.5" thickBot="1">
      <c r="A69" s="1051"/>
      <c r="B69" s="1052"/>
      <c r="C69" s="302"/>
      <c r="D69" s="1070" t="s">
        <v>1197</v>
      </c>
      <c r="E69" s="1050" t="s">
        <v>1198</v>
      </c>
      <c r="F69" s="329">
        <f ca="1">F41</f>
        <v>0</v>
      </c>
      <c r="O69" s="1550" t="s">
        <v>835</v>
      </c>
      <c r="P69" s="1589" t="s">
        <v>1308</v>
      </c>
      <c r="Q69" s="1542">
        <f ca="1">C39</f>
        <v>-989</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ht="13">
      <c r="B76" s="338" t="s">
        <v>1231</v>
      </c>
      <c r="C76" s="339">
        <f ca="1">INDIRECT("'数据-取费表'!j"&amp;$G$1)</f>
        <v>7.0000000000000007E-2</v>
      </c>
      <c r="I76" s="1506"/>
      <c r="J76" s="1506"/>
      <c r="K76" s="1524"/>
      <c r="L76" s="1506"/>
    </row>
    <row r="77" spans="1:18" ht="13.5">
      <c r="B77" s="340" t="s">
        <v>1232</v>
      </c>
      <c r="C77" s="341"/>
      <c r="I77" s="1506"/>
      <c r="J77" s="1506"/>
      <c r="K77" s="1524"/>
      <c r="L77" s="1506"/>
    </row>
    <row r="78" spans="1:18" ht="13.5">
      <c r="B78" s="266" t="s">
        <v>1233</v>
      </c>
      <c r="C78" s="342"/>
    </row>
    <row r="79" spans="1:18" ht="13">
      <c r="B79" s="336" t="s">
        <v>1234</v>
      </c>
      <c r="C79" s="270">
        <f ca="1">1-C80</f>
        <v>1</v>
      </c>
    </row>
    <row r="80" spans="1:18" ht="13">
      <c r="B80" s="336" t="s">
        <v>1235</v>
      </c>
      <c r="C80" s="270">
        <f ca="1">ROUND(C75/C39,3)</f>
        <v>0</v>
      </c>
    </row>
    <row r="81" spans="2:3" ht="13.5">
      <c r="B81" s="266" t="s">
        <v>1236</v>
      </c>
      <c r="C81" s="234"/>
    </row>
    <row r="82" spans="2:3" ht="13">
      <c r="B82" s="269" t="s">
        <v>1237</v>
      </c>
      <c r="C82" s="271" t="e">
        <f ca="1">1-C83</f>
        <v>#DIV/0!</v>
      </c>
    </row>
    <row r="83" spans="2:3" ht="1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90" customWidth="1"/>
    <col min="12" max="12" width="16.36328125" style="254" customWidth="1"/>
    <col min="13" max="13" width="13" style="254" customWidth="1"/>
    <col min="14" max="14" width="13.90625" style="1506" customWidth="1"/>
    <col min="15" max="15" width="5.08984375" style="1506" customWidth="1"/>
    <col min="16" max="16" width="25.90625" style="1506" customWidth="1"/>
    <col min="17" max="17" width="13.90625" style="1506" customWidth="1"/>
    <col min="18" max="18" width="20.453125" style="1506" customWidth="1"/>
    <col min="19" max="19" width="13.0898437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67"/>
      <c r="H2" s="2856"/>
      <c r="I2" s="2856"/>
      <c r="J2" s="2856"/>
      <c r="K2" s="2857"/>
      <c r="L2" s="2856"/>
      <c r="M2" s="2856"/>
    </row>
    <row r="3" spans="1:37" ht="18" customHeight="1" thickBot="1">
      <c r="A3" s="1512" t="s">
        <v>1317</v>
      </c>
      <c r="B3" s="1513">
        <f ca="1">IF(ISERROR(D2/F43),0,ROUND(D2/F43,0))</f>
        <v>0</v>
      </c>
      <c r="C3" s="1509" t="s">
        <v>1318</v>
      </c>
      <c r="D3" s="1509"/>
      <c r="E3" s="1510"/>
      <c r="F3" s="1511"/>
      <c r="G3" s="286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9" t="s">
        <v>1127</v>
      </c>
      <c r="C6" s="1175">
        <f ca="1">ROUND(F6*F8*F7*(1-F9),0)</f>
        <v>0</v>
      </c>
      <c r="D6" s="150" t="s">
        <v>2606</v>
      </c>
      <c r="E6" s="298" t="s">
        <v>1129</v>
      </c>
      <c r="F6" s="299">
        <f ca="1">INDIRECT("'数据-取费表'!u"&amp;$G$1)</f>
        <v>0</v>
      </c>
      <c r="G6" s="1506"/>
      <c r="H6" s="1170" t="s">
        <v>822</v>
      </c>
      <c r="I6" s="3549" t="s">
        <v>1127</v>
      </c>
      <c r="J6" s="297">
        <f ca="1">ROUND(M6*M8*M7*(1-M9),0)</f>
        <v>0</v>
      </c>
      <c r="K6" s="1498" t="s">
        <v>2607</v>
      </c>
      <c r="L6" s="298" t="s">
        <v>1129</v>
      </c>
      <c r="M6" s="299">
        <f ca="1">INDIRECT("'数据-取费表'!z"&amp;$G$1)</f>
        <v>0</v>
      </c>
    </row>
    <row r="7" spans="1:37" ht="18" customHeight="1">
      <c r="A7" s="1174"/>
      <c r="B7" s="3550"/>
      <c r="C7" s="1176"/>
      <c r="D7" s="303"/>
      <c r="E7" s="1177" t="s">
        <v>1130</v>
      </c>
      <c r="F7" s="299">
        <f ca="1">IF(INDIRECT("'数据-取费表'!ah"&amp;$G$1)="",INDIRECT("'数据-取费表'!k"&amp;$G$1),INDIRECT("'数据-取费表'!ah"&amp;$G$1))</f>
        <v>0</v>
      </c>
      <c r="G7" s="1506"/>
      <c r="H7" s="300"/>
      <c r="I7" s="3550"/>
      <c r="J7" s="302"/>
      <c r="K7" s="303"/>
      <c r="L7" s="298" t="s">
        <v>1130</v>
      </c>
      <c r="M7" s="299">
        <f ca="1">F7</f>
        <v>0</v>
      </c>
    </row>
    <row r="8" spans="1:37" ht="18" customHeight="1">
      <c r="A8" s="300"/>
      <c r="B8" s="3550"/>
      <c r="C8" s="302"/>
      <c r="D8" s="303"/>
      <c r="E8" s="298" t="s">
        <v>1131</v>
      </c>
      <c r="F8" s="299">
        <f ca="1">INDIRECT("'数据-取费表'!ai"&amp;$G$1)</f>
        <v>0</v>
      </c>
      <c r="G8" s="1506"/>
      <c r="H8" s="300"/>
      <c r="I8" s="3550"/>
      <c r="J8" s="302"/>
      <c r="K8" s="303"/>
      <c r="L8" s="298" t="s">
        <v>1131</v>
      </c>
      <c r="M8" s="299">
        <f ca="1">INDIRECT("'数据-取费表'!ai"&amp;$G$1)</f>
        <v>0</v>
      </c>
    </row>
    <row r="9" spans="1:37" ht="18" customHeight="1">
      <c r="A9" s="300"/>
      <c r="B9" s="3551"/>
      <c r="C9" s="302"/>
      <c r="D9" s="303"/>
      <c r="E9" s="298" t="s">
        <v>1132</v>
      </c>
      <c r="F9" s="308">
        <f ca="1">INDIRECT("'数据-取费表'!w"&amp;$G$1)</f>
        <v>0</v>
      </c>
      <c r="G9" s="1506"/>
      <c r="H9" s="300"/>
      <c r="I9" s="3551"/>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2616</v>
      </c>
      <c r="E10" s="309" t="s">
        <v>1134</v>
      </c>
      <c r="F10" s="1217"/>
      <c r="G10" s="1506"/>
      <c r="H10" s="1170" t="s">
        <v>826</v>
      </c>
      <c r="I10" s="1487" t="s">
        <v>1133</v>
      </c>
      <c r="J10" s="297">
        <f ca="1">ROUND(IF(M10="押一",J6/12*M11,IF(M10="押二",J6/12*2*M11,IF(M10="押三",J6/12*3*M11,J11*M11))),0)</f>
        <v>0</v>
      </c>
      <c r="K10" s="1499" t="s">
        <v>2618</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f>
        <v>0</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0</v>
      </c>
      <c r="G35" s="1506"/>
      <c r="H35" s="2858"/>
      <c r="I35" s="1520"/>
      <c r="J35" s="1521"/>
      <c r="K35" s="2862"/>
      <c r="L35" s="2861"/>
      <c r="M35" s="2861"/>
    </row>
    <row r="36" spans="1:18" ht="18" customHeight="1">
      <c r="A36" s="1203" t="s">
        <v>826</v>
      </c>
      <c r="B36" s="298" t="s">
        <v>1173</v>
      </c>
      <c r="C36" s="24">
        <f ca="1">ROUND(C29*F36,0)</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ROUND(C13*F37,0)</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5" customHeight="1" thickTop="1">
      <c r="A39" s="1180" t="s">
        <v>818</v>
      </c>
      <c r="B39" s="1195" t="s">
        <v>1207</v>
      </c>
      <c r="C39" s="306">
        <f ca="1">C5-C30</f>
        <v>0</v>
      </c>
      <c r="D39" s="1196" t="s">
        <v>1208</v>
      </c>
      <c r="E39" s="1197"/>
      <c r="F39" s="1198"/>
      <c r="G39" s="1506"/>
      <c r="H39" s="2861"/>
      <c r="I39" s="1520"/>
      <c r="J39" s="1521"/>
      <c r="K39" s="2865"/>
      <c r="L39" s="2861"/>
      <c r="M39" s="286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4"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43.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2619</v>
      </c>
      <c r="E53" s="309" t="s">
        <v>1134</v>
      </c>
      <c r="F53" s="1217"/>
      <c r="I53" s="1561" t="s">
        <v>1271</v>
      </c>
      <c r="J53" s="2324">
        <f ca="1">IF(M47="住宅",IF(D1="——",MAX(J51,L48),MAX(J51,L48-'数据-取费表'!B24)),IF(D1="——",MIN(J51,L48),MIN(J51,L48-'数据-取费表'!B24)))</f>
        <v>0</v>
      </c>
      <c r="K53" s="3547" t="s">
        <v>1272</v>
      </c>
      <c r="L53" s="3548"/>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6.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6.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6.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2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ht="13">
      <c r="B76" s="338" t="s">
        <v>1231</v>
      </c>
      <c r="C76" s="339">
        <f ca="1">INDIRECT("'数据-取费表'!j"&amp;$G$1)</f>
        <v>0</v>
      </c>
      <c r="I76" s="1506"/>
      <c r="J76" s="1506"/>
      <c r="K76" s="1524"/>
      <c r="L76" s="1506"/>
    </row>
    <row r="77" spans="1:18" ht="13.5">
      <c r="B77" s="340" t="s">
        <v>1232</v>
      </c>
      <c r="C77" s="341"/>
      <c r="I77" s="1506"/>
      <c r="J77" s="1506"/>
      <c r="K77" s="1524"/>
      <c r="L77" s="1506"/>
    </row>
    <row r="78" spans="1:18" ht="13.5">
      <c r="B78" s="266" t="s">
        <v>1233</v>
      </c>
      <c r="C78" s="342"/>
    </row>
    <row r="79" spans="1:18" ht="13">
      <c r="B79" s="336" t="s">
        <v>1234</v>
      </c>
      <c r="C79" s="270" t="e">
        <f ca="1">1-C80</f>
        <v>#DIV/0!</v>
      </c>
    </row>
    <row r="80" spans="1:18" ht="13">
      <c r="B80" s="336" t="s">
        <v>1235</v>
      </c>
      <c r="C80" s="270" t="e">
        <f ca="1">ROUND(C75/C39,3)</f>
        <v>#DIV/0!</v>
      </c>
    </row>
    <row r="81" spans="2:3" ht="13.5">
      <c r="B81" s="266" t="s">
        <v>1236</v>
      </c>
      <c r="C81" s="234"/>
    </row>
    <row r="82" spans="2:3" ht="13">
      <c r="B82" s="269" t="s">
        <v>1237</v>
      </c>
      <c r="C82" s="271" t="e">
        <f ca="1">1-C83</f>
        <v>#DIV/0!</v>
      </c>
    </row>
    <row r="83" spans="2:3" ht="1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1600" customWidth="1"/>
    <col min="2" max="2" width="12" style="1600" customWidth="1"/>
    <col min="3" max="3" width="9" style="1600"/>
    <col min="4" max="4" width="14.08984375" style="1600" customWidth="1"/>
    <col min="5" max="5" width="9" style="1600"/>
    <col min="6" max="6" width="12.90625" style="1600" customWidth="1"/>
    <col min="7" max="16384" width="9" style="1600"/>
  </cols>
  <sheetData>
    <row r="1" spans="1:22" ht="21">
      <c r="A1" s="1991" t="s">
        <v>2106</v>
      </c>
      <c r="B1" s="1992"/>
      <c r="C1" s="1992"/>
      <c r="D1" s="1992"/>
      <c r="E1" s="1993"/>
      <c r="F1" s="2868"/>
      <c r="G1" s="1612"/>
      <c r="H1" s="1612"/>
      <c r="I1" s="1612"/>
      <c r="J1" s="1612"/>
      <c r="K1" s="1612"/>
      <c r="L1" s="1612"/>
      <c r="M1" s="1612"/>
      <c r="N1" s="1612"/>
      <c r="O1" s="1612"/>
      <c r="P1" s="1612"/>
      <c r="Q1" s="1612"/>
      <c r="R1" s="1612"/>
      <c r="S1" s="1612"/>
    </row>
    <row r="2" spans="1:22" ht="15.5">
      <c r="A2" s="1994" t="s">
        <v>1907</v>
      </c>
      <c r="B2" s="1995">
        <f ca="1">SUMIF(B6:B13,"&lt;&gt;#ref!",B6:B13)</f>
        <v>0</v>
      </c>
      <c r="C2" s="1996" t="s">
        <v>2099</v>
      </c>
      <c r="D2" s="1997" t="s">
        <v>2100</v>
      </c>
      <c r="E2" s="2766">
        <f>SUM(E6:E13)</f>
        <v>0</v>
      </c>
      <c r="F2" s="2868"/>
      <c r="G2" s="1612"/>
      <c r="H2" s="1612"/>
      <c r="I2" s="1612"/>
      <c r="J2" s="1612"/>
      <c r="K2" s="1612"/>
      <c r="L2" s="1612"/>
      <c r="M2" s="1612"/>
      <c r="N2" s="1612"/>
      <c r="O2" s="1612"/>
      <c r="P2" s="1612"/>
      <c r="Q2" s="1612"/>
      <c r="R2" s="1612"/>
      <c r="S2" s="1612"/>
    </row>
    <row r="3" spans="1:22" ht="15.5">
      <c r="A3" s="1994" t="s">
        <v>1119</v>
      </c>
      <c r="B3" s="2760" t="e">
        <f ca="1">ROUND(B2*10000/E2,0)</f>
        <v>#DIV/0!</v>
      </c>
      <c r="C3" s="1996" t="s">
        <v>2107</v>
      </c>
      <c r="D3" s="2870"/>
      <c r="E3" s="2872"/>
      <c r="F3" s="2868"/>
      <c r="G3" s="1612"/>
      <c r="H3" s="1612"/>
      <c r="I3" s="1612"/>
      <c r="J3" s="1612"/>
      <c r="K3" s="1612"/>
      <c r="L3" s="1612"/>
      <c r="M3" s="1612"/>
      <c r="N3" s="1612"/>
      <c r="O3" s="1612"/>
      <c r="P3" s="1612"/>
      <c r="Q3" s="1612"/>
      <c r="R3" s="1612"/>
      <c r="S3" s="1612"/>
    </row>
    <row r="4" spans="1:22" ht="15.5">
      <c r="A4" s="2873"/>
      <c r="B4" s="2870"/>
      <c r="C4" s="2870"/>
      <c r="D4" s="2870"/>
      <c r="E4" s="2872"/>
      <c r="F4" s="2868"/>
      <c r="G4" s="1612"/>
      <c r="H4" s="1612"/>
      <c r="I4" s="1612"/>
      <c r="J4" s="1612"/>
      <c r="K4" s="1612"/>
      <c r="L4" s="1612"/>
      <c r="M4" s="1612"/>
      <c r="N4" s="1612"/>
      <c r="O4" s="1612"/>
      <c r="P4" s="1612"/>
      <c r="Q4" s="1612"/>
      <c r="R4" s="1612"/>
      <c r="S4" s="1612"/>
    </row>
    <row r="5" spans="1:22">
      <c r="A5" s="2762" t="s">
        <v>2101</v>
      </c>
      <c r="B5" s="3552" t="s">
        <v>2102</v>
      </c>
      <c r="C5" s="3553"/>
      <c r="D5" s="2869"/>
      <c r="E5" s="1998" t="s">
        <v>2103</v>
      </c>
      <c r="F5" s="1999" t="s">
        <v>2104</v>
      </c>
      <c r="G5" s="1612"/>
      <c r="H5" s="1612"/>
      <c r="I5" s="1612"/>
      <c r="J5" s="1612"/>
      <c r="K5" s="1612"/>
      <c r="L5" s="1612"/>
      <c r="M5" s="1612"/>
      <c r="N5" s="1612"/>
      <c r="O5" s="1612"/>
      <c r="P5" s="1612"/>
      <c r="Q5" s="1612"/>
      <c r="R5" s="1612"/>
      <c r="S5" s="1612"/>
    </row>
    <row r="6" spans="1:22">
      <c r="A6" s="2763">
        <f>'数据-取费表'!AN6</f>
        <v>0</v>
      </c>
      <c r="B6" s="2761" t="e">
        <f ca="1">IF(F6="是",'数据-取费表'!AO6,0)</f>
        <v>#REF!</v>
      </c>
      <c r="C6" s="1996" t="s">
        <v>2099</v>
      </c>
      <c r="D6" s="2870"/>
      <c r="E6" s="2765">
        <f>IF(OR(A6=0,F6="否"),0,'数据-取费表'!K6+'数据-取费表'!S6)</f>
        <v>0</v>
      </c>
      <c r="F6" s="2000" t="s">
        <v>2105</v>
      </c>
      <c r="G6" s="1612"/>
      <c r="H6" s="1612"/>
      <c r="I6" s="1612"/>
      <c r="J6" s="1612"/>
      <c r="K6" s="1612"/>
      <c r="L6" s="1612"/>
      <c r="M6" s="1612"/>
      <c r="N6" s="1612"/>
      <c r="O6" s="1612"/>
      <c r="P6" s="1612"/>
      <c r="Q6" s="1612"/>
      <c r="R6" s="1612"/>
      <c r="S6" s="1612"/>
    </row>
    <row r="7" spans="1:22">
      <c r="A7" s="2763">
        <f>'数据-取费表'!AN7</f>
        <v>0</v>
      </c>
      <c r="B7" s="2761" t="e">
        <f ca="1">IF(F7="是",'数据-取费表'!AO7,0)</f>
        <v>#REF!</v>
      </c>
      <c r="C7" s="1996" t="s">
        <v>2099</v>
      </c>
      <c r="D7" s="2870"/>
      <c r="E7" s="2765">
        <f>IF(OR(A7=0,F7="否"),0,'数据-取费表'!K7+'数据-取费表'!S7)</f>
        <v>0</v>
      </c>
      <c r="F7" s="2000" t="s">
        <v>2105</v>
      </c>
      <c r="G7" s="1612"/>
      <c r="H7" s="1612"/>
      <c r="I7" s="1612"/>
      <c r="J7" s="1612"/>
      <c r="K7" s="1612"/>
      <c r="L7" s="1612"/>
      <c r="M7" s="1612"/>
      <c r="N7" s="1612"/>
      <c r="O7" s="1612"/>
      <c r="P7" s="1612"/>
      <c r="Q7" s="1612"/>
      <c r="R7" s="1612"/>
      <c r="S7" s="1612"/>
    </row>
    <row r="8" spans="1:22">
      <c r="A8" s="2763">
        <f>'数据-取费表'!AN8</f>
        <v>0</v>
      </c>
      <c r="B8" s="2761" t="e">
        <f ca="1">IF(F8="是",'数据-取费表'!AO8,0)</f>
        <v>#REF!</v>
      </c>
      <c r="C8" s="1996" t="s">
        <v>2099</v>
      </c>
      <c r="D8" s="2870"/>
      <c r="E8" s="2765">
        <f>IF(OR(A8=0,F8="否"),0,'数据-取费表'!K8+'数据-取费表'!S8)</f>
        <v>0</v>
      </c>
      <c r="F8" s="2000" t="s">
        <v>2105</v>
      </c>
      <c r="G8" s="1612"/>
      <c r="H8" s="1612"/>
      <c r="I8" s="1612"/>
      <c r="J8" s="1612"/>
      <c r="K8" s="1612"/>
      <c r="L8" s="1612"/>
      <c r="M8" s="1612"/>
      <c r="N8" s="1612"/>
      <c r="O8" s="1612"/>
      <c r="P8" s="1612"/>
      <c r="Q8" s="1612"/>
      <c r="R8" s="1612"/>
      <c r="S8" s="1612"/>
    </row>
    <row r="9" spans="1:22">
      <c r="A9" s="2763">
        <f>'数据-取费表'!AN9</f>
        <v>0</v>
      </c>
      <c r="B9" s="2761" t="e">
        <f ca="1">IF(F9="是",'数据-取费表'!AO9,0)</f>
        <v>#REF!</v>
      </c>
      <c r="C9" s="1996" t="s">
        <v>2099</v>
      </c>
      <c r="D9" s="2870"/>
      <c r="E9" s="2765">
        <f>IF(OR(A9=0,F9="否"),0,'数据-取费表'!K9+'数据-取费表'!S9)</f>
        <v>0</v>
      </c>
      <c r="F9" s="2000" t="s">
        <v>2105</v>
      </c>
      <c r="G9" s="1612"/>
      <c r="H9" s="1612"/>
      <c r="I9" s="1612"/>
      <c r="J9" s="1612"/>
      <c r="K9" s="1612"/>
      <c r="L9" s="1612"/>
      <c r="M9" s="1612"/>
      <c r="N9" s="1612"/>
      <c r="O9" s="1612"/>
      <c r="P9" s="1612"/>
      <c r="Q9" s="1612"/>
      <c r="R9" s="1612"/>
      <c r="S9" s="1612"/>
    </row>
    <row r="10" spans="1:22">
      <c r="A10" s="2763">
        <f>'数据-取费表'!AN10</f>
        <v>0</v>
      </c>
      <c r="B10" s="2761" t="e">
        <f ca="1">IF(F10="是",'数据-取费表'!AO10,0)</f>
        <v>#REF!</v>
      </c>
      <c r="C10" s="1996" t="s">
        <v>2099</v>
      </c>
      <c r="D10" s="2870"/>
      <c r="E10" s="2765">
        <f>IF(OR(A10=0,F10="否"),0,'数据-取费表'!K10+'数据-取费表'!S10)</f>
        <v>0</v>
      </c>
      <c r="F10" s="2000" t="s">
        <v>2105</v>
      </c>
      <c r="G10" s="1612"/>
      <c r="H10" s="1612"/>
      <c r="I10" s="1612"/>
      <c r="J10" s="1612"/>
      <c r="K10" s="1612"/>
      <c r="L10" s="1612"/>
      <c r="M10" s="1612"/>
      <c r="N10" s="1612"/>
      <c r="O10" s="1612"/>
      <c r="P10" s="1612"/>
      <c r="Q10" s="1612"/>
      <c r="R10" s="1612"/>
      <c r="S10" s="1612"/>
    </row>
    <row r="11" spans="1:22">
      <c r="A11" s="2763">
        <f>'数据-取费表'!AN11</f>
        <v>0</v>
      </c>
      <c r="B11" s="2761" t="e">
        <f ca="1">IF(F11="是",'数据-取费表'!AO11,0)</f>
        <v>#REF!</v>
      </c>
      <c r="C11" s="1996" t="s">
        <v>2099</v>
      </c>
      <c r="D11" s="2870"/>
      <c r="E11" s="2765">
        <f>IF(OR(A11=0,F11="否"),0,'数据-取费表'!K11+'数据-取费表'!S11)</f>
        <v>0</v>
      </c>
      <c r="F11" s="2000" t="s">
        <v>2105</v>
      </c>
      <c r="G11" s="1612"/>
      <c r="H11" s="1612"/>
      <c r="I11" s="1612"/>
      <c r="J11" s="1612"/>
      <c r="K11" s="1612"/>
      <c r="L11" s="1612"/>
      <c r="M11" s="1612"/>
      <c r="N11" s="1612"/>
      <c r="O11" s="1612"/>
      <c r="P11" s="1612"/>
      <c r="Q11" s="1612"/>
      <c r="R11" s="1612"/>
      <c r="S11" s="1612"/>
    </row>
    <row r="12" spans="1:22">
      <c r="A12" s="2763">
        <f>'数据-取费表'!AN12</f>
        <v>0</v>
      </c>
      <c r="B12" s="2761" t="e">
        <f ca="1">IF(F12="是",'数据-取费表'!AO12,0)</f>
        <v>#REF!</v>
      </c>
      <c r="C12" s="1996" t="s">
        <v>2099</v>
      </c>
      <c r="D12" s="2870"/>
      <c r="E12" s="2765">
        <f>IF(OR(A12=0,F12="否"),0,'数据-取费表'!K12+'数据-取费表'!S12)</f>
        <v>0</v>
      </c>
      <c r="F12" s="2000" t="s">
        <v>2105</v>
      </c>
      <c r="G12" s="1612"/>
      <c r="H12" s="1612"/>
      <c r="I12" s="1612"/>
      <c r="J12" s="1612"/>
      <c r="K12" s="1612"/>
      <c r="L12" s="1612"/>
      <c r="M12" s="1612"/>
      <c r="N12" s="1612"/>
      <c r="O12" s="1612"/>
      <c r="P12" s="1612"/>
      <c r="Q12" s="1612"/>
      <c r="R12" s="1612"/>
      <c r="S12" s="1612"/>
    </row>
    <row r="13" spans="1:22" ht="14.5" thickBot="1">
      <c r="A13" s="2764">
        <f>'数据-取费表'!AN13</f>
        <v>0</v>
      </c>
      <c r="B13" s="2761" t="e">
        <f ca="1">IF(F13="是",'数据-取费表'!AO13,0)</f>
        <v>#REF!</v>
      </c>
      <c r="C13" s="2001" t="s">
        <v>2099</v>
      </c>
      <c r="D13" s="2871"/>
      <c r="E13" s="2765">
        <f>IF(OR(A13=0,F13="否"),0,'数据-取费表'!K13+'数据-取费表'!S13)</f>
        <v>0</v>
      </c>
      <c r="F13" s="2000" t="s">
        <v>2105</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4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2108</v>
      </c>
      <c r="B1" s="2002" t="s">
        <v>2109</v>
      </c>
      <c r="C1" s="1346" t="s">
        <v>2110</v>
      </c>
      <c r="D1" s="1333"/>
      <c r="E1" s="2482"/>
      <c r="F1" s="2003" t="s">
        <v>2111</v>
      </c>
      <c r="G1" s="1343" t="s">
        <v>2112</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2113</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2114</v>
      </c>
      <c r="D3" s="349">
        <f>IF(D1="",'数据-汇总表'!E3,SUMIF('数据-汇总表'!$C19:$C33,D1,'数据-汇总表'!$E19:$E33))</f>
        <v>98312.17</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c r="A4" s="351" t="s">
        <v>2115</v>
      </c>
      <c r="B4" s="352"/>
      <c r="C4" s="3501" t="s">
        <v>2116</v>
      </c>
      <c r="D4" s="3502"/>
      <c r="E4" s="3503" t="s">
        <v>2117</v>
      </c>
      <c r="F4" s="3504"/>
      <c r="G4" s="3501" t="s">
        <v>2118</v>
      </c>
      <c r="H4" s="3502"/>
      <c r="I4" s="3501" t="s">
        <v>2119</v>
      </c>
      <c r="J4" s="3502"/>
      <c r="K4" s="2013" t="s">
        <v>2120</v>
      </c>
      <c r="L4" s="2876"/>
      <c r="M4" s="2877"/>
      <c r="N4" s="2877"/>
      <c r="O4" s="2877"/>
      <c r="P4" s="3505" t="s">
        <v>2121</v>
      </c>
      <c r="Q4" s="3506"/>
      <c r="R4" s="3488" t="s">
        <v>2117</v>
      </c>
      <c r="S4" s="3489"/>
      <c r="T4" s="3488" t="s">
        <v>2118</v>
      </c>
      <c r="U4" s="3489"/>
      <c r="V4" s="3513" t="s">
        <v>2119</v>
      </c>
      <c r="W4" s="3513"/>
      <c r="X4" s="1477"/>
      <c r="Y4" s="3488" t="s">
        <v>2121</v>
      </c>
      <c r="Z4" s="3489"/>
      <c r="AA4" s="3483" t="s">
        <v>2117</v>
      </c>
      <c r="AB4" s="3483" t="s">
        <v>2118</v>
      </c>
      <c r="AC4" s="3483" t="s">
        <v>2119</v>
      </c>
    </row>
    <row r="5" spans="1:29">
      <c r="A5" s="354"/>
      <c r="B5" s="355"/>
      <c r="C5" s="3494" t="s">
        <v>2122</v>
      </c>
      <c r="D5" s="3495"/>
      <c r="E5" s="3492" t="s">
        <v>2123</v>
      </c>
      <c r="F5" s="3493"/>
      <c r="G5" s="3494" t="s">
        <v>2124</v>
      </c>
      <c r="H5" s="3495"/>
      <c r="I5" s="3494" t="s">
        <v>2125</v>
      </c>
      <c r="J5" s="3495"/>
      <c r="K5" s="2014"/>
      <c r="L5" s="2876"/>
      <c r="M5" s="2877"/>
      <c r="N5" s="2877"/>
      <c r="O5" s="2877"/>
      <c r="P5" s="3507"/>
      <c r="Q5" s="3508"/>
      <c r="R5" s="3490"/>
      <c r="S5" s="3491"/>
      <c r="T5" s="3490"/>
      <c r="U5" s="3491"/>
      <c r="V5" s="3513"/>
      <c r="W5" s="3513"/>
      <c r="X5" s="1477"/>
      <c r="Y5" s="3490"/>
      <c r="Z5" s="3491"/>
      <c r="AA5" s="3484"/>
      <c r="AB5" s="3484"/>
      <c r="AC5" s="3484"/>
    </row>
    <row r="6" spans="1:29" ht="15" thickBot="1">
      <c r="A6" s="356"/>
      <c r="B6" s="357"/>
      <c r="C6" s="3496" t="s">
        <v>2126</v>
      </c>
      <c r="D6" s="3497"/>
      <c r="E6" s="3498" t="s">
        <v>2126</v>
      </c>
      <c r="F6" s="3499"/>
      <c r="G6" s="3496" t="s">
        <v>2126</v>
      </c>
      <c r="H6" s="3497"/>
      <c r="I6" s="3496" t="s">
        <v>2126</v>
      </c>
      <c r="J6" s="3497"/>
      <c r="K6" s="2014" t="s">
        <v>2127</v>
      </c>
      <c r="L6" s="2876"/>
      <c r="M6" s="2877"/>
      <c r="N6" s="2877"/>
      <c r="O6" s="2877"/>
      <c r="P6" s="3509"/>
      <c r="Q6" s="3510"/>
      <c r="R6" s="3490"/>
      <c r="S6" s="3491"/>
      <c r="T6" s="3511"/>
      <c r="U6" s="3512"/>
      <c r="V6" s="3513"/>
      <c r="W6" s="3513"/>
      <c r="X6" s="1477"/>
      <c r="Y6" s="3511"/>
      <c r="Z6" s="3512"/>
      <c r="AA6" s="3485"/>
      <c r="AB6" s="3485"/>
      <c r="AC6" s="3485"/>
    </row>
    <row r="7" spans="1:29" s="110" customFormat="1" ht="14.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78"/>
      <c r="M7" s="2879"/>
      <c r="N7" s="2879"/>
      <c r="O7" s="2879"/>
      <c r="P7" s="3486" t="s">
        <v>2129</v>
      </c>
      <c r="Q7" s="3514"/>
      <c r="R7" s="698" t="s">
        <v>23</v>
      </c>
      <c r="S7" s="699">
        <f t="shared" ref="S7:S15" si="0">F7</f>
        <v>0</v>
      </c>
      <c r="T7" s="698" t="s">
        <v>23</v>
      </c>
      <c r="U7" s="699">
        <f t="shared" ref="U7:U15" si="1">H7</f>
        <v>0</v>
      </c>
      <c r="V7" s="698" t="s">
        <v>23</v>
      </c>
      <c r="W7" s="699">
        <f t="shared" ref="W7:W15" si="2">J7</f>
        <v>0</v>
      </c>
      <c r="X7" s="700"/>
      <c r="Y7" s="3486" t="s">
        <v>2129</v>
      </c>
      <c r="Z7" s="3487"/>
      <c r="AA7" s="701" t="e">
        <f>D7/F7</f>
        <v>#DIV/0!</v>
      </c>
      <c r="AB7" s="701" t="e">
        <f>D7/H7</f>
        <v>#DIV/0!</v>
      </c>
      <c r="AC7" s="701" t="e">
        <f>D7/J7</f>
        <v>#DIV/0!</v>
      </c>
    </row>
    <row r="8" spans="1:29" s="110" customFormat="1" ht="14.5" thickBot="1">
      <c r="A8" s="358" t="s">
        <v>2130</v>
      </c>
      <c r="B8" s="359"/>
      <c r="C8" s="364" t="s">
        <v>2131</v>
      </c>
      <c r="D8" s="361">
        <v>100</v>
      </c>
      <c r="E8" s="2016"/>
      <c r="F8" s="363">
        <f>SUMIF(61:61,E8,62:62)-SUMIF(61:61,C8,62:62)+100</f>
        <v>0</v>
      </c>
      <c r="G8" s="364"/>
      <c r="H8" s="361">
        <f>SUMIF(61:61,G8,62:62)-SUMIF(61:61,C8,62:62)+100</f>
        <v>0</v>
      </c>
      <c r="I8" s="2016"/>
      <c r="J8" s="361">
        <f>SUMIF(61:61,I8,62:62)-SUMIF(61:61,C8,62:62)+100</f>
        <v>0</v>
      </c>
      <c r="K8" s="2015"/>
      <c r="L8" s="2878"/>
      <c r="M8" s="2879"/>
      <c r="N8" s="2879"/>
      <c r="O8" s="2879"/>
      <c r="P8" s="3486" t="s">
        <v>2132</v>
      </c>
      <c r="Q8" s="3487"/>
      <c r="R8" s="698" t="s">
        <v>23</v>
      </c>
      <c r="S8" s="699">
        <f t="shared" si="0"/>
        <v>0</v>
      </c>
      <c r="T8" s="698" t="s">
        <v>23</v>
      </c>
      <c r="U8" s="699">
        <f t="shared" si="1"/>
        <v>0</v>
      </c>
      <c r="V8" s="698" t="s">
        <v>23</v>
      </c>
      <c r="W8" s="699">
        <f t="shared" si="2"/>
        <v>0</v>
      </c>
      <c r="X8" s="700"/>
      <c r="Y8" s="3486" t="s">
        <v>2132</v>
      </c>
      <c r="Z8" s="3487"/>
      <c r="AA8" s="701" t="e">
        <f t="shared" ref="AA8:AA19" si="3">D8/F8</f>
        <v>#DIV/0!</v>
      </c>
      <c r="AB8" s="701" t="e">
        <f t="shared" ref="AB8:AB19" si="4">D8/H8</f>
        <v>#DIV/0!</v>
      </c>
      <c r="AC8" s="701" t="e">
        <f t="shared" ref="AC8:AC19" si="5">D8/J8</f>
        <v>#DIV/0!</v>
      </c>
    </row>
    <row r="9" spans="1:29" s="110" customFormat="1">
      <c r="A9" s="365" t="s">
        <v>2133</v>
      </c>
      <c r="B9" s="67" t="s">
        <v>2134</v>
      </c>
      <c r="C9" s="366"/>
      <c r="D9" s="121">
        <v>100</v>
      </c>
      <c r="E9" s="367"/>
      <c r="F9" s="368">
        <f>SUMIF(63:63,E9,64:64)-SUMIF(63:63,C9,64:64)+100</f>
        <v>100</v>
      </c>
      <c r="G9" s="369"/>
      <c r="H9" s="121">
        <f>SUMIF(63:63,G9,64:64)-SUMIF(63:63,C9,64:64)+100</f>
        <v>100</v>
      </c>
      <c r="I9" s="369"/>
      <c r="J9" s="121">
        <f>SUMIF(63:63,I9,64:64)-SUMIF(63:63,C9,64:64)+100</f>
        <v>100</v>
      </c>
      <c r="K9" s="2015"/>
      <c r="L9" s="2878"/>
      <c r="M9" s="2879"/>
      <c r="N9" s="2879"/>
      <c r="O9" s="2879"/>
      <c r="P9" s="3524" t="s">
        <v>2135</v>
      </c>
      <c r="Q9" s="1465" t="str">
        <f t="shared" ref="Q9:Q15" si="6">B9</f>
        <v>用途</v>
      </c>
      <c r="R9" s="698" t="s">
        <v>17</v>
      </c>
      <c r="S9" s="699">
        <f t="shared" si="0"/>
        <v>100</v>
      </c>
      <c r="T9" s="698" t="s">
        <v>17</v>
      </c>
      <c r="U9" s="699">
        <f t="shared" si="1"/>
        <v>100</v>
      </c>
      <c r="V9" s="698" t="s">
        <v>17</v>
      </c>
      <c r="W9" s="699">
        <f t="shared" si="2"/>
        <v>100</v>
      </c>
      <c r="X9" s="700"/>
      <c r="Y9" s="3459"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375"/>
      <c r="L10" s="2880"/>
      <c r="M10" s="2881"/>
      <c r="N10" s="2881"/>
      <c r="O10" s="2881"/>
      <c r="P10" s="3524"/>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701">
        <f t="shared" si="5"/>
        <v>1</v>
      </c>
    </row>
    <row r="11" spans="1:29" ht="15.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82"/>
      <c r="M11" s="2877"/>
      <c r="N11" s="2877"/>
      <c r="O11" s="2877"/>
      <c r="P11" s="3524"/>
      <c r="Q11" s="1465" t="str">
        <f t="shared" si="6"/>
        <v>容积率</v>
      </c>
      <c r="R11" s="698" t="s">
        <v>21</v>
      </c>
      <c r="S11" s="699" t="e">
        <f t="shared" si="0"/>
        <v>#N/A</v>
      </c>
      <c r="T11" s="698" t="s">
        <v>21</v>
      </c>
      <c r="U11" s="699" t="e">
        <f t="shared" si="1"/>
        <v>#N/A</v>
      </c>
      <c r="V11" s="698" t="s">
        <v>21</v>
      </c>
      <c r="W11" s="699" t="e">
        <f t="shared" si="2"/>
        <v>#N/A</v>
      </c>
      <c r="X11" s="700"/>
      <c r="Y11" s="3459"/>
      <c r="Z11" s="55" t="str">
        <f t="shared" si="7"/>
        <v>容积率</v>
      </c>
      <c r="AA11" s="701" t="e">
        <f t="shared" si="3"/>
        <v>#N/A</v>
      </c>
      <c r="AB11" s="701" t="e">
        <f t="shared" si="4"/>
        <v>#N/A</v>
      </c>
      <c r="AC11" s="701" t="e">
        <f t="shared" si="5"/>
        <v>#N/A</v>
      </c>
    </row>
    <row r="12" spans="1:29" s="110" customFormat="1" ht="15.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78"/>
      <c r="M12" s="2879"/>
      <c r="N12" s="2879"/>
      <c r="O12" s="2879"/>
      <c r="P12" s="3524"/>
      <c r="Q12" s="1465">
        <f t="shared" si="6"/>
        <v>111</v>
      </c>
      <c r="R12" s="698" t="s">
        <v>21</v>
      </c>
      <c r="S12" s="699">
        <f t="shared" si="0"/>
        <v>100</v>
      </c>
      <c r="T12" s="698" t="s">
        <v>21</v>
      </c>
      <c r="U12" s="699">
        <f t="shared" si="1"/>
        <v>100</v>
      </c>
      <c r="V12" s="698" t="s">
        <v>21</v>
      </c>
      <c r="W12" s="699">
        <f t="shared" si="2"/>
        <v>100</v>
      </c>
      <c r="X12" s="700"/>
      <c r="Y12" s="3459"/>
      <c r="Z12" s="55">
        <f t="shared" si="7"/>
        <v>111</v>
      </c>
      <c r="AA12" s="701">
        <f>D12/F12</f>
        <v>1</v>
      </c>
      <c r="AB12" s="701">
        <f>D12/H12</f>
        <v>1</v>
      </c>
      <c r="AC12" s="701">
        <f>D12/J12</f>
        <v>1</v>
      </c>
    </row>
    <row r="13" spans="1:29" ht="15.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83"/>
      <c r="M13" s="2877"/>
      <c r="N13" s="2877"/>
      <c r="O13" s="2877"/>
      <c r="P13" s="3524"/>
      <c r="Q13" s="1465">
        <f t="shared" si="6"/>
        <v>111</v>
      </c>
      <c r="R13" s="698" t="s">
        <v>21</v>
      </c>
      <c r="S13" s="699">
        <f t="shared" si="0"/>
        <v>100</v>
      </c>
      <c r="T13" s="698" t="s">
        <v>21</v>
      </c>
      <c r="U13" s="699">
        <f t="shared" si="1"/>
        <v>100</v>
      </c>
      <c r="V13" s="698" t="s">
        <v>21</v>
      </c>
      <c r="W13" s="699">
        <f t="shared" si="2"/>
        <v>100</v>
      </c>
      <c r="X13" s="700"/>
      <c r="Y13" s="3459"/>
      <c r="Z13" s="55">
        <f t="shared" si="7"/>
        <v>111</v>
      </c>
      <c r="AA13" s="701">
        <f t="shared" si="3"/>
        <v>1</v>
      </c>
      <c r="AB13" s="701">
        <f t="shared" si="4"/>
        <v>1</v>
      </c>
      <c r="AC13" s="701">
        <f t="shared" si="5"/>
        <v>1</v>
      </c>
    </row>
    <row r="14" spans="1:29" ht="16"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83"/>
      <c r="M14" s="2877"/>
      <c r="N14" s="2877"/>
      <c r="O14" s="2877"/>
      <c r="P14" s="3524"/>
      <c r="Q14" s="1465">
        <f t="shared" si="6"/>
        <v>111</v>
      </c>
      <c r="R14" s="698" t="s">
        <v>21</v>
      </c>
      <c r="S14" s="699">
        <f t="shared" si="0"/>
        <v>100</v>
      </c>
      <c r="T14" s="698" t="s">
        <v>21</v>
      </c>
      <c r="U14" s="699">
        <f t="shared" si="1"/>
        <v>100</v>
      </c>
      <c r="V14" s="698" t="s">
        <v>21</v>
      </c>
      <c r="W14" s="699">
        <f t="shared" si="2"/>
        <v>100</v>
      </c>
      <c r="X14" s="700"/>
      <c r="Y14" s="3459"/>
      <c r="Z14" s="55">
        <f t="shared" si="7"/>
        <v>111</v>
      </c>
      <c r="AA14" s="701">
        <f t="shared" si="3"/>
        <v>1</v>
      </c>
      <c r="AB14" s="701">
        <f t="shared" si="4"/>
        <v>1</v>
      </c>
      <c r="AC14" s="701">
        <f t="shared" si="5"/>
        <v>1</v>
      </c>
    </row>
    <row r="15" spans="1:29" ht="15.5">
      <c r="A15" s="389" t="s">
        <v>2139</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83"/>
      <c r="M15" s="2877"/>
      <c r="N15" s="2877"/>
      <c r="O15" s="2877"/>
      <c r="P15" s="3560" t="s">
        <v>2140</v>
      </c>
      <c r="Q15" s="1474" t="str">
        <f t="shared" si="6"/>
        <v>居住社区成熟度</v>
      </c>
      <c r="R15" s="702" t="s">
        <v>21</v>
      </c>
      <c r="S15" s="703">
        <f t="shared" si="0"/>
        <v>100</v>
      </c>
      <c r="T15" s="702" t="s">
        <v>21</v>
      </c>
      <c r="U15" s="703">
        <f t="shared" si="1"/>
        <v>100</v>
      </c>
      <c r="V15" s="702" t="s">
        <v>21</v>
      </c>
      <c r="W15" s="703">
        <f t="shared" si="2"/>
        <v>100</v>
      </c>
      <c r="X15" s="1477"/>
      <c r="Y15" s="3515" t="s">
        <v>2140</v>
      </c>
      <c r="Z15" s="1478" t="str">
        <f t="shared" si="7"/>
        <v>居住社区成熟度</v>
      </c>
      <c r="AA15" s="1475">
        <f t="shared" si="3"/>
        <v>1</v>
      </c>
      <c r="AB15" s="1475">
        <f t="shared" si="4"/>
        <v>1</v>
      </c>
      <c r="AC15" s="1475">
        <f t="shared" si="5"/>
        <v>1</v>
      </c>
    </row>
    <row r="16" spans="1:29" ht="15.5">
      <c r="A16" s="377"/>
      <c r="B16" s="395"/>
      <c r="C16" s="396"/>
      <c r="D16" s="397"/>
      <c r="E16" s="2021"/>
      <c r="F16" s="397"/>
      <c r="G16" s="2022"/>
      <c r="H16" s="399"/>
      <c r="I16" s="2022"/>
      <c r="J16" s="397"/>
      <c r="K16" s="2023"/>
      <c r="L16" s="2883"/>
      <c r="M16" s="2877"/>
      <c r="N16" s="2877"/>
      <c r="O16" s="2877"/>
      <c r="P16" s="3561"/>
      <c r="Q16" s="1474"/>
      <c r="R16" s="702"/>
      <c r="S16" s="703"/>
      <c r="T16" s="702"/>
      <c r="U16" s="703"/>
      <c r="V16" s="702"/>
      <c r="W16" s="703"/>
      <c r="X16" s="1477"/>
      <c r="Y16" s="3516"/>
      <c r="Z16" s="1478"/>
      <c r="AA16" s="1475">
        <v>1</v>
      </c>
      <c r="AB16" s="1475">
        <v>1</v>
      </c>
      <c r="AC16" s="1475">
        <v>1</v>
      </c>
    </row>
    <row r="17" spans="1:29" ht="84">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83"/>
      <c r="M17" s="2877"/>
      <c r="N17" s="2877"/>
      <c r="O17" s="2877"/>
      <c r="P17" s="3561"/>
      <c r="Q17" s="1474" t="str">
        <f>B17</f>
        <v>交通便捷度</v>
      </c>
      <c r="R17" s="702" t="s">
        <v>21</v>
      </c>
      <c r="S17" s="703">
        <f>F17</f>
        <v>100</v>
      </c>
      <c r="T17" s="702" t="s">
        <v>21</v>
      </c>
      <c r="U17" s="703">
        <f>H17</f>
        <v>100</v>
      </c>
      <c r="V17" s="702" t="s">
        <v>21</v>
      </c>
      <c r="W17" s="703">
        <f>J17</f>
        <v>100</v>
      </c>
      <c r="X17" s="1477"/>
      <c r="Y17" s="3516"/>
      <c r="Z17" s="1478" t="str">
        <f>Q17</f>
        <v>交通便捷度</v>
      </c>
      <c r="AA17" s="1475">
        <f t="shared" si="3"/>
        <v>1</v>
      </c>
      <c r="AB17" s="1475">
        <f t="shared" si="4"/>
        <v>1</v>
      </c>
      <c r="AC17" s="1475">
        <f t="shared" si="5"/>
        <v>1</v>
      </c>
    </row>
    <row r="18" spans="1:29" ht="15.5">
      <c r="A18" s="377"/>
      <c r="B18" s="405"/>
      <c r="C18" s="2025"/>
      <c r="D18" s="399"/>
      <c r="E18" s="2026"/>
      <c r="F18" s="399"/>
      <c r="G18" s="2027"/>
      <c r="H18" s="397"/>
      <c r="I18" s="2027"/>
      <c r="J18" s="397"/>
      <c r="K18" s="2023"/>
      <c r="L18" s="2883"/>
      <c r="M18" s="2877"/>
      <c r="N18" s="2877"/>
      <c r="O18" s="2877"/>
      <c r="P18" s="3561"/>
      <c r="Q18" s="1474"/>
      <c r="R18" s="702"/>
      <c r="S18" s="703"/>
      <c r="T18" s="702"/>
      <c r="U18" s="703"/>
      <c r="V18" s="702"/>
      <c r="W18" s="703"/>
      <c r="X18" s="1477"/>
      <c r="Y18" s="3516"/>
      <c r="Z18" s="1478"/>
      <c r="AA18" s="1475">
        <v>1</v>
      </c>
      <c r="AB18" s="1475">
        <v>1</v>
      </c>
      <c r="AC18" s="1475">
        <v>1</v>
      </c>
    </row>
    <row r="19" spans="1:29" ht="42">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83"/>
      <c r="M19" s="2877"/>
      <c r="N19" s="2877"/>
      <c r="O19" s="2877"/>
      <c r="P19" s="3561"/>
      <c r="Q19" s="1474" t="str">
        <f>B19</f>
        <v>公共配套设施</v>
      </c>
      <c r="R19" s="702" t="s">
        <v>21</v>
      </c>
      <c r="S19" s="703">
        <f>F19</f>
        <v>100</v>
      </c>
      <c r="T19" s="702" t="s">
        <v>21</v>
      </c>
      <c r="U19" s="703">
        <f>H19</f>
        <v>100</v>
      </c>
      <c r="V19" s="702" t="s">
        <v>21</v>
      </c>
      <c r="W19" s="703">
        <f>J19</f>
        <v>100</v>
      </c>
      <c r="X19" s="1477"/>
      <c r="Y19" s="3516"/>
      <c r="Z19" s="1478" t="str">
        <f>Q19</f>
        <v>公共配套设施</v>
      </c>
      <c r="AA19" s="1475">
        <f t="shared" si="3"/>
        <v>1</v>
      </c>
      <c r="AB19" s="1475">
        <f t="shared" si="4"/>
        <v>1</v>
      </c>
      <c r="AC19" s="1475">
        <f t="shared" si="5"/>
        <v>1</v>
      </c>
    </row>
    <row r="20" spans="1:29" ht="15.5">
      <c r="A20" s="377"/>
      <c r="B20" s="405"/>
      <c r="C20" s="396"/>
      <c r="D20" s="397"/>
      <c r="E20" s="2021"/>
      <c r="F20" s="397"/>
      <c r="G20" s="2022"/>
      <c r="H20" s="397"/>
      <c r="I20" s="2022"/>
      <c r="J20" s="397"/>
      <c r="K20" s="2023"/>
      <c r="L20" s="2883"/>
      <c r="M20" s="2877"/>
      <c r="N20" s="2877"/>
      <c r="O20" s="2877"/>
      <c r="P20" s="3561"/>
      <c r="Q20" s="1474"/>
      <c r="R20" s="702"/>
      <c r="S20" s="703"/>
      <c r="T20" s="702"/>
      <c r="U20" s="703"/>
      <c r="V20" s="702"/>
      <c r="W20" s="703"/>
      <c r="X20" s="1477"/>
      <c r="Y20" s="3516"/>
      <c r="Z20" s="1478"/>
      <c r="AA20" s="1475">
        <v>1</v>
      </c>
      <c r="AB20" s="1475">
        <v>1</v>
      </c>
      <c r="AC20" s="1475">
        <v>1</v>
      </c>
    </row>
    <row r="21" spans="1:29" ht="15.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83"/>
      <c r="M21" s="2877"/>
      <c r="N21" s="2877"/>
      <c r="O21" s="2877"/>
      <c r="P21" s="3561"/>
      <c r="Q21" s="1474" t="str">
        <f>B21</f>
        <v>基础设施水平</v>
      </c>
      <c r="R21" s="702" t="s">
        <v>17</v>
      </c>
      <c r="S21" s="703">
        <f>F21</f>
        <v>100</v>
      </c>
      <c r="T21" s="702" t="s">
        <v>17</v>
      </c>
      <c r="U21" s="703">
        <f>H21</f>
        <v>100</v>
      </c>
      <c r="V21" s="702" t="s">
        <v>17</v>
      </c>
      <c r="W21" s="703">
        <f>J21</f>
        <v>100</v>
      </c>
      <c r="X21" s="1477"/>
      <c r="Y21" s="3516"/>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7"/>
      <c r="G22" s="2028"/>
      <c r="H22" s="397"/>
      <c r="I22" s="396"/>
      <c r="J22" s="397"/>
      <c r="K22" s="2029"/>
      <c r="L22" s="2883"/>
      <c r="M22" s="2877"/>
      <c r="N22" s="2877"/>
      <c r="O22" s="2877"/>
      <c r="P22" s="3561"/>
      <c r="Q22" s="1474"/>
      <c r="R22" s="702"/>
      <c r="S22" s="703"/>
      <c r="T22" s="702"/>
      <c r="U22" s="703"/>
      <c r="V22" s="702"/>
      <c r="W22" s="703"/>
      <c r="X22" s="1477"/>
      <c r="Y22" s="3516"/>
      <c r="Z22" s="1478"/>
      <c r="AA22" s="1475">
        <v>1</v>
      </c>
      <c r="AB22" s="1475">
        <v>1</v>
      </c>
      <c r="AC22" s="1475">
        <v>1</v>
      </c>
    </row>
    <row r="23" spans="1:29" ht="84">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83"/>
      <c r="M23" s="2877"/>
      <c r="N23" s="2877"/>
      <c r="O23" s="2877"/>
      <c r="P23" s="3561"/>
      <c r="Q23" s="1474" t="str">
        <f>B23</f>
        <v>自然及人文环境</v>
      </c>
      <c r="R23" s="702" t="s">
        <v>21</v>
      </c>
      <c r="S23" s="703">
        <f>F23</f>
        <v>100</v>
      </c>
      <c r="T23" s="702" t="s">
        <v>21</v>
      </c>
      <c r="U23" s="703">
        <f>H23</f>
        <v>100</v>
      </c>
      <c r="V23" s="702" t="s">
        <v>21</v>
      </c>
      <c r="W23" s="703">
        <f>J23</f>
        <v>100</v>
      </c>
      <c r="X23" s="1477"/>
      <c r="Y23" s="3516"/>
      <c r="Z23" s="1478" t="str">
        <f>Q23</f>
        <v>自然及人文环境</v>
      </c>
      <c r="AA23" s="1475">
        <f>D23/F23</f>
        <v>1</v>
      </c>
      <c r="AB23" s="1475">
        <f>D23/H23</f>
        <v>1</v>
      </c>
      <c r="AC23" s="1475">
        <f>D23/J23</f>
        <v>1</v>
      </c>
    </row>
    <row r="24" spans="1:29" ht="15.5">
      <c r="A24" s="377"/>
      <c r="B24" s="405"/>
      <c r="C24" s="396"/>
      <c r="D24" s="397"/>
      <c r="E24" s="2021"/>
      <c r="F24" s="397"/>
      <c r="G24" s="2022"/>
      <c r="H24" s="397"/>
      <c r="I24" s="2022"/>
      <c r="J24" s="397"/>
      <c r="K24" s="2023"/>
      <c r="L24" s="2883"/>
      <c r="M24" s="2877"/>
      <c r="N24" s="2877"/>
      <c r="O24" s="2877"/>
      <c r="P24" s="3561"/>
      <c r="Q24" s="1474"/>
      <c r="R24" s="702"/>
      <c r="S24" s="703"/>
      <c r="T24" s="702"/>
      <c r="U24" s="703"/>
      <c r="V24" s="702"/>
      <c r="W24" s="703"/>
      <c r="X24" s="1477"/>
      <c r="Y24" s="3516"/>
      <c r="Z24" s="1478"/>
      <c r="AA24" s="1475">
        <v>1</v>
      </c>
      <c r="AB24" s="1475">
        <v>1</v>
      </c>
      <c r="AC24" s="1475">
        <v>1</v>
      </c>
    </row>
    <row r="25" spans="1:29" ht="15.5">
      <c r="A25" s="377"/>
      <c r="B25" s="371" t="s">
        <v>2141</v>
      </c>
      <c r="C25" s="409"/>
      <c r="D25" s="384">
        <v>100</v>
      </c>
      <c r="E25" s="2030"/>
      <c r="F25" s="384">
        <f>SUMIF(86:86,E25,87:87)-SUMIF(86:86,C25,87:87)+100</f>
        <v>100</v>
      </c>
      <c r="G25" s="2031"/>
      <c r="H25" s="384">
        <f>SUMIF(86:86,G25,87:87)-SUMIF(86:86,C25,87:87)+100</f>
        <v>100</v>
      </c>
      <c r="I25" s="2031"/>
      <c r="J25" s="384">
        <f>SUMIF(86:86,I25,87:87)-SUMIF(86:86,C25,87:87)+100</f>
        <v>100</v>
      </c>
      <c r="K25" s="375"/>
      <c r="L25" s="2883"/>
      <c r="M25" s="2877"/>
      <c r="N25" s="2877"/>
      <c r="O25" s="2877"/>
      <c r="P25" s="3561"/>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516"/>
      <c r="Z25" s="1478" t="str">
        <f>Q25</f>
        <v>楼层-1</v>
      </c>
      <c r="AA25" s="1475">
        <f t="shared" ref="AA25:AA46" si="15">D25/F25</f>
        <v>1</v>
      </c>
      <c r="AB25" s="1475">
        <f t="shared" ref="AB25:AB46" si="16">D25/H25</f>
        <v>1</v>
      </c>
      <c r="AC25" s="1475">
        <f t="shared" ref="AC25:AC46" si="17">D25/J25</f>
        <v>1</v>
      </c>
    </row>
    <row r="26" spans="1:29" ht="15.5">
      <c r="A26" s="377"/>
      <c r="B26" s="371" t="s">
        <v>2142</v>
      </c>
      <c r="C26" s="409"/>
      <c r="D26" s="384">
        <v>100</v>
      </c>
      <c r="E26" s="2030"/>
      <c r="F26" s="384">
        <f>SUMIF(88:88,E26,89:89)-SUMIF(88:88,C26,89:89)+100</f>
        <v>100</v>
      </c>
      <c r="G26" s="2031"/>
      <c r="H26" s="384">
        <f>SUMIF(88:88,G26,89:89)-SUMIF(88:88,C26,89:89)+100</f>
        <v>100</v>
      </c>
      <c r="I26" s="2031"/>
      <c r="J26" s="384">
        <f>SUMIF(88:88,I26,89:89)-SUMIF(88:88,C26,89:89)+100</f>
        <v>100</v>
      </c>
      <c r="K26" s="375"/>
      <c r="L26" s="2883"/>
      <c r="M26" s="2877"/>
      <c r="N26" s="2877"/>
      <c r="O26" s="2877"/>
      <c r="P26" s="3561"/>
      <c r="Q26" s="1474" t="str">
        <f t="shared" si="11"/>
        <v>朝向</v>
      </c>
      <c r="R26" s="702" t="s">
        <v>21</v>
      </c>
      <c r="S26" s="703">
        <f t="shared" si="12"/>
        <v>100</v>
      </c>
      <c r="T26" s="702" t="s">
        <v>21</v>
      </c>
      <c r="U26" s="703">
        <f t="shared" si="13"/>
        <v>100</v>
      </c>
      <c r="V26" s="702" t="s">
        <v>21</v>
      </c>
      <c r="W26" s="703">
        <f t="shared" si="14"/>
        <v>100</v>
      </c>
      <c r="X26" s="1477"/>
      <c r="Y26" s="3516"/>
      <c r="Z26" s="1478" t="str">
        <f>Q26</f>
        <v>朝向</v>
      </c>
      <c r="AA26" s="1475">
        <f t="shared" si="15"/>
        <v>1</v>
      </c>
      <c r="AB26" s="1475">
        <f t="shared" si="16"/>
        <v>1</v>
      </c>
      <c r="AC26" s="1475">
        <f t="shared" si="17"/>
        <v>1</v>
      </c>
    </row>
    <row r="27" spans="1:29" s="110" customFormat="1" ht="15.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78"/>
      <c r="M27" s="2879"/>
      <c r="N27" s="2879"/>
      <c r="O27" s="2879"/>
      <c r="P27" s="3561"/>
      <c r="Q27" s="1465">
        <f t="shared" si="11"/>
        <v>111</v>
      </c>
      <c r="R27" s="698" t="s">
        <v>21</v>
      </c>
      <c r="S27" s="699">
        <f t="shared" si="12"/>
        <v>100</v>
      </c>
      <c r="T27" s="698" t="s">
        <v>21</v>
      </c>
      <c r="U27" s="699">
        <f t="shared" si="13"/>
        <v>100</v>
      </c>
      <c r="V27" s="698" t="s">
        <v>21</v>
      </c>
      <c r="W27" s="699">
        <f t="shared" si="14"/>
        <v>100</v>
      </c>
      <c r="X27" s="700"/>
      <c r="Y27" s="3516"/>
      <c r="Z27" s="55">
        <f>Q27</f>
        <v>111</v>
      </c>
      <c r="AA27" s="1475">
        <f t="shared" si="15"/>
        <v>1</v>
      </c>
      <c r="AB27" s="1475">
        <f t="shared" si="16"/>
        <v>1</v>
      </c>
      <c r="AC27" s="1475">
        <f t="shared" si="17"/>
        <v>1</v>
      </c>
    </row>
    <row r="28" spans="1:29" ht="15.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83"/>
      <c r="M28" s="2877"/>
      <c r="N28" s="2877"/>
      <c r="O28" s="2877"/>
      <c r="P28" s="3561"/>
      <c r="Q28" s="1474">
        <f t="shared" si="11"/>
        <v>111</v>
      </c>
      <c r="R28" s="702" t="s">
        <v>21</v>
      </c>
      <c r="S28" s="703">
        <f t="shared" si="12"/>
        <v>100</v>
      </c>
      <c r="T28" s="702" t="s">
        <v>21</v>
      </c>
      <c r="U28" s="703">
        <f t="shared" si="13"/>
        <v>100</v>
      </c>
      <c r="V28" s="702" t="s">
        <v>21</v>
      </c>
      <c r="W28" s="703">
        <f t="shared" si="14"/>
        <v>100</v>
      </c>
      <c r="X28" s="1477"/>
      <c r="Y28" s="3516"/>
      <c r="Z28" s="1478">
        <f t="shared" ref="Z28:Z46" si="18">Q28</f>
        <v>111</v>
      </c>
      <c r="AA28" s="1475">
        <f t="shared" si="15"/>
        <v>1</v>
      </c>
      <c r="AB28" s="1475">
        <f t="shared" si="16"/>
        <v>1</v>
      </c>
      <c r="AC28" s="1475">
        <f t="shared" si="17"/>
        <v>1</v>
      </c>
    </row>
    <row r="29" spans="1:29" ht="15.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83"/>
      <c r="M29" s="2877"/>
      <c r="N29" s="2877"/>
      <c r="O29" s="2877"/>
      <c r="P29" s="3561"/>
      <c r="Q29" s="1474">
        <f t="shared" si="11"/>
        <v>111</v>
      </c>
      <c r="R29" s="702" t="s">
        <v>21</v>
      </c>
      <c r="S29" s="703">
        <f t="shared" si="12"/>
        <v>100</v>
      </c>
      <c r="T29" s="702" t="s">
        <v>21</v>
      </c>
      <c r="U29" s="703">
        <f t="shared" si="13"/>
        <v>100</v>
      </c>
      <c r="V29" s="702" t="s">
        <v>21</v>
      </c>
      <c r="W29" s="703">
        <f t="shared" si="14"/>
        <v>100</v>
      </c>
      <c r="X29" s="1477"/>
      <c r="Y29" s="3516"/>
      <c r="Z29" s="1478">
        <f t="shared" si="18"/>
        <v>111</v>
      </c>
      <c r="AA29" s="1475">
        <f t="shared" si="15"/>
        <v>1</v>
      </c>
      <c r="AB29" s="1475">
        <f t="shared" si="16"/>
        <v>1</v>
      </c>
      <c r="AC29" s="1475">
        <f t="shared" si="17"/>
        <v>1</v>
      </c>
    </row>
    <row r="30" spans="1:29" ht="15.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83"/>
      <c r="M30" s="2877"/>
      <c r="N30" s="2877"/>
      <c r="O30" s="2877"/>
      <c r="P30" s="3561"/>
      <c r="Q30" s="1474">
        <f t="shared" si="11"/>
        <v>111</v>
      </c>
      <c r="R30" s="702" t="s">
        <v>21</v>
      </c>
      <c r="S30" s="703">
        <f t="shared" si="12"/>
        <v>100</v>
      </c>
      <c r="T30" s="702" t="s">
        <v>21</v>
      </c>
      <c r="U30" s="703">
        <f t="shared" si="13"/>
        <v>100</v>
      </c>
      <c r="V30" s="702" t="s">
        <v>21</v>
      </c>
      <c r="W30" s="703">
        <f t="shared" si="14"/>
        <v>100</v>
      </c>
      <c r="X30" s="1477"/>
      <c r="Y30" s="3516"/>
      <c r="Z30" s="1478">
        <f t="shared" si="18"/>
        <v>111</v>
      </c>
      <c r="AA30" s="1475">
        <f t="shared" si="15"/>
        <v>1</v>
      </c>
      <c r="AB30" s="1475">
        <f t="shared" si="16"/>
        <v>1</v>
      </c>
      <c r="AC30" s="1475">
        <f t="shared" si="17"/>
        <v>1</v>
      </c>
    </row>
    <row r="31" spans="1:29" ht="16"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83"/>
      <c r="M31" s="2877"/>
      <c r="N31" s="2877"/>
      <c r="O31" s="2877"/>
      <c r="P31" s="3561"/>
      <c r="Q31" s="1474">
        <f t="shared" si="11"/>
        <v>111</v>
      </c>
      <c r="R31" s="702" t="s">
        <v>21</v>
      </c>
      <c r="S31" s="703">
        <f t="shared" si="12"/>
        <v>100</v>
      </c>
      <c r="T31" s="702" t="s">
        <v>21</v>
      </c>
      <c r="U31" s="703">
        <f t="shared" si="13"/>
        <v>100</v>
      </c>
      <c r="V31" s="702" t="s">
        <v>21</v>
      </c>
      <c r="W31" s="703">
        <f t="shared" si="14"/>
        <v>100</v>
      </c>
      <c r="X31" s="1477"/>
      <c r="Y31" s="3516"/>
      <c r="Z31" s="1478">
        <f t="shared" si="18"/>
        <v>111</v>
      </c>
      <c r="AA31" s="1475">
        <f t="shared" si="15"/>
        <v>1</v>
      </c>
      <c r="AB31" s="1475">
        <f t="shared" si="16"/>
        <v>1</v>
      </c>
      <c r="AC31" s="1475">
        <f t="shared" si="17"/>
        <v>1</v>
      </c>
    </row>
    <row r="32" spans="1:29" ht="15.5">
      <c r="A32" s="389" t="s">
        <v>2143</v>
      </c>
      <c r="B32" s="67" t="s">
        <v>2144</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83"/>
      <c r="M32" s="2877"/>
      <c r="N32" s="2877"/>
      <c r="O32" s="2877"/>
      <c r="P32" s="3556" t="s">
        <v>2145</v>
      </c>
      <c r="Q32" s="1474" t="str">
        <f t="shared" si="11"/>
        <v>建筑类型</v>
      </c>
      <c r="R32" s="702" t="s">
        <v>21</v>
      </c>
      <c r="S32" s="703">
        <f t="shared" si="12"/>
        <v>100</v>
      </c>
      <c r="T32" s="702" t="s">
        <v>21</v>
      </c>
      <c r="U32" s="703">
        <f t="shared" si="13"/>
        <v>100</v>
      </c>
      <c r="V32" s="702" t="s">
        <v>21</v>
      </c>
      <c r="W32" s="703">
        <f t="shared" si="14"/>
        <v>100</v>
      </c>
      <c r="X32" s="1477"/>
      <c r="Y32" s="3518" t="s">
        <v>2145</v>
      </c>
      <c r="Z32" s="1478" t="str">
        <f t="shared" si="18"/>
        <v>建筑类型</v>
      </c>
      <c r="AA32" s="1475">
        <f t="shared" si="15"/>
        <v>1</v>
      </c>
      <c r="AB32" s="1475">
        <f t="shared" si="16"/>
        <v>1</v>
      </c>
      <c r="AC32" s="1475">
        <f t="shared" si="17"/>
        <v>1</v>
      </c>
    </row>
    <row r="33" spans="1:29" s="420" customFormat="1" ht="15.5">
      <c r="A33" s="417"/>
      <c r="B33" s="371" t="s">
        <v>2146</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82"/>
      <c r="M33" s="2884"/>
      <c r="N33" s="2884"/>
      <c r="O33" s="2884"/>
      <c r="P33" s="3557"/>
      <c r="Q33" s="704" t="str">
        <f t="shared" si="11"/>
        <v>项目建筑规模</v>
      </c>
      <c r="R33" s="705" t="s">
        <v>21</v>
      </c>
      <c r="S33" s="706" t="e">
        <f t="shared" si="12"/>
        <v>#N/A</v>
      </c>
      <c r="T33" s="705" t="s">
        <v>21</v>
      </c>
      <c r="U33" s="706" t="e">
        <f t="shared" si="13"/>
        <v>#N/A</v>
      </c>
      <c r="V33" s="705" t="s">
        <v>21</v>
      </c>
      <c r="W33" s="706" t="e">
        <f t="shared" si="14"/>
        <v>#N/A</v>
      </c>
      <c r="X33" s="707"/>
      <c r="Y33" s="3518"/>
      <c r="Z33" s="708" t="str">
        <f t="shared" si="18"/>
        <v>项目建筑规模</v>
      </c>
      <c r="AA33" s="1475" t="e">
        <f t="shared" si="15"/>
        <v>#N/A</v>
      </c>
      <c r="AB33" s="1475" t="e">
        <f t="shared" si="16"/>
        <v>#N/A</v>
      </c>
      <c r="AC33" s="1475" t="e">
        <f t="shared" si="17"/>
        <v>#N/A</v>
      </c>
    </row>
    <row r="34" spans="1:29" ht="15.5">
      <c r="A34" s="421"/>
      <c r="B34" s="371" t="s">
        <v>2147</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83"/>
      <c r="M34" s="2877"/>
      <c r="N34" s="2877"/>
      <c r="O34" s="2877"/>
      <c r="P34" s="3557"/>
      <c r="Q34" s="1474" t="str">
        <f t="shared" si="11"/>
        <v>建筑结构</v>
      </c>
      <c r="R34" s="702" t="s">
        <v>21</v>
      </c>
      <c r="S34" s="703">
        <f t="shared" si="12"/>
        <v>100</v>
      </c>
      <c r="T34" s="702" t="s">
        <v>21</v>
      </c>
      <c r="U34" s="703">
        <f t="shared" si="13"/>
        <v>100</v>
      </c>
      <c r="V34" s="702" t="s">
        <v>21</v>
      </c>
      <c r="W34" s="703">
        <f t="shared" si="14"/>
        <v>100</v>
      </c>
      <c r="X34" s="1477"/>
      <c r="Y34" s="3518"/>
      <c r="Z34" s="1478" t="str">
        <f t="shared" si="18"/>
        <v>建筑结构</v>
      </c>
      <c r="AA34" s="1475">
        <f t="shared" si="15"/>
        <v>1</v>
      </c>
      <c r="AB34" s="1475">
        <f t="shared" si="16"/>
        <v>1</v>
      </c>
      <c r="AC34" s="1475">
        <f t="shared" si="17"/>
        <v>1</v>
      </c>
    </row>
    <row r="35" spans="1:29" ht="15.5">
      <c r="A35" s="421"/>
      <c r="B35" s="371" t="s">
        <v>2148</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83"/>
      <c r="M35" s="2877"/>
      <c r="N35" s="2877"/>
      <c r="O35" s="2877"/>
      <c r="P35" s="3557"/>
      <c r="Q35" s="1474" t="str">
        <f t="shared" si="11"/>
        <v>建筑品质</v>
      </c>
      <c r="R35" s="702" t="s">
        <v>21</v>
      </c>
      <c r="S35" s="703">
        <f t="shared" si="12"/>
        <v>100</v>
      </c>
      <c r="T35" s="702" t="s">
        <v>21</v>
      </c>
      <c r="U35" s="703">
        <f t="shared" si="13"/>
        <v>100</v>
      </c>
      <c r="V35" s="702" t="s">
        <v>21</v>
      </c>
      <c r="W35" s="703">
        <f t="shared" si="14"/>
        <v>100</v>
      </c>
      <c r="X35" s="1477"/>
      <c r="Y35" s="3518"/>
      <c r="Z35" s="1478" t="str">
        <f t="shared" si="18"/>
        <v>建筑品质</v>
      </c>
      <c r="AA35" s="1475">
        <f t="shared" si="15"/>
        <v>1</v>
      </c>
      <c r="AB35" s="1475">
        <f t="shared" si="16"/>
        <v>1</v>
      </c>
      <c r="AC35" s="1475">
        <f t="shared" si="17"/>
        <v>1</v>
      </c>
    </row>
    <row r="36" spans="1:29" ht="15.5">
      <c r="A36" s="421"/>
      <c r="B36" s="371" t="s">
        <v>2149</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83"/>
      <c r="M36" s="2877"/>
      <c r="N36" s="2877"/>
      <c r="O36" s="2877"/>
      <c r="P36" s="3557"/>
      <c r="Q36" s="1474" t="str">
        <f t="shared" si="11"/>
        <v>公共部分装修</v>
      </c>
      <c r="R36" s="702" t="s">
        <v>21</v>
      </c>
      <c r="S36" s="703">
        <f t="shared" si="12"/>
        <v>100</v>
      </c>
      <c r="T36" s="702" t="s">
        <v>21</v>
      </c>
      <c r="U36" s="703">
        <f t="shared" si="13"/>
        <v>100</v>
      </c>
      <c r="V36" s="702" t="s">
        <v>21</v>
      </c>
      <c r="W36" s="703">
        <f t="shared" si="14"/>
        <v>100</v>
      </c>
      <c r="X36" s="1477"/>
      <c r="Y36" s="3518"/>
      <c r="Z36" s="1478" t="str">
        <f t="shared" si="18"/>
        <v>公共部分装修</v>
      </c>
      <c r="AA36" s="1475">
        <f t="shared" si="15"/>
        <v>1</v>
      </c>
      <c r="AB36" s="1475">
        <f t="shared" si="16"/>
        <v>1</v>
      </c>
      <c r="AC36" s="1475">
        <f t="shared" si="17"/>
        <v>1</v>
      </c>
    </row>
    <row r="37" spans="1:29" s="110" customFormat="1" ht="15.5">
      <c r="A37" s="422"/>
      <c r="B37" s="371" t="s">
        <v>2150</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78"/>
      <c r="M37" s="2879"/>
      <c r="N37" s="2879"/>
      <c r="O37" s="2879"/>
      <c r="P37" s="3557"/>
      <c r="Q37" s="1465" t="str">
        <f t="shared" si="11"/>
        <v>成新度</v>
      </c>
      <c r="R37" s="698" t="s">
        <v>21</v>
      </c>
      <c r="S37" s="699" t="e">
        <f t="shared" si="12"/>
        <v>#N/A</v>
      </c>
      <c r="T37" s="698" t="s">
        <v>21</v>
      </c>
      <c r="U37" s="699" t="e">
        <f t="shared" si="13"/>
        <v>#N/A</v>
      </c>
      <c r="V37" s="698" t="s">
        <v>21</v>
      </c>
      <c r="W37" s="699" t="e">
        <f t="shared" si="14"/>
        <v>#N/A</v>
      </c>
      <c r="X37" s="700"/>
      <c r="Y37" s="3518"/>
      <c r="Z37" s="55" t="str">
        <f t="shared" si="18"/>
        <v>成新度</v>
      </c>
      <c r="AA37" s="701" t="e">
        <f t="shared" si="15"/>
        <v>#N/A</v>
      </c>
      <c r="AB37" s="701" t="e">
        <f t="shared" si="16"/>
        <v>#N/A</v>
      </c>
      <c r="AC37" s="701" t="e">
        <f t="shared" si="17"/>
        <v>#N/A</v>
      </c>
    </row>
    <row r="38" spans="1:29" ht="15.5">
      <c r="A38" s="421"/>
      <c r="B38" s="371" t="s">
        <v>2151</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83"/>
      <c r="M38" s="2877"/>
      <c r="N38" s="2877"/>
      <c r="O38" s="2877"/>
      <c r="P38" s="3557" t="s">
        <v>2145</v>
      </c>
      <c r="Q38" s="1474" t="str">
        <f t="shared" si="11"/>
        <v>物业管理</v>
      </c>
      <c r="R38" s="702" t="s">
        <v>21</v>
      </c>
      <c r="S38" s="703">
        <f t="shared" si="12"/>
        <v>100</v>
      </c>
      <c r="T38" s="702" t="s">
        <v>21</v>
      </c>
      <c r="U38" s="703">
        <f t="shared" si="13"/>
        <v>100</v>
      </c>
      <c r="V38" s="702" t="s">
        <v>21</v>
      </c>
      <c r="W38" s="703">
        <f t="shared" si="14"/>
        <v>100</v>
      </c>
      <c r="X38" s="1477"/>
      <c r="Y38" s="3518" t="s">
        <v>2145</v>
      </c>
      <c r="Z38" s="1478" t="str">
        <f t="shared" si="18"/>
        <v>物业管理</v>
      </c>
      <c r="AA38" s="1475">
        <f t="shared" si="15"/>
        <v>1</v>
      </c>
      <c r="AB38" s="1475">
        <f t="shared" si="16"/>
        <v>1</v>
      </c>
      <c r="AC38" s="1475">
        <f t="shared" si="17"/>
        <v>1</v>
      </c>
    </row>
    <row r="39" spans="1:29" ht="15.5">
      <c r="A39" s="421"/>
      <c r="B39" s="371" t="s">
        <v>2152</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83"/>
      <c r="M39" s="2877"/>
      <c r="N39" s="2877"/>
      <c r="O39" s="2877"/>
      <c r="P39" s="3557"/>
      <c r="Q39" s="1474" t="str">
        <f t="shared" si="11"/>
        <v>市政基础设施</v>
      </c>
      <c r="R39" s="702" t="s">
        <v>21</v>
      </c>
      <c r="S39" s="703">
        <f t="shared" si="12"/>
        <v>100</v>
      </c>
      <c r="T39" s="702" t="s">
        <v>21</v>
      </c>
      <c r="U39" s="703">
        <f t="shared" si="13"/>
        <v>100</v>
      </c>
      <c r="V39" s="702" t="s">
        <v>21</v>
      </c>
      <c r="W39" s="703">
        <f t="shared" si="14"/>
        <v>100</v>
      </c>
      <c r="X39" s="1477"/>
      <c r="Y39" s="3518"/>
      <c r="Z39" s="1478" t="str">
        <f t="shared" si="18"/>
        <v>市政基础设施</v>
      </c>
      <c r="AA39" s="1475">
        <f t="shared" si="15"/>
        <v>1</v>
      </c>
      <c r="AB39" s="1475">
        <f t="shared" si="16"/>
        <v>1</v>
      </c>
      <c r="AC39" s="1475">
        <f t="shared" si="17"/>
        <v>1</v>
      </c>
    </row>
    <row r="40" spans="1:29" ht="15.5">
      <c r="A40" s="421"/>
      <c r="B40" s="371" t="s">
        <v>2153</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83"/>
      <c r="M40" s="2877"/>
      <c r="N40" s="2877"/>
      <c r="O40" s="2877"/>
      <c r="P40" s="3557"/>
      <c r="Q40" s="1474" t="str">
        <f t="shared" si="11"/>
        <v>房型</v>
      </c>
      <c r="R40" s="702" t="s">
        <v>21</v>
      </c>
      <c r="S40" s="703">
        <f t="shared" si="12"/>
        <v>100</v>
      </c>
      <c r="T40" s="702" t="s">
        <v>21</v>
      </c>
      <c r="U40" s="703">
        <f t="shared" si="13"/>
        <v>100</v>
      </c>
      <c r="V40" s="702" t="s">
        <v>21</v>
      </c>
      <c r="W40" s="703">
        <f t="shared" si="14"/>
        <v>100</v>
      </c>
      <c r="X40" s="1477"/>
      <c r="Y40" s="3518"/>
      <c r="Z40" s="1478" t="str">
        <f t="shared" si="18"/>
        <v>房型</v>
      </c>
      <c r="AA40" s="1475">
        <f t="shared" si="15"/>
        <v>1</v>
      </c>
      <c r="AB40" s="1475">
        <f t="shared" si="16"/>
        <v>1</v>
      </c>
      <c r="AC40" s="1475">
        <f t="shared" si="17"/>
        <v>1</v>
      </c>
    </row>
    <row r="41" spans="1:29" s="420" customFormat="1" ht="28.5">
      <c r="A41" s="417"/>
      <c r="B41" s="371" t="s">
        <v>2154</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82"/>
      <c r="M41" s="2884"/>
      <c r="N41" s="2884"/>
      <c r="O41" s="2884"/>
      <c r="P41" s="3557"/>
      <c r="Q41" s="704" t="str">
        <f t="shared" si="11"/>
        <v>单套/主力户型建筑面积</v>
      </c>
      <c r="R41" s="705" t="s">
        <v>21</v>
      </c>
      <c r="S41" s="706">
        <f t="shared" si="12"/>
        <v>100</v>
      </c>
      <c r="T41" s="705" t="s">
        <v>21</v>
      </c>
      <c r="U41" s="706">
        <f t="shared" si="13"/>
        <v>100</v>
      </c>
      <c r="V41" s="705" t="s">
        <v>21</v>
      </c>
      <c r="W41" s="706">
        <f t="shared" si="14"/>
        <v>100</v>
      </c>
      <c r="X41" s="707"/>
      <c r="Y41" s="3518"/>
      <c r="Z41" s="708" t="str">
        <f t="shared" si="18"/>
        <v>单套/主力户型建筑面积</v>
      </c>
      <c r="AA41" s="1475">
        <f t="shared" si="15"/>
        <v>1</v>
      </c>
      <c r="AB41" s="1475">
        <f t="shared" si="16"/>
        <v>1</v>
      </c>
      <c r="AC41" s="1475">
        <f t="shared" si="17"/>
        <v>1</v>
      </c>
    </row>
    <row r="42" spans="1:29" ht="15.5">
      <c r="A42" s="421"/>
      <c r="B42" s="371" t="s">
        <v>2155</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83"/>
      <c r="M42" s="2877"/>
      <c r="N42" s="2877"/>
      <c r="O42" s="2877"/>
      <c r="P42" s="3557"/>
      <c r="Q42" s="1474" t="str">
        <f t="shared" si="11"/>
        <v>内部装修</v>
      </c>
      <c r="R42" s="702" t="s">
        <v>21</v>
      </c>
      <c r="S42" s="703">
        <f t="shared" si="12"/>
        <v>100</v>
      </c>
      <c r="T42" s="702" t="s">
        <v>21</v>
      </c>
      <c r="U42" s="703">
        <f t="shared" si="13"/>
        <v>100</v>
      </c>
      <c r="V42" s="702" t="s">
        <v>21</v>
      </c>
      <c r="W42" s="703">
        <f t="shared" si="14"/>
        <v>100</v>
      </c>
      <c r="X42" s="1477"/>
      <c r="Y42" s="3518"/>
      <c r="Z42" s="1478" t="str">
        <f t="shared" si="18"/>
        <v>内部装修</v>
      </c>
      <c r="AA42" s="1475">
        <f t="shared" si="15"/>
        <v>1</v>
      </c>
      <c r="AB42" s="1475">
        <f t="shared" si="16"/>
        <v>1</v>
      </c>
      <c r="AC42" s="1475">
        <f t="shared" si="17"/>
        <v>1</v>
      </c>
    </row>
    <row r="43" spans="1:29" ht="28">
      <c r="A43" s="421"/>
      <c r="B43" s="371" t="s">
        <v>2156</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83"/>
      <c r="M43" s="2877"/>
      <c r="N43" s="2877"/>
      <c r="O43" s="2877"/>
      <c r="P43" s="3557"/>
      <c r="Q43" s="1474" t="str">
        <f t="shared" si="11"/>
        <v>内部装修维护情况</v>
      </c>
      <c r="R43" s="702" t="s">
        <v>21</v>
      </c>
      <c r="S43" s="703">
        <f t="shared" si="12"/>
        <v>100</v>
      </c>
      <c r="T43" s="702" t="s">
        <v>21</v>
      </c>
      <c r="U43" s="703">
        <f t="shared" si="13"/>
        <v>100</v>
      </c>
      <c r="V43" s="702" t="s">
        <v>21</v>
      </c>
      <c r="W43" s="703">
        <f t="shared" si="14"/>
        <v>100</v>
      </c>
      <c r="X43" s="1477"/>
      <c r="Y43" s="3518"/>
      <c r="Z43" s="1478" t="str">
        <f t="shared" si="18"/>
        <v>内部装修维护情况</v>
      </c>
      <c r="AA43" s="1475">
        <f t="shared" si="15"/>
        <v>1</v>
      </c>
      <c r="AB43" s="1475">
        <f t="shared" si="16"/>
        <v>1</v>
      </c>
      <c r="AC43" s="1475">
        <f t="shared" si="17"/>
        <v>1</v>
      </c>
    </row>
    <row r="44" spans="1:29" s="110" customFormat="1" ht="15.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78"/>
      <c r="M44" s="2879"/>
      <c r="N44" s="2879"/>
      <c r="O44" s="2879"/>
      <c r="P44" s="3557"/>
      <c r="Q44" s="1465">
        <f t="shared" si="11"/>
        <v>111</v>
      </c>
      <c r="R44" s="698" t="s">
        <v>21</v>
      </c>
      <c r="S44" s="699">
        <f t="shared" si="12"/>
        <v>100</v>
      </c>
      <c r="T44" s="698" t="s">
        <v>21</v>
      </c>
      <c r="U44" s="699">
        <f t="shared" si="13"/>
        <v>100</v>
      </c>
      <c r="V44" s="698" t="s">
        <v>21</v>
      </c>
      <c r="W44" s="699">
        <f t="shared" si="14"/>
        <v>100</v>
      </c>
      <c r="X44" s="700"/>
      <c r="Y44" s="3518"/>
      <c r="Z44" s="55">
        <f t="shared" si="18"/>
        <v>111</v>
      </c>
      <c r="AA44" s="701">
        <f t="shared" si="15"/>
        <v>1</v>
      </c>
      <c r="AB44" s="701">
        <f t="shared" si="16"/>
        <v>1</v>
      </c>
      <c r="AC44" s="701">
        <f t="shared" si="17"/>
        <v>1</v>
      </c>
    </row>
    <row r="45" spans="1:29" ht="15.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83"/>
      <c r="M45" s="2877"/>
      <c r="N45" s="2877"/>
      <c r="O45" s="2877"/>
      <c r="P45" s="3557"/>
      <c r="Q45" s="1474">
        <f t="shared" si="11"/>
        <v>111</v>
      </c>
      <c r="R45" s="702" t="s">
        <v>21</v>
      </c>
      <c r="S45" s="703">
        <f t="shared" si="12"/>
        <v>100</v>
      </c>
      <c r="T45" s="702" t="s">
        <v>21</v>
      </c>
      <c r="U45" s="703">
        <f t="shared" si="13"/>
        <v>100</v>
      </c>
      <c r="V45" s="702" t="s">
        <v>21</v>
      </c>
      <c r="W45" s="703">
        <f t="shared" si="14"/>
        <v>100</v>
      </c>
      <c r="X45" s="1477"/>
      <c r="Y45" s="3518"/>
      <c r="Z45" s="1478">
        <f t="shared" si="18"/>
        <v>111</v>
      </c>
      <c r="AA45" s="1475">
        <f t="shared" si="15"/>
        <v>1</v>
      </c>
      <c r="AB45" s="1475">
        <f t="shared" si="16"/>
        <v>1</v>
      </c>
      <c r="AC45" s="1475">
        <f t="shared" si="17"/>
        <v>1</v>
      </c>
    </row>
    <row r="46" spans="1:29" ht="16"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83"/>
      <c r="M46" s="2877"/>
      <c r="N46" s="2877"/>
      <c r="O46" s="2877"/>
      <c r="P46" s="3558"/>
      <c r="Q46" s="1474">
        <f t="shared" si="11"/>
        <v>111</v>
      </c>
      <c r="R46" s="702" t="s">
        <v>20</v>
      </c>
      <c r="S46" s="703">
        <f t="shared" si="12"/>
        <v>100</v>
      </c>
      <c r="T46" s="702" t="s">
        <v>20</v>
      </c>
      <c r="U46" s="703">
        <f t="shared" si="13"/>
        <v>100</v>
      </c>
      <c r="V46" s="702" t="s">
        <v>20</v>
      </c>
      <c r="W46" s="703">
        <f t="shared" si="14"/>
        <v>100</v>
      </c>
      <c r="X46" s="1477"/>
      <c r="Y46" s="3559"/>
      <c r="Z46" s="1478">
        <f t="shared" si="18"/>
        <v>111</v>
      </c>
      <c r="AA46" s="1475">
        <f t="shared" si="15"/>
        <v>1</v>
      </c>
      <c r="AB46" s="1475">
        <f t="shared" si="16"/>
        <v>1</v>
      </c>
      <c r="AC46" s="1475">
        <f t="shared" si="17"/>
        <v>1</v>
      </c>
    </row>
    <row r="47" spans="1:29">
      <c r="A47" s="428" t="s">
        <v>2157</v>
      </c>
      <c r="B47" s="429"/>
      <c r="C47" s="1257" t="s">
        <v>19</v>
      </c>
      <c r="D47" s="1258"/>
      <c r="E47" s="1259"/>
      <c r="F47" s="1260"/>
      <c r="G47" s="1261"/>
      <c r="H47" s="1262"/>
      <c r="I47" s="1259"/>
      <c r="J47" s="1262"/>
      <c r="K47" s="2038"/>
      <c r="L47" s="2885"/>
      <c r="M47" s="2886"/>
      <c r="N47" s="2877"/>
      <c r="O47" s="2886"/>
      <c r="P47" s="3500" t="str">
        <f>A47</f>
        <v>成交单价（元/平方米）</v>
      </c>
      <c r="Q47" s="3500"/>
      <c r="R47" s="3555">
        <f>E47</f>
        <v>0</v>
      </c>
      <c r="S47" s="3555"/>
      <c r="T47" s="3555">
        <f>G47</f>
        <v>0</v>
      </c>
      <c r="U47" s="3555"/>
      <c r="V47" s="3555">
        <f>I47</f>
        <v>0</v>
      </c>
      <c r="W47" s="3555"/>
      <c r="X47" s="687"/>
      <c r="Y47" s="709"/>
      <c r="Z47" s="687"/>
      <c r="AA47" s="687"/>
      <c r="AB47" s="687"/>
      <c r="AC47" s="687"/>
    </row>
    <row r="48" spans="1:29" ht="14.5" thickBot="1">
      <c r="A48" s="435" t="s">
        <v>2158</v>
      </c>
      <c r="B48" s="436"/>
      <c r="C48" s="1263" t="e">
        <f>R49</f>
        <v>#DIV/0!</v>
      </c>
      <c r="D48" s="2476" t="s">
        <v>2639</v>
      </c>
      <c r="E48" s="1264" t="e">
        <f>R48</f>
        <v>#DIV/0!</v>
      </c>
      <c r="F48" s="2477"/>
      <c r="G48" s="1263" t="e">
        <f>T48</f>
        <v>#DIV/0!</v>
      </c>
      <c r="H48" s="2477"/>
      <c r="I48" s="1264" t="e">
        <f>V48</f>
        <v>#DIV/0!</v>
      </c>
      <c r="J48" s="2477"/>
      <c r="K48" s="2478">
        <f>F48+H48+J48</f>
        <v>0</v>
      </c>
      <c r="L48" s="2885"/>
      <c r="M48" s="2886"/>
      <c r="N48" s="2886"/>
      <c r="O48" s="2886"/>
      <c r="P48" s="3500" t="str">
        <f>A48</f>
        <v>比较价值（元/平方米）</v>
      </c>
      <c r="Q48" s="3500"/>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87"/>
      <c r="Y48" s="687"/>
      <c r="Z48" s="687"/>
      <c r="AA48" s="687"/>
      <c r="AB48" s="687"/>
      <c r="AC48" s="687"/>
    </row>
    <row r="49" spans="1:29" ht="14.5" thickBot="1">
      <c r="A49" s="439" t="s">
        <v>2159</v>
      </c>
      <c r="B49" s="440"/>
      <c r="C49" s="1265" t="e">
        <f>R49</f>
        <v>#DIV/0!</v>
      </c>
      <c r="D49" s="1266"/>
      <c r="E49" s="1266"/>
      <c r="F49" s="1266"/>
      <c r="G49" s="1266"/>
      <c r="H49" s="1266"/>
      <c r="I49" s="1266"/>
      <c r="J49" s="1266"/>
      <c r="K49" s="2039"/>
      <c r="L49" s="2885"/>
      <c r="M49" s="2886"/>
      <c r="N49" s="2886"/>
      <c r="O49" s="2886"/>
      <c r="P49" s="3520" t="str">
        <f>A49</f>
        <v>估价对象XX用房的比较价值（楼面单价，元/平方米）</v>
      </c>
      <c r="Q49" s="3521"/>
      <c r="R49" s="3554" t="e">
        <f>IF(F1="售价",ROUND(IF(D48="简单平均",AVERAGE(R48:V48),R48*F48+T48*H48+V48*J48),0),ROUND(IF(D48="简单平均",AVERAGE(R48:V48),R48*F48+T48*H48+V48*J48),1))</f>
        <v>#DIV/0!</v>
      </c>
      <c r="S49" s="3554"/>
      <c r="T49" s="3554"/>
      <c r="U49" s="3554"/>
      <c r="V49" s="3554"/>
      <c r="W49" s="3554"/>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4" t="s">
        <v>2160</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row>
    <row r="53" spans="1:29" ht="13.5" customHeight="1">
      <c r="A53" s="2886"/>
      <c r="B53" s="2886"/>
      <c r="C53" s="444" t="s">
        <v>2161</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row>
    <row r="54" spans="1:29" s="449" customFormat="1" ht="13.5" customHeight="1">
      <c r="A54" s="2889"/>
      <c r="B54" s="2889"/>
      <c r="C54" s="444" t="s">
        <v>2162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041"/>
    </row>
    <row r="55" spans="1:29" s="449" customFormat="1">
      <c r="A55" s="2889"/>
      <c r="B55" s="2892"/>
      <c r="C55" s="2893"/>
      <c r="D55" s="2889"/>
      <c r="E55" s="2889"/>
      <c r="F55" s="2889"/>
      <c r="G55" s="2889"/>
      <c r="H55" s="2889"/>
      <c r="I55" s="2889"/>
      <c r="J55" s="2889"/>
      <c r="K55" s="2894"/>
      <c r="L55" s="2888"/>
      <c r="M55" s="2889"/>
      <c r="N55" s="2889"/>
      <c r="O55" s="2889"/>
      <c r="P55" s="2041"/>
    </row>
    <row r="56" spans="1:29">
      <c r="A56" s="2886"/>
      <c r="B56" s="2892"/>
      <c r="C56" s="2893"/>
      <c r="D56" s="2886"/>
      <c r="E56" s="2886"/>
      <c r="F56" s="2886"/>
      <c r="G56" s="2886"/>
      <c r="H56" s="2886"/>
      <c r="I56" s="2886"/>
      <c r="J56" s="2886"/>
      <c r="K56" s="2891"/>
      <c r="L56" s="2887"/>
      <c r="M56" s="2886"/>
      <c r="N56" s="2886"/>
      <c r="O56" s="2886"/>
    </row>
    <row r="57" spans="1:29" ht="21.5" thickBot="1">
      <c r="A57" s="691" t="s">
        <v>2163</v>
      </c>
      <c r="B57" s="687"/>
      <c r="C57" s="692"/>
      <c r="D57" s="692"/>
      <c r="E57" s="692"/>
      <c r="F57" s="693"/>
      <c r="G57" s="693"/>
      <c r="H57" s="692"/>
      <c r="I57" s="692"/>
      <c r="J57" s="692"/>
      <c r="K57" s="1041"/>
      <c r="L57" s="1042"/>
      <c r="M57" s="1040"/>
      <c r="N57" s="1040"/>
      <c r="O57" s="1040"/>
      <c r="P57" s="2042"/>
      <c r="Q57" s="451"/>
    </row>
    <row r="58" spans="1:29" s="455" customFormat="1">
      <c r="A58" s="452" t="s">
        <v>2164</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c r="A59" s="456"/>
      <c r="B59" s="2043"/>
      <c r="C59" s="1285">
        <v>100</v>
      </c>
      <c r="D59" s="458"/>
      <c r="E59" s="459"/>
      <c r="F59" s="459"/>
      <c r="G59" s="459"/>
      <c r="H59" s="459"/>
      <c r="I59" s="459"/>
      <c r="J59" s="459"/>
      <c r="K59" s="459"/>
      <c r="L59" s="459"/>
      <c r="M59" s="460"/>
      <c r="N59" s="459"/>
      <c r="O59" s="460"/>
      <c r="P59" s="2044"/>
    </row>
    <row r="60" spans="1:29" s="110" customFormat="1" ht="14.5" thickBot="1">
      <c r="A60" s="462" t="s">
        <v>2165</v>
      </c>
      <c r="B60" s="463"/>
      <c r="C60" s="464"/>
      <c r="D60" s="465"/>
      <c r="E60" s="465"/>
      <c r="F60" s="465"/>
      <c r="G60" s="465"/>
      <c r="H60" s="465"/>
      <c r="I60" s="465"/>
      <c r="J60" s="465"/>
      <c r="K60" s="465"/>
      <c r="L60" s="465"/>
      <c r="M60" s="466"/>
      <c r="N60" s="465"/>
      <c r="O60" s="466"/>
      <c r="P60" s="2044"/>
      <c r="Q60" s="451"/>
    </row>
    <row r="61" spans="1:29" s="110" customFormat="1">
      <c r="A61" s="468" t="s">
        <v>2166</v>
      </c>
      <c r="B61" s="457"/>
      <c r="C61" s="469" t="s">
        <v>2167</v>
      </c>
      <c r="D61" s="470"/>
      <c r="E61" s="470"/>
      <c r="F61" s="470"/>
      <c r="G61" s="470"/>
      <c r="H61" s="470"/>
      <c r="I61" s="470"/>
      <c r="J61" s="470"/>
      <c r="K61" s="470"/>
      <c r="L61" s="471"/>
      <c r="M61" s="472"/>
      <c r="N61" s="1032"/>
      <c r="O61" s="1032"/>
      <c r="P61" s="2045"/>
      <c r="Q61" s="451"/>
    </row>
    <row r="62" spans="1:29" s="110" customFormat="1" ht="14.5" thickBot="1">
      <c r="A62" s="468"/>
      <c r="B62" s="457"/>
      <c r="C62" s="458">
        <v>100</v>
      </c>
      <c r="D62" s="459"/>
      <c r="E62" s="459"/>
      <c r="F62" s="459"/>
      <c r="G62" s="459"/>
      <c r="H62" s="459"/>
      <c r="I62" s="459"/>
      <c r="J62" s="459"/>
      <c r="K62" s="459"/>
      <c r="L62" s="459"/>
      <c r="M62" s="461"/>
      <c r="N62" s="1032"/>
      <c r="O62" s="1032"/>
      <c r="P62" s="2044"/>
      <c r="Q62" s="451"/>
    </row>
    <row r="63" spans="1:29">
      <c r="A63" s="474" t="s">
        <v>2168</v>
      </c>
      <c r="B63" s="475" t="s">
        <v>2134</v>
      </c>
      <c r="C63" s="476">
        <f>C9</f>
        <v>0</v>
      </c>
      <c r="D63" s="477"/>
      <c r="E63" s="477"/>
      <c r="F63" s="477"/>
      <c r="G63" s="477"/>
      <c r="H63" s="477"/>
      <c r="I63" s="477"/>
      <c r="J63" s="477"/>
      <c r="K63" s="478"/>
      <c r="L63" s="479"/>
      <c r="M63" s="480"/>
      <c r="N63" s="1033"/>
      <c r="O63" s="1033"/>
      <c r="P63" s="2046"/>
      <c r="Q63" s="451"/>
    </row>
    <row r="64" spans="1:29" ht="14.5" thickBot="1">
      <c r="A64" s="481"/>
      <c r="B64" s="482"/>
      <c r="C64" s="483">
        <v>100</v>
      </c>
      <c r="D64" s="483"/>
      <c r="E64" s="483"/>
      <c r="F64" s="483"/>
      <c r="G64" s="483"/>
      <c r="H64" s="483"/>
      <c r="I64" s="483"/>
      <c r="J64" s="483"/>
      <c r="K64" s="483"/>
      <c r="L64" s="483"/>
      <c r="M64" s="484"/>
      <c r="N64" s="1034"/>
      <c r="O64" s="1034"/>
      <c r="P64" s="2046"/>
      <c r="Q64" s="451"/>
    </row>
    <row r="65" spans="1:17" ht="28.5" thickTop="1">
      <c r="A65" s="481"/>
      <c r="B65" s="485" t="s">
        <v>2137</v>
      </c>
      <c r="C65" s="486" t="s">
        <v>2169</v>
      </c>
      <c r="D65" s="486" t="s">
        <v>2170</v>
      </c>
      <c r="E65" s="486" t="s">
        <v>2171</v>
      </c>
      <c r="F65" s="486" t="s">
        <v>2172</v>
      </c>
      <c r="G65" s="486" t="s">
        <v>2173</v>
      </c>
      <c r="H65" s="486" t="s">
        <v>2174</v>
      </c>
      <c r="I65" s="486" t="s">
        <v>2175</v>
      </c>
      <c r="J65" s="486"/>
      <c r="K65" s="487"/>
      <c r="L65" s="488"/>
      <c r="M65" s="489"/>
      <c r="N65" s="1033"/>
      <c r="O65" s="1033"/>
      <c r="P65" s="204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4.5" thickTop="1">
      <c r="A67" s="481"/>
      <c r="B67" s="493" t="s">
        <v>2138</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c r="A68" s="481"/>
      <c r="B68" s="495"/>
      <c r="C68" s="496"/>
      <c r="D68" s="496"/>
      <c r="E68" s="496"/>
      <c r="F68" s="496"/>
      <c r="G68" s="496"/>
      <c r="H68" s="496"/>
      <c r="I68" s="496"/>
      <c r="J68" s="496"/>
      <c r="K68" s="497"/>
      <c r="L68" s="498"/>
      <c r="M68" s="499"/>
      <c r="N68" s="1033"/>
      <c r="O68" s="1033"/>
      <c r="P68" s="204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4.5" thickTop="1">
      <c r="A70" s="500"/>
      <c r="B70" s="485">
        <f>B12</f>
        <v>111</v>
      </c>
      <c r="C70" s="501"/>
      <c r="D70" s="501"/>
      <c r="E70" s="501"/>
      <c r="F70" s="501"/>
      <c r="G70" s="501"/>
      <c r="H70" s="502"/>
      <c r="I70" s="502"/>
      <c r="J70" s="502"/>
      <c r="K70" s="502"/>
      <c r="L70" s="503"/>
      <c r="M70" s="504"/>
      <c r="N70" s="1035"/>
      <c r="O70" s="1035"/>
      <c r="P70" s="2047"/>
      <c r="Q70" s="506"/>
    </row>
    <row r="71" spans="1:17" s="420" customFormat="1" ht="14.5" thickBot="1">
      <c r="A71" s="500"/>
      <c r="B71" s="490"/>
      <c r="C71" s="507"/>
      <c r="D71" s="483"/>
      <c r="E71" s="483"/>
      <c r="F71" s="483"/>
      <c r="G71" s="483"/>
      <c r="H71" s="483"/>
      <c r="I71" s="483"/>
      <c r="J71" s="483"/>
      <c r="K71" s="483"/>
      <c r="L71" s="483"/>
      <c r="M71" s="484"/>
      <c r="N71" s="1034"/>
      <c r="O71" s="1034"/>
      <c r="P71" s="2047"/>
      <c r="Q71" s="506"/>
    </row>
    <row r="72" spans="1:17" s="420" customFormat="1" ht="14.5" thickTop="1">
      <c r="A72" s="500"/>
      <c r="B72" s="485">
        <f>B13</f>
        <v>111</v>
      </c>
      <c r="C72" s="501"/>
      <c r="D72" s="501"/>
      <c r="E72" s="501"/>
      <c r="F72" s="501"/>
      <c r="G72" s="501"/>
      <c r="H72" s="502"/>
      <c r="I72" s="502"/>
      <c r="J72" s="502"/>
      <c r="K72" s="502"/>
      <c r="L72" s="503"/>
      <c r="M72" s="504"/>
      <c r="N72" s="1035"/>
      <c r="O72" s="1035"/>
      <c r="P72" s="2048"/>
      <c r="Q72" s="508"/>
    </row>
    <row r="73" spans="1:17" s="420" customFormat="1" ht="14.5" thickBot="1">
      <c r="A73" s="500"/>
      <c r="B73" s="490"/>
      <c r="C73" s="507"/>
      <c r="D73" s="507"/>
      <c r="E73" s="507"/>
      <c r="F73" s="507"/>
      <c r="G73" s="507"/>
      <c r="H73" s="509"/>
      <c r="I73" s="509"/>
      <c r="J73" s="509"/>
      <c r="K73" s="509"/>
      <c r="L73" s="509"/>
      <c r="M73" s="510"/>
      <c r="N73" s="1035"/>
      <c r="O73" s="1035"/>
      <c r="P73" s="2047"/>
      <c r="Q73" s="506"/>
    </row>
    <row r="74" spans="1:17" s="420" customFormat="1" ht="14.5" thickTop="1">
      <c r="A74" s="500"/>
      <c r="B74" s="493">
        <f>B14</f>
        <v>111</v>
      </c>
      <c r="C74" s="501"/>
      <c r="D74" s="501"/>
      <c r="E74" s="501"/>
      <c r="F74" s="501"/>
      <c r="G74" s="470"/>
      <c r="H74" s="511"/>
      <c r="I74" s="511"/>
      <c r="J74" s="511"/>
      <c r="K74" s="511"/>
      <c r="L74" s="512"/>
      <c r="M74" s="513"/>
      <c r="N74" s="1035"/>
      <c r="O74" s="1035"/>
      <c r="P74" s="2049"/>
      <c r="Q74" s="506"/>
    </row>
    <row r="75" spans="1:17" s="420" customFormat="1" ht="14.5" thickBot="1">
      <c r="A75" s="515"/>
      <c r="B75" s="516"/>
      <c r="C75" s="517"/>
      <c r="D75" s="517"/>
      <c r="E75" s="517"/>
      <c r="F75" s="517"/>
      <c r="G75" s="517"/>
      <c r="H75" s="518"/>
      <c r="I75" s="518"/>
      <c r="J75" s="518"/>
      <c r="K75" s="518"/>
      <c r="L75" s="518"/>
      <c r="M75" s="519"/>
      <c r="N75" s="1035"/>
      <c r="O75" s="1035"/>
      <c r="P75" s="2047"/>
      <c r="Q75" s="506"/>
    </row>
    <row r="76" spans="1:17">
      <c r="A76" s="474" t="s">
        <v>2139</v>
      </c>
      <c r="B76" s="475" t="s">
        <v>2176</v>
      </c>
      <c r="C76" s="520" t="s">
        <v>2177</v>
      </c>
      <c r="D76" s="520" t="s">
        <v>2178</v>
      </c>
      <c r="E76" s="520" t="s">
        <v>2179</v>
      </c>
      <c r="F76" s="520" t="s">
        <v>2180</v>
      </c>
      <c r="G76" s="520" t="s">
        <v>2181</v>
      </c>
      <c r="H76" s="476"/>
      <c r="I76" s="476"/>
      <c r="J76" s="476"/>
      <c r="K76" s="521"/>
      <c r="L76" s="522"/>
      <c r="M76" s="523"/>
      <c r="N76" s="1033"/>
      <c r="O76" s="1033"/>
      <c r="P76" s="205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4.5" thickTop="1">
      <c r="A78" s="481"/>
      <c r="B78" s="485" t="s">
        <v>2182</v>
      </c>
      <c r="C78" s="525" t="s">
        <v>2177</v>
      </c>
      <c r="D78" s="525" t="s">
        <v>2178</v>
      </c>
      <c r="E78" s="525" t="s">
        <v>2179</v>
      </c>
      <c r="F78" s="525" t="s">
        <v>2180</v>
      </c>
      <c r="G78" s="525" t="s">
        <v>2181</v>
      </c>
      <c r="H78" s="486"/>
      <c r="I78" s="486"/>
      <c r="J78" s="486"/>
      <c r="K78" s="487"/>
      <c r="L78" s="488"/>
      <c r="M78" s="489"/>
      <c r="N78" s="1033"/>
      <c r="O78" s="1033"/>
      <c r="P78" s="204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4.5" thickTop="1">
      <c r="A80" s="481"/>
      <c r="B80" s="485" t="s">
        <v>2183</v>
      </c>
      <c r="C80" s="525" t="s">
        <v>2177</v>
      </c>
      <c r="D80" s="525" t="s">
        <v>2178</v>
      </c>
      <c r="E80" s="525" t="s">
        <v>2179</v>
      </c>
      <c r="F80" s="525" t="s">
        <v>2180</v>
      </c>
      <c r="G80" s="525" t="s">
        <v>2181</v>
      </c>
      <c r="H80" s="486"/>
      <c r="I80" s="486"/>
      <c r="J80" s="486"/>
      <c r="K80" s="487"/>
      <c r="L80" s="488"/>
      <c r="M80" s="489"/>
      <c r="N80" s="1033"/>
      <c r="O80" s="1033"/>
      <c r="P80" s="204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4.5" thickTop="1">
      <c r="A82" s="481"/>
      <c r="B82" s="493" t="s">
        <v>1705</v>
      </c>
      <c r="C82" s="486" t="s">
        <v>2184</v>
      </c>
      <c r="D82" s="486" t="s">
        <v>2185</v>
      </c>
      <c r="E82" s="486" t="s">
        <v>2186</v>
      </c>
      <c r="F82" s="486" t="s">
        <v>2187</v>
      </c>
      <c r="G82" s="486" t="s">
        <v>2188</v>
      </c>
      <c r="H82" s="486"/>
      <c r="I82" s="486"/>
      <c r="J82" s="486"/>
      <c r="K82" s="486"/>
      <c r="L82" s="486"/>
      <c r="M82" s="1232"/>
      <c r="N82" s="1034"/>
      <c r="O82" s="1034"/>
      <c r="P82" s="204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4.5" thickTop="1">
      <c r="A84" s="481"/>
      <c r="B84" s="485" t="s">
        <v>2189</v>
      </c>
      <c r="C84" s="525" t="s">
        <v>2177</v>
      </c>
      <c r="D84" s="525" t="s">
        <v>2178</v>
      </c>
      <c r="E84" s="525" t="s">
        <v>2179</v>
      </c>
      <c r="F84" s="525" t="s">
        <v>2180</v>
      </c>
      <c r="G84" s="525" t="s">
        <v>2181</v>
      </c>
      <c r="H84" s="486"/>
      <c r="I84" s="486"/>
      <c r="J84" s="486"/>
      <c r="K84" s="487"/>
      <c r="L84" s="488"/>
      <c r="M84" s="489"/>
      <c r="N84" s="1033"/>
      <c r="O84" s="1033"/>
      <c r="P84" s="204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 thickTop="1">
      <c r="A86" s="526"/>
      <c r="B86" s="485" t="s">
        <v>2190</v>
      </c>
      <c r="C86" s="501"/>
      <c r="D86" s="501"/>
      <c r="E86" s="501"/>
      <c r="F86" s="501"/>
      <c r="G86" s="501"/>
      <c r="H86" s="501"/>
      <c r="I86" s="501"/>
      <c r="J86" s="501"/>
      <c r="K86" s="501"/>
      <c r="L86" s="527"/>
      <c r="M86" s="528"/>
      <c r="N86" s="1032"/>
      <c r="O86" s="1032"/>
      <c r="P86" s="204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4.5" thickTop="1">
      <c r="A88" s="526"/>
      <c r="B88" s="485" t="s">
        <v>2191</v>
      </c>
      <c r="C88" s="501"/>
      <c r="D88" s="501"/>
      <c r="E88" s="501"/>
      <c r="F88" s="2051"/>
      <c r="G88" s="501"/>
      <c r="H88" s="501"/>
      <c r="I88" s="501"/>
      <c r="J88" s="501"/>
      <c r="K88" s="501"/>
      <c r="L88" s="501"/>
      <c r="M88" s="528"/>
      <c r="N88" s="1032"/>
      <c r="O88" s="1032"/>
      <c r="P88" s="204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4.5" thickTop="1">
      <c r="A90" s="500"/>
      <c r="B90" s="485">
        <f>B27</f>
        <v>111</v>
      </c>
      <c r="C90" s="501"/>
      <c r="D90" s="501"/>
      <c r="E90" s="501"/>
      <c r="F90" s="501"/>
      <c r="G90" s="501"/>
      <c r="H90" s="502"/>
      <c r="I90" s="502"/>
      <c r="J90" s="502"/>
      <c r="K90" s="502"/>
      <c r="L90" s="503"/>
      <c r="M90" s="504"/>
      <c r="N90" s="1035"/>
      <c r="O90" s="1035"/>
      <c r="P90" s="2047"/>
      <c r="Q90" s="506"/>
    </row>
    <row r="91" spans="1:17" s="420" customFormat="1" ht="14.5" thickBot="1">
      <c r="A91" s="500"/>
      <c r="B91" s="490"/>
      <c r="C91" s="507"/>
      <c r="D91" s="507"/>
      <c r="E91" s="507"/>
      <c r="F91" s="507"/>
      <c r="G91" s="507"/>
      <c r="H91" s="509"/>
      <c r="I91" s="509"/>
      <c r="J91" s="509"/>
      <c r="K91" s="509"/>
      <c r="L91" s="509"/>
      <c r="M91" s="510"/>
      <c r="N91" s="1035"/>
      <c r="O91" s="1035"/>
      <c r="P91" s="2047"/>
      <c r="Q91" s="506"/>
    </row>
    <row r="92" spans="1:17" ht="14.5" thickTop="1">
      <c r="A92" s="481"/>
      <c r="B92" s="485">
        <f>B28</f>
        <v>111</v>
      </c>
      <c r="C92" s="501"/>
      <c r="D92" s="501"/>
      <c r="E92" s="501"/>
      <c r="F92" s="501"/>
      <c r="G92" s="530"/>
      <c r="H92" s="530"/>
      <c r="I92" s="530"/>
      <c r="J92" s="530"/>
      <c r="K92" s="531"/>
      <c r="L92" s="532"/>
      <c r="M92" s="533"/>
      <c r="N92" s="1033"/>
      <c r="O92" s="1033"/>
      <c r="P92" s="2046"/>
      <c r="Q92" s="451"/>
    </row>
    <row r="93" spans="1:17" ht="14.5" thickBot="1">
      <c r="A93" s="481"/>
      <c r="B93" s="490"/>
      <c r="C93" s="507"/>
      <c r="D93" s="483"/>
      <c r="E93" s="483"/>
      <c r="F93" s="483"/>
      <c r="G93" s="483"/>
      <c r="H93" s="483"/>
      <c r="I93" s="483"/>
      <c r="J93" s="483"/>
      <c r="K93" s="483"/>
      <c r="L93" s="483"/>
      <c r="M93" s="484"/>
      <c r="N93" s="1034"/>
      <c r="O93" s="1034"/>
      <c r="P93" s="2046"/>
      <c r="Q93" s="451"/>
    </row>
    <row r="94" spans="1:17" ht="14.5" thickTop="1">
      <c r="A94" s="481"/>
      <c r="B94" s="485">
        <f>B29</f>
        <v>111</v>
      </c>
      <c r="C94" s="501"/>
      <c r="D94" s="501"/>
      <c r="E94" s="501"/>
      <c r="F94" s="501"/>
      <c r="G94" s="530"/>
      <c r="H94" s="530"/>
      <c r="I94" s="530"/>
      <c r="J94" s="530"/>
      <c r="K94" s="531"/>
      <c r="L94" s="532"/>
      <c r="M94" s="533"/>
      <c r="N94" s="1033"/>
      <c r="O94" s="1033"/>
      <c r="P94" s="2046"/>
      <c r="Q94" s="451"/>
    </row>
    <row r="95" spans="1:17" ht="14.5" thickBot="1">
      <c r="A95" s="481"/>
      <c r="B95" s="490"/>
      <c r="C95" s="507"/>
      <c r="D95" s="507"/>
      <c r="E95" s="507"/>
      <c r="F95" s="507"/>
      <c r="G95" s="483"/>
      <c r="H95" s="483"/>
      <c r="I95" s="483"/>
      <c r="J95" s="483"/>
      <c r="K95" s="483"/>
      <c r="L95" s="483"/>
      <c r="M95" s="484"/>
      <c r="N95" s="1034"/>
      <c r="O95" s="1034"/>
      <c r="P95" s="2046"/>
      <c r="Q95" s="451"/>
    </row>
    <row r="96" spans="1:17" ht="14.5" thickTop="1">
      <c r="A96" s="481"/>
      <c r="B96" s="485">
        <f>B30</f>
        <v>111</v>
      </c>
      <c r="C96" s="501"/>
      <c r="D96" s="501"/>
      <c r="E96" s="501"/>
      <c r="F96" s="501"/>
      <c r="G96" s="530"/>
      <c r="H96" s="530"/>
      <c r="I96" s="530"/>
      <c r="J96" s="530"/>
      <c r="K96" s="531"/>
      <c r="L96" s="532"/>
      <c r="M96" s="533"/>
      <c r="N96" s="1033"/>
      <c r="O96" s="1033"/>
      <c r="P96" s="2046"/>
      <c r="Q96" s="451"/>
    </row>
    <row r="97" spans="1:17" ht="14.5" thickBot="1">
      <c r="A97" s="481"/>
      <c r="B97" s="490"/>
      <c r="C97" s="517"/>
      <c r="D97" s="517"/>
      <c r="E97" s="517"/>
      <c r="F97" s="517"/>
      <c r="G97" s="483"/>
      <c r="H97" s="483"/>
      <c r="I97" s="483"/>
      <c r="J97" s="483"/>
      <c r="K97" s="483"/>
      <c r="L97" s="483"/>
      <c r="M97" s="484"/>
      <c r="N97" s="1034"/>
      <c r="O97" s="1034"/>
      <c r="P97" s="2046"/>
      <c r="Q97" s="451"/>
    </row>
    <row r="98" spans="1:17" ht="14.5" thickTop="1">
      <c r="A98" s="481"/>
      <c r="B98" s="493">
        <f>B31</f>
        <v>111</v>
      </c>
      <c r="C98" s="534"/>
      <c r="D98" s="534"/>
      <c r="E98" s="534"/>
      <c r="F98" s="534"/>
      <c r="G98" s="534"/>
      <c r="H98" s="534"/>
      <c r="I98" s="534"/>
      <c r="J98" s="534"/>
      <c r="K98" s="535"/>
      <c r="L98" s="536"/>
      <c r="M98" s="537"/>
      <c r="N98" s="1033"/>
      <c r="O98" s="1033"/>
      <c r="P98" s="2046"/>
      <c r="Q98" s="451"/>
    </row>
    <row r="99" spans="1:17" ht="14.5" thickBot="1">
      <c r="A99" s="2052"/>
      <c r="B99" s="516"/>
      <c r="C99" s="538"/>
      <c r="D99" s="538"/>
      <c r="E99" s="538"/>
      <c r="F99" s="538"/>
      <c r="G99" s="538"/>
      <c r="H99" s="538"/>
      <c r="I99" s="538"/>
      <c r="J99" s="538"/>
      <c r="K99" s="538"/>
      <c r="L99" s="538"/>
      <c r="M99" s="539"/>
      <c r="N99" s="1034"/>
      <c r="O99" s="1034"/>
      <c r="P99" s="2046"/>
      <c r="Q99" s="451"/>
    </row>
    <row r="100" spans="1:17">
      <c r="A100" s="474" t="s">
        <v>2143</v>
      </c>
      <c r="B100" s="475" t="s">
        <v>2192</v>
      </c>
      <c r="C100" s="477"/>
      <c r="D100" s="477"/>
      <c r="E100" s="477"/>
      <c r="F100" s="477"/>
      <c r="G100" s="477"/>
      <c r="H100" s="477"/>
      <c r="I100" s="477"/>
      <c r="J100" s="477"/>
      <c r="K100" s="478"/>
      <c r="L100" s="479"/>
      <c r="M100" s="480"/>
      <c r="N100" s="1033"/>
      <c r="O100" s="1033"/>
      <c r="P100" s="204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4.5" thickTop="1">
      <c r="A102" s="481"/>
      <c r="B102" s="485" t="s">
        <v>2193</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4.5" thickBot="1">
      <c r="A104" s="500"/>
      <c r="B104" s="490"/>
      <c r="C104" s="507"/>
      <c r="D104" s="483"/>
      <c r="E104" s="483"/>
      <c r="F104" s="483"/>
      <c r="G104" s="483"/>
      <c r="H104" s="483"/>
      <c r="I104" s="483"/>
      <c r="J104" s="483"/>
      <c r="K104" s="483"/>
      <c r="L104" s="483"/>
      <c r="M104" s="483"/>
      <c r="N104" s="1034"/>
      <c r="O104" s="1034"/>
      <c r="P104" s="2047"/>
      <c r="Q104" s="506"/>
    </row>
    <row r="105" spans="1:17" ht="14.5" thickTop="1">
      <c r="A105" s="546"/>
      <c r="B105" s="485" t="s">
        <v>2194</v>
      </c>
      <c r="C105" s="501"/>
      <c r="D105" s="501"/>
      <c r="E105" s="530"/>
      <c r="F105" s="530"/>
      <c r="G105" s="530"/>
      <c r="H105" s="530"/>
      <c r="I105" s="530"/>
      <c r="J105" s="530"/>
      <c r="K105" s="531"/>
      <c r="L105" s="532"/>
      <c r="M105" s="533"/>
      <c r="N105" s="1033"/>
      <c r="O105" s="1033"/>
      <c r="P105" s="204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4.5" thickTop="1">
      <c r="A107" s="546"/>
      <c r="B107" s="485" t="s">
        <v>2195</v>
      </c>
      <c r="C107" s="530"/>
      <c r="D107" s="530"/>
      <c r="E107" s="530"/>
      <c r="F107" s="530"/>
      <c r="G107" s="530"/>
      <c r="H107" s="530"/>
      <c r="I107" s="530"/>
      <c r="J107" s="530"/>
      <c r="K107" s="531"/>
      <c r="L107" s="532"/>
      <c r="M107" s="533"/>
      <c r="N107" s="1033"/>
      <c r="O107" s="1033"/>
      <c r="P107" s="204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4.5" thickTop="1">
      <c r="A109" s="546"/>
      <c r="B109" s="485" t="s">
        <v>2196</v>
      </c>
      <c r="C109" s="501"/>
      <c r="D109" s="501"/>
      <c r="E109" s="501"/>
      <c r="F109" s="530"/>
      <c r="G109" s="530"/>
      <c r="H109" s="530"/>
      <c r="I109" s="530"/>
      <c r="J109" s="530"/>
      <c r="K109" s="531"/>
      <c r="L109" s="532"/>
      <c r="M109" s="533"/>
      <c r="N109" s="1033"/>
      <c r="O109" s="1033"/>
      <c r="P109" s="204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4.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4.5" thickTop="1">
      <c r="A114" s="546"/>
      <c r="B114" s="485" t="s">
        <v>2197</v>
      </c>
      <c r="C114" s="501"/>
      <c r="D114" s="501"/>
      <c r="E114" s="530"/>
      <c r="F114" s="530"/>
      <c r="G114" s="530"/>
      <c r="H114" s="530"/>
      <c r="I114" s="530"/>
      <c r="J114" s="530"/>
      <c r="K114" s="531"/>
      <c r="L114" s="532"/>
      <c r="M114" s="533"/>
      <c r="N114" s="1033"/>
      <c r="O114" s="1033"/>
      <c r="P114" s="204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4.5" thickTop="1">
      <c r="A116" s="546"/>
      <c r="B116" s="485" t="s">
        <v>2198</v>
      </c>
      <c r="C116" s="501"/>
      <c r="D116" s="501"/>
      <c r="E116" s="501"/>
      <c r="F116" s="501"/>
      <c r="G116" s="501"/>
      <c r="H116" s="530"/>
      <c r="I116" s="530"/>
      <c r="J116" s="530"/>
      <c r="K116" s="531"/>
      <c r="L116" s="532"/>
      <c r="M116" s="533"/>
      <c r="N116" s="1033"/>
      <c r="O116" s="1033"/>
      <c r="P116" s="204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4.5" thickTop="1">
      <c r="A118" s="546"/>
      <c r="B118" s="485" t="s">
        <v>2199</v>
      </c>
      <c r="C118" s="530"/>
      <c r="D118" s="530"/>
      <c r="E118" s="530"/>
      <c r="F118" s="530"/>
      <c r="G118" s="530"/>
      <c r="H118" s="530"/>
      <c r="I118" s="530"/>
      <c r="J118" s="530"/>
      <c r="K118" s="531"/>
      <c r="L118" s="532"/>
      <c r="M118" s="533"/>
      <c r="N118" s="1033"/>
      <c r="O118" s="1033"/>
      <c r="P118" s="204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9" thickTop="1">
      <c r="A120" s="540"/>
      <c r="B120" s="485" t="s">
        <v>2154</v>
      </c>
      <c r="C120" s="501"/>
      <c r="D120" s="501"/>
      <c r="E120" s="501"/>
      <c r="F120" s="501"/>
      <c r="G120" s="501"/>
      <c r="H120" s="501"/>
      <c r="I120" s="501"/>
      <c r="J120" s="501"/>
      <c r="K120" s="501"/>
      <c r="L120" s="527"/>
      <c r="M120" s="528"/>
      <c r="N120" s="1035"/>
      <c r="O120" s="1035"/>
      <c r="P120" s="2047"/>
      <c r="Q120" s="506"/>
    </row>
    <row r="121" spans="1:17" s="420" customFormat="1" ht="14.5" thickBot="1">
      <c r="A121" s="500"/>
      <c r="B121" s="482"/>
      <c r="C121" s="507"/>
      <c r="D121" s="483"/>
      <c r="E121" s="483"/>
      <c r="F121" s="483"/>
      <c r="G121" s="483"/>
      <c r="H121" s="483"/>
      <c r="I121" s="483"/>
      <c r="J121" s="483"/>
      <c r="K121" s="483"/>
      <c r="L121" s="483"/>
      <c r="M121" s="483"/>
      <c r="N121" s="1035"/>
      <c r="O121" s="1035"/>
      <c r="P121" s="2047"/>
      <c r="Q121" s="506"/>
    </row>
    <row r="122" spans="1:17" ht="14.5" thickTop="1">
      <c r="A122" s="546"/>
      <c r="B122" s="485" t="s">
        <v>2200</v>
      </c>
      <c r="C122" s="501"/>
      <c r="D122" s="501"/>
      <c r="E122" s="501"/>
      <c r="F122" s="530"/>
      <c r="G122" s="530"/>
      <c r="H122" s="530"/>
      <c r="I122" s="530"/>
      <c r="J122" s="530"/>
      <c r="K122" s="531"/>
      <c r="L122" s="532"/>
      <c r="M122" s="533"/>
      <c r="N122" s="1033"/>
      <c r="O122" s="1033"/>
      <c r="P122" s="204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28.5" thickTop="1">
      <c r="A124" s="546"/>
      <c r="B124" s="485" t="s">
        <v>2201</v>
      </c>
      <c r="C124" s="525" t="s">
        <v>2177</v>
      </c>
      <c r="D124" s="525" t="s">
        <v>2178</v>
      </c>
      <c r="E124" s="525" t="s">
        <v>2179</v>
      </c>
      <c r="F124" s="525" t="s">
        <v>2180</v>
      </c>
      <c r="G124" s="525" t="s">
        <v>2181</v>
      </c>
      <c r="H124" s="486"/>
      <c r="I124" s="486"/>
      <c r="J124" s="486"/>
      <c r="K124" s="487"/>
      <c r="L124" s="488"/>
      <c r="M124" s="489"/>
      <c r="N124" s="1033"/>
      <c r="O124" s="1033"/>
      <c r="P124" s="204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4.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4.5" thickBot="1">
      <c r="A127" s="500"/>
      <c r="B127" s="490"/>
      <c r="C127" s="507"/>
      <c r="D127" s="483"/>
      <c r="E127" s="483"/>
      <c r="F127" s="483"/>
      <c r="G127" s="507"/>
      <c r="H127" s="509"/>
      <c r="I127" s="509"/>
      <c r="J127" s="509"/>
      <c r="K127" s="509"/>
      <c r="L127" s="509"/>
      <c r="M127" s="510"/>
      <c r="N127" s="1035"/>
      <c r="O127" s="1035"/>
      <c r="P127" s="2047"/>
      <c r="Q127" s="506"/>
    </row>
    <row r="128" spans="1:17" ht="14.5" thickTop="1">
      <c r="A128" s="546"/>
      <c r="B128" s="485">
        <f>B45</f>
        <v>111</v>
      </c>
      <c r="C128" s="501"/>
      <c r="D128" s="501"/>
      <c r="E128" s="501"/>
      <c r="F128" s="501"/>
      <c r="G128" s="530"/>
      <c r="H128" s="530"/>
      <c r="I128" s="530"/>
      <c r="J128" s="530"/>
      <c r="K128" s="531"/>
      <c r="L128" s="532"/>
      <c r="M128" s="533"/>
      <c r="N128" s="1033"/>
      <c r="O128" s="1033"/>
      <c r="P128" s="2046"/>
      <c r="Q128" s="451"/>
    </row>
    <row r="129" spans="1:17" ht="14.5" thickBot="1">
      <c r="A129" s="481"/>
      <c r="B129" s="490"/>
      <c r="C129" s="507"/>
      <c r="D129" s="507"/>
      <c r="E129" s="507"/>
      <c r="F129" s="507"/>
      <c r="G129" s="483"/>
      <c r="H129" s="483"/>
      <c r="I129" s="483"/>
      <c r="J129" s="483"/>
      <c r="K129" s="483"/>
      <c r="L129" s="483"/>
      <c r="M129" s="484"/>
      <c r="N129" s="1034"/>
      <c r="O129" s="1034"/>
      <c r="P129" s="2046"/>
      <c r="Q129" s="451"/>
    </row>
    <row r="130" spans="1:17" ht="14.5" thickTop="1">
      <c r="A130" s="546"/>
      <c r="B130" s="493">
        <f>B46</f>
        <v>111</v>
      </c>
      <c r="C130" s="501"/>
      <c r="D130" s="501"/>
      <c r="E130" s="501"/>
      <c r="F130" s="501"/>
      <c r="G130" s="534"/>
      <c r="H130" s="534"/>
      <c r="I130" s="534"/>
      <c r="J130" s="534"/>
      <c r="K130" s="470"/>
      <c r="L130" s="471"/>
      <c r="M130" s="537"/>
      <c r="N130" s="1033"/>
      <c r="O130" s="1033"/>
      <c r="P130" s="2046"/>
      <c r="Q130" s="451"/>
    </row>
    <row r="131" spans="1:17" ht="14.5" thickBot="1">
      <c r="A131" s="2052"/>
      <c r="B131" s="516"/>
      <c r="C131" s="517"/>
      <c r="D131" s="517"/>
      <c r="E131" s="517"/>
      <c r="F131" s="517"/>
      <c r="G131" s="538"/>
      <c r="H131" s="538"/>
      <c r="I131" s="538"/>
      <c r="J131" s="538"/>
      <c r="K131" s="538"/>
      <c r="L131" s="538"/>
      <c r="M131" s="539"/>
      <c r="N131" s="1034"/>
      <c r="O131" s="1034"/>
      <c r="P131" s="2046"/>
      <c r="Q131" s="451"/>
    </row>
    <row r="136" spans="1:17" ht="14.5" thickBot="1">
      <c r="B136" s="2053" t="s">
        <v>2202</v>
      </c>
    </row>
    <row r="137" spans="1:17" ht="15.5">
      <c r="B137" s="2054" t="s">
        <v>2203</v>
      </c>
      <c r="C137" s="2055"/>
      <c r="D137" s="2055"/>
      <c r="E137" s="2055"/>
      <c r="F137" s="2055"/>
      <c r="G137" s="2056"/>
      <c r="H137" s="2057"/>
      <c r="I137" s="2058" t="s">
        <v>2204</v>
      </c>
      <c r="J137" s="2055"/>
      <c r="K137" s="2059"/>
    </row>
    <row r="138" spans="1:17" ht="15.5">
      <c r="B138" s="2060"/>
      <c r="C138" s="132" t="s">
        <v>2205</v>
      </c>
      <c r="D138" s="132" t="s">
        <v>2206</v>
      </c>
      <c r="E138" s="2061" t="s">
        <v>2207</v>
      </c>
      <c r="F138" s="2062" t="s">
        <v>2208</v>
      </c>
      <c r="G138" s="132" t="s">
        <v>2206</v>
      </c>
      <c r="H138" s="133" t="s">
        <v>2207</v>
      </c>
      <c r="I138" s="2063"/>
      <c r="J138" s="132" t="s">
        <v>2209</v>
      </c>
      <c r="K138" s="133" t="s">
        <v>2210</v>
      </c>
    </row>
    <row r="139" spans="1:17" ht="15.5">
      <c r="B139" s="967">
        <v>6</v>
      </c>
      <c r="C139" s="968">
        <v>96</v>
      </c>
      <c r="D139" s="2064" t="s">
        <v>2211</v>
      </c>
      <c r="E139" s="969">
        <v>100</v>
      </c>
      <c r="F139" s="970">
        <v>102.5</v>
      </c>
      <c r="G139" s="2064" t="s">
        <v>2211</v>
      </c>
      <c r="H139" s="971">
        <v>105</v>
      </c>
      <c r="I139" s="2065" t="s">
        <v>2212</v>
      </c>
      <c r="J139" s="968">
        <v>20</v>
      </c>
      <c r="K139" s="972">
        <f>C145/(J139-2)</f>
        <v>4.0555555555555553E-3</v>
      </c>
    </row>
    <row r="140" spans="1:17" ht="15.5">
      <c r="B140" s="973">
        <v>5</v>
      </c>
      <c r="C140" s="974">
        <v>100</v>
      </c>
      <c r="D140" s="974"/>
      <c r="E140" s="975"/>
      <c r="F140" s="976">
        <v>102</v>
      </c>
      <c r="G140" s="974"/>
      <c r="H140" s="977"/>
      <c r="I140" s="2066" t="s">
        <v>2213</v>
      </c>
      <c r="J140" s="267">
        <f>ROUNDUP((J139-1)/2,0)</f>
        <v>10</v>
      </c>
      <c r="K140" s="978">
        <v>100</v>
      </c>
    </row>
    <row r="141" spans="1:17" ht="15.5">
      <c r="B141" s="973">
        <v>4</v>
      </c>
      <c r="C141" s="974">
        <v>102</v>
      </c>
      <c r="D141" s="974"/>
      <c r="E141" s="975"/>
      <c r="F141" s="976">
        <v>101.5</v>
      </c>
      <c r="G141" s="974"/>
      <c r="H141" s="977"/>
      <c r="I141" s="2066" t="s">
        <v>2214</v>
      </c>
      <c r="J141" s="267">
        <v>1</v>
      </c>
      <c r="K141" s="979">
        <f>ROUND(100+(J141-J140)*K139*100,1)</f>
        <v>96.4</v>
      </c>
    </row>
    <row r="142" spans="1:17" ht="15.5">
      <c r="B142" s="973">
        <v>3</v>
      </c>
      <c r="C142" s="974">
        <v>103</v>
      </c>
      <c r="D142" s="974"/>
      <c r="E142" s="975"/>
      <c r="F142" s="976">
        <v>101</v>
      </c>
      <c r="G142" s="974"/>
      <c r="H142" s="977"/>
      <c r="I142" s="2066" t="s">
        <v>2215</v>
      </c>
      <c r="J142" s="267">
        <f>J139</f>
        <v>20</v>
      </c>
      <c r="K142" s="980">
        <v>95</v>
      </c>
    </row>
    <row r="143" spans="1:17" ht="15.5">
      <c r="B143" s="973">
        <v>2</v>
      </c>
      <c r="C143" s="974">
        <v>100</v>
      </c>
      <c r="D143" s="974"/>
      <c r="E143" s="975"/>
      <c r="F143" s="976">
        <v>100.5</v>
      </c>
      <c r="G143" s="974"/>
      <c r="H143" s="977"/>
      <c r="I143" s="2066" t="s">
        <v>2216</v>
      </c>
      <c r="J143" s="974">
        <v>15</v>
      </c>
      <c r="K143" s="979">
        <f>ROUND(100+(J143-J140)*K139*100,1)</f>
        <v>102</v>
      </c>
    </row>
    <row r="144" spans="1:17" ht="15.5">
      <c r="B144" s="973">
        <v>1</v>
      </c>
      <c r="C144" s="974">
        <v>98</v>
      </c>
      <c r="D144" s="2067" t="s">
        <v>2217</v>
      </c>
      <c r="E144" s="975">
        <v>102</v>
      </c>
      <c r="F144" s="981">
        <v>100</v>
      </c>
      <c r="G144" s="2067" t="s">
        <v>2217</v>
      </c>
      <c r="H144" s="977">
        <v>105</v>
      </c>
      <c r="I144" s="2066" t="s">
        <v>2216</v>
      </c>
      <c r="J144" s="974">
        <v>18</v>
      </c>
      <c r="K144" s="979">
        <f>ROUND(100+(J144-J140)*K139*100,1)</f>
        <v>103.2</v>
      </c>
    </row>
    <row r="145" spans="2:11" ht="16" thickBot="1">
      <c r="B145" s="2068" t="s">
        <v>2218</v>
      </c>
      <c r="C145" s="982">
        <f>ROUND(MAX(C139:C144)/MIN(C139:C144)-1,3)</f>
        <v>7.2999999999999995E-2</v>
      </c>
      <c r="D145" s="983"/>
      <c r="E145" s="983"/>
      <c r="F145" s="2069" t="s">
        <v>2219</v>
      </c>
      <c r="G145" s="2070"/>
      <c r="H145" s="2071"/>
      <c r="I145" s="2072" t="s">
        <v>2216</v>
      </c>
      <c r="J145" s="984">
        <v>8</v>
      </c>
      <c r="K145" s="985">
        <f>ROUND(100+(J145-J140)*K139*100,1)</f>
        <v>99.2</v>
      </c>
    </row>
    <row r="147" spans="2:11">
      <c r="B147" s="2053" t="s">
        <v>2220</v>
      </c>
    </row>
    <row r="148" spans="2:11">
      <c r="B148" s="205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4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2108</v>
      </c>
      <c r="B1" s="2002" t="s">
        <v>2222</v>
      </c>
      <c r="C1" s="1346" t="s">
        <v>2110</v>
      </c>
      <c r="D1" s="1333"/>
      <c r="E1" s="2481"/>
      <c r="F1" s="2003"/>
      <c r="G1" s="1343" t="s">
        <v>2223</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1907</v>
      </c>
      <c r="B2" s="1267" t="e">
        <f ca="1">IF(C2="——",ROUND(C49*D3/10000,0),ROUND(C49*D3/10000,0)-D2)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2076"/>
      <c r="Q2" s="1012"/>
      <c r="R2" s="1012"/>
      <c r="S2" s="1012"/>
      <c r="T2" s="1012"/>
      <c r="U2" s="1012"/>
      <c r="V2" s="1012"/>
      <c r="W2" s="1012"/>
      <c r="X2" s="1012"/>
      <c r="Y2" s="1012"/>
      <c r="Z2" s="1012"/>
      <c r="AA2" s="1012"/>
      <c r="AB2" s="1012"/>
      <c r="AC2" s="2077"/>
    </row>
    <row r="3" spans="1:29" s="348" customFormat="1" ht="28.5" customHeight="1" thickBot="1">
      <c r="A3" s="199" t="s">
        <v>1909</v>
      </c>
      <c r="B3" s="556" t="e">
        <f ca="1">IF(C2="——",C49,ROUND(B2*10000/D3,0))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2076"/>
      <c r="Q3" s="1012"/>
      <c r="R3" s="1012"/>
      <c r="S3" s="1012"/>
      <c r="T3" s="1012"/>
      <c r="U3" s="1012"/>
      <c r="V3" s="1012"/>
      <c r="W3" s="1012"/>
      <c r="X3" s="1012"/>
      <c r="Y3" s="1012"/>
      <c r="Z3" s="1012"/>
      <c r="AA3" s="1012"/>
      <c r="AB3" s="1012"/>
      <c r="AC3" s="2078"/>
    </row>
    <row r="4" spans="1:29">
      <c r="A4" s="351" t="s">
        <v>2225</v>
      </c>
      <c r="B4" s="352"/>
      <c r="C4" s="3501" t="s">
        <v>2226</v>
      </c>
      <c r="D4" s="3502"/>
      <c r="E4" s="3503" t="s">
        <v>2227</v>
      </c>
      <c r="F4" s="3504"/>
      <c r="G4" s="3501" t="s">
        <v>2228</v>
      </c>
      <c r="H4" s="3502"/>
      <c r="I4" s="3501" t="s">
        <v>2229</v>
      </c>
      <c r="J4" s="3502"/>
      <c r="K4" s="557" t="s">
        <v>2230</v>
      </c>
      <c r="L4" s="2876"/>
      <c r="M4" s="2877"/>
      <c r="N4" s="2877"/>
      <c r="O4" s="2877"/>
      <c r="P4" s="3505" t="s">
        <v>2231</v>
      </c>
      <c r="Q4" s="3506"/>
      <c r="R4" s="3488" t="s">
        <v>2227</v>
      </c>
      <c r="S4" s="3489"/>
      <c r="T4" s="3488" t="s">
        <v>2228</v>
      </c>
      <c r="U4" s="3489"/>
      <c r="V4" s="3513" t="s">
        <v>2229</v>
      </c>
      <c r="W4" s="3513"/>
      <c r="X4" s="1477"/>
      <c r="Y4" s="3488" t="s">
        <v>2231</v>
      </c>
      <c r="Z4" s="3489"/>
      <c r="AA4" s="3483" t="s">
        <v>2227</v>
      </c>
      <c r="AB4" s="3513" t="s">
        <v>2228</v>
      </c>
      <c r="AC4" s="3483" t="s">
        <v>2229</v>
      </c>
    </row>
    <row r="5" spans="1:29">
      <c r="A5" s="354"/>
      <c r="B5" s="355"/>
      <c r="C5" s="3494" t="s">
        <v>2122</v>
      </c>
      <c r="D5" s="3495"/>
      <c r="E5" s="3492" t="s">
        <v>2123</v>
      </c>
      <c r="F5" s="3493"/>
      <c r="G5" s="3494" t="s">
        <v>2124</v>
      </c>
      <c r="H5" s="3495"/>
      <c r="I5" s="3494" t="s">
        <v>2125</v>
      </c>
      <c r="J5" s="3495"/>
      <c r="K5" s="557"/>
      <c r="L5" s="2876"/>
      <c r="M5" s="2877"/>
      <c r="N5" s="2877"/>
      <c r="O5" s="2877"/>
      <c r="P5" s="3507"/>
      <c r="Q5" s="3508"/>
      <c r="R5" s="3490"/>
      <c r="S5" s="3491"/>
      <c r="T5" s="3490"/>
      <c r="U5" s="3491"/>
      <c r="V5" s="3513"/>
      <c r="W5" s="3513"/>
      <c r="X5" s="1477"/>
      <c r="Y5" s="3490"/>
      <c r="Z5" s="3491"/>
      <c r="AA5" s="3484"/>
      <c r="AB5" s="3513"/>
      <c r="AC5" s="3484"/>
    </row>
    <row r="6" spans="1:29" ht="15" thickBot="1">
      <c r="A6" s="356"/>
      <c r="B6" s="357"/>
      <c r="C6" s="3496" t="s">
        <v>2126</v>
      </c>
      <c r="D6" s="3497"/>
      <c r="E6" s="3498" t="s">
        <v>2126</v>
      </c>
      <c r="F6" s="3499"/>
      <c r="G6" s="3496" t="s">
        <v>2126</v>
      </c>
      <c r="H6" s="3497"/>
      <c r="I6" s="3496" t="s">
        <v>2126</v>
      </c>
      <c r="J6" s="3497"/>
      <c r="K6" s="557" t="s">
        <v>2127</v>
      </c>
      <c r="L6" s="2876"/>
      <c r="M6" s="2877"/>
      <c r="N6" s="2877"/>
      <c r="O6" s="2877"/>
      <c r="P6" s="3509"/>
      <c r="Q6" s="3510"/>
      <c r="R6" s="3490"/>
      <c r="S6" s="3491"/>
      <c r="T6" s="3511"/>
      <c r="U6" s="3512"/>
      <c r="V6" s="3513"/>
      <c r="W6" s="3513"/>
      <c r="X6" s="1477"/>
      <c r="Y6" s="3511"/>
      <c r="Z6" s="3512"/>
      <c r="AA6" s="3485"/>
      <c r="AB6" s="3513"/>
      <c r="AC6" s="3485"/>
    </row>
    <row r="7" spans="1:29" s="110" customFormat="1" ht="14.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78"/>
      <c r="M7" s="2879"/>
      <c r="N7" s="2879"/>
      <c r="O7" s="2879"/>
      <c r="P7" s="3486" t="s">
        <v>2129</v>
      </c>
      <c r="Q7" s="3514"/>
      <c r="R7" s="698" t="s">
        <v>17</v>
      </c>
      <c r="S7" s="699">
        <f t="shared" ref="S7:S15" si="0">F7</f>
        <v>0</v>
      </c>
      <c r="T7" s="698" t="s">
        <v>17</v>
      </c>
      <c r="U7" s="699">
        <f t="shared" ref="U7:U15" si="1">H7</f>
        <v>0</v>
      </c>
      <c r="V7" s="698" t="s">
        <v>17</v>
      </c>
      <c r="W7" s="699">
        <f t="shared" ref="W7:W15" si="2">J7</f>
        <v>0</v>
      </c>
      <c r="X7" s="700"/>
      <c r="Y7" s="3486" t="s">
        <v>2129</v>
      </c>
      <c r="Z7" s="3487"/>
      <c r="AA7" s="701" t="e">
        <f>D7/F7</f>
        <v>#DIV/0!</v>
      </c>
      <c r="AB7" s="701" t="e">
        <f>D7/H7</f>
        <v>#DIV/0!</v>
      </c>
      <c r="AC7" s="701" t="e">
        <f>D7/J7</f>
        <v>#DIV/0!</v>
      </c>
    </row>
    <row r="8" spans="1:29" s="110" customFormat="1" ht="14.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558"/>
      <c r="L8" s="2878"/>
      <c r="M8" s="2879"/>
      <c r="N8" s="2879"/>
      <c r="O8" s="2879"/>
      <c r="P8" s="3486" t="s">
        <v>2132</v>
      </c>
      <c r="Q8" s="3487"/>
      <c r="R8" s="698" t="s">
        <v>17</v>
      </c>
      <c r="S8" s="699">
        <f t="shared" si="0"/>
        <v>0</v>
      </c>
      <c r="T8" s="698" t="s">
        <v>17</v>
      </c>
      <c r="U8" s="699">
        <f t="shared" si="1"/>
        <v>0</v>
      </c>
      <c r="V8" s="698" t="s">
        <v>17</v>
      </c>
      <c r="W8" s="699">
        <f t="shared" si="2"/>
        <v>0</v>
      </c>
      <c r="X8" s="700"/>
      <c r="Y8" s="3486" t="s">
        <v>2132</v>
      </c>
      <c r="Z8" s="3487"/>
      <c r="AA8" s="701" t="e">
        <f t="shared" ref="AA8:AA46" si="3">D8/F8</f>
        <v>#DIV/0!</v>
      </c>
      <c r="AB8" s="701" t="e">
        <f t="shared" ref="AB8:AB46" si="4">D8/H8</f>
        <v>#DIV/0!</v>
      </c>
      <c r="AC8" s="701" t="e">
        <f t="shared" ref="AC8:AC46" si="5">D8/J8</f>
        <v>#DIV/0!</v>
      </c>
    </row>
    <row r="9" spans="1:29" s="110" customFormat="1">
      <c r="A9" s="365" t="s">
        <v>2133</v>
      </c>
      <c r="B9" s="67" t="s">
        <v>2134</v>
      </c>
      <c r="C9" s="366"/>
      <c r="D9" s="121">
        <v>100</v>
      </c>
      <c r="E9" s="367"/>
      <c r="F9" s="368">
        <f>SUMIF(63:63,E9,64:64)-SUMIF(63:63,C9,64:64)+100</f>
        <v>100</v>
      </c>
      <c r="G9" s="367"/>
      <c r="H9" s="121">
        <f>SUMIF(63:63,G9,64:64)-SUMIF(63:63,C9,64:64)+100</f>
        <v>100</v>
      </c>
      <c r="I9" s="367"/>
      <c r="J9" s="121">
        <f>SUMIF(63:63,I9,64:64)-SUMIF(63:63,C9,64:64)+100</f>
        <v>100</v>
      </c>
      <c r="K9" s="558"/>
      <c r="L9" s="2878"/>
      <c r="M9" s="2879"/>
      <c r="N9" s="2879"/>
      <c r="O9" s="2879"/>
      <c r="P9" s="3524" t="s">
        <v>2135</v>
      </c>
      <c r="Q9" s="1465" t="str">
        <f t="shared" ref="Q9:Q15" si="6">B9</f>
        <v>用途</v>
      </c>
      <c r="R9" s="698" t="s">
        <v>17</v>
      </c>
      <c r="S9" s="699">
        <f t="shared" si="0"/>
        <v>100</v>
      </c>
      <c r="T9" s="698" t="s">
        <v>17</v>
      </c>
      <c r="U9" s="699">
        <f t="shared" si="1"/>
        <v>100</v>
      </c>
      <c r="V9" s="698" t="s">
        <v>17</v>
      </c>
      <c r="W9" s="699">
        <f t="shared" si="2"/>
        <v>100</v>
      </c>
      <c r="X9" s="700"/>
      <c r="Y9" s="3459"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559"/>
      <c r="L10" s="2880"/>
      <c r="M10" s="2881"/>
      <c r="N10" s="2881"/>
      <c r="O10" s="2881"/>
      <c r="P10" s="3524"/>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701">
        <f t="shared" si="5"/>
        <v>1</v>
      </c>
    </row>
    <row r="11" spans="1:29" ht="15.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82"/>
      <c r="M11" s="2877"/>
      <c r="N11" s="2877"/>
      <c r="O11" s="2877"/>
      <c r="P11" s="3524"/>
      <c r="Q11" s="1465" t="str">
        <f t="shared" si="6"/>
        <v>容积率</v>
      </c>
      <c r="R11" s="698" t="s">
        <v>17</v>
      </c>
      <c r="S11" s="699" t="e">
        <f t="shared" si="0"/>
        <v>#N/A</v>
      </c>
      <c r="T11" s="698" t="s">
        <v>17</v>
      </c>
      <c r="U11" s="699" t="e">
        <f t="shared" si="1"/>
        <v>#N/A</v>
      </c>
      <c r="V11" s="698" t="s">
        <v>17</v>
      </c>
      <c r="W11" s="699" t="e">
        <f t="shared" si="2"/>
        <v>#N/A</v>
      </c>
      <c r="X11" s="700"/>
      <c r="Y11" s="3459"/>
      <c r="Z11" s="55" t="str">
        <f t="shared" si="7"/>
        <v>容积率</v>
      </c>
      <c r="AA11" s="701" t="e">
        <f t="shared" si="3"/>
        <v>#N/A</v>
      </c>
      <c r="AB11" s="701" t="e">
        <f t="shared" si="4"/>
        <v>#N/A</v>
      </c>
      <c r="AC11" s="701" t="e">
        <f t="shared" si="5"/>
        <v>#N/A</v>
      </c>
    </row>
    <row r="12" spans="1:29" s="110" customFormat="1" ht="15.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78"/>
      <c r="M12" s="2879"/>
      <c r="N12" s="2879"/>
      <c r="O12" s="2879"/>
      <c r="P12" s="3524"/>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701">
        <f>D12/J12</f>
        <v>1</v>
      </c>
    </row>
    <row r="13" spans="1:29" ht="15.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83"/>
      <c r="M13" s="2877"/>
      <c r="N13" s="2877"/>
      <c r="O13" s="2877"/>
      <c r="P13" s="3524"/>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701">
        <f t="shared" si="5"/>
        <v>1</v>
      </c>
    </row>
    <row r="14" spans="1:29" ht="16"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83"/>
      <c r="M14" s="2877"/>
      <c r="N14" s="2877"/>
      <c r="O14" s="2877"/>
      <c r="P14" s="3524"/>
      <c r="Q14" s="1465">
        <f t="shared" si="6"/>
        <v>111</v>
      </c>
      <c r="R14" s="698" t="s">
        <v>17</v>
      </c>
      <c r="S14" s="699">
        <f t="shared" si="0"/>
        <v>100</v>
      </c>
      <c r="T14" s="698" t="s">
        <v>17</v>
      </c>
      <c r="U14" s="699">
        <f t="shared" si="1"/>
        <v>100</v>
      </c>
      <c r="V14" s="698" t="s">
        <v>17</v>
      </c>
      <c r="W14" s="699">
        <f t="shared" si="2"/>
        <v>100</v>
      </c>
      <c r="X14" s="700"/>
      <c r="Y14" s="3459"/>
      <c r="Z14" s="55">
        <f t="shared" si="7"/>
        <v>111</v>
      </c>
      <c r="AA14" s="701">
        <f t="shared" si="3"/>
        <v>1</v>
      </c>
      <c r="AB14" s="701">
        <f t="shared" si="4"/>
        <v>1</v>
      </c>
      <c r="AC14" s="701">
        <f t="shared" si="5"/>
        <v>1</v>
      </c>
    </row>
    <row r="15" spans="1:29" ht="98">
      <c r="A15" s="389" t="s">
        <v>2139</v>
      </c>
      <c r="B15" s="65" t="s">
        <v>2233</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83"/>
      <c r="M15" s="2877"/>
      <c r="N15" s="2877"/>
      <c r="O15" s="2877"/>
      <c r="P15" s="3560" t="s">
        <v>2140</v>
      </c>
      <c r="Q15" s="1474" t="str">
        <f t="shared" si="6"/>
        <v>商业繁华度</v>
      </c>
      <c r="R15" s="702" t="s">
        <v>17</v>
      </c>
      <c r="S15" s="703">
        <f t="shared" si="0"/>
        <v>100</v>
      </c>
      <c r="T15" s="702" t="s">
        <v>17</v>
      </c>
      <c r="U15" s="703">
        <f t="shared" si="1"/>
        <v>100</v>
      </c>
      <c r="V15" s="702" t="s">
        <v>17</v>
      </c>
      <c r="W15" s="703">
        <f t="shared" si="2"/>
        <v>100</v>
      </c>
      <c r="X15" s="1477"/>
      <c r="Y15" s="3515" t="s">
        <v>2140</v>
      </c>
      <c r="Z15" s="1478" t="str">
        <f t="shared" si="7"/>
        <v>商业繁华度</v>
      </c>
      <c r="AA15" s="1475">
        <f t="shared" si="3"/>
        <v>1</v>
      </c>
      <c r="AB15" s="1475">
        <f t="shared" si="4"/>
        <v>1</v>
      </c>
      <c r="AC15" s="1475">
        <f t="shared" si="5"/>
        <v>1</v>
      </c>
    </row>
    <row r="16" spans="1:29" ht="15.5">
      <c r="A16" s="377"/>
      <c r="B16" s="395"/>
      <c r="C16" s="396"/>
      <c r="D16" s="397"/>
      <c r="E16" s="396"/>
      <c r="F16" s="398"/>
      <c r="G16" s="396"/>
      <c r="H16" s="399"/>
      <c r="I16" s="396"/>
      <c r="J16" s="397"/>
      <c r="K16" s="562"/>
      <c r="L16" s="2883"/>
      <c r="M16" s="2877"/>
      <c r="N16" s="2877"/>
      <c r="O16" s="2877"/>
      <c r="P16" s="3561"/>
      <c r="Q16" s="1474"/>
      <c r="R16" s="702"/>
      <c r="S16" s="703"/>
      <c r="T16" s="702"/>
      <c r="U16" s="703"/>
      <c r="V16" s="702"/>
      <c r="W16" s="703"/>
      <c r="X16" s="1477"/>
      <c r="Y16" s="3516"/>
      <c r="Z16" s="1478"/>
      <c r="AA16" s="1475">
        <v>1</v>
      </c>
      <c r="AB16" s="1475">
        <v>1</v>
      </c>
      <c r="AC16" s="1475">
        <v>1</v>
      </c>
    </row>
    <row r="17" spans="1:29" ht="84">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83"/>
      <c r="M17" s="2877"/>
      <c r="N17" s="2877"/>
      <c r="O17" s="2877"/>
      <c r="P17" s="3561"/>
      <c r="Q17" s="1474" t="str">
        <f>B17</f>
        <v>交通便捷度</v>
      </c>
      <c r="R17" s="702" t="s">
        <v>17</v>
      </c>
      <c r="S17" s="703">
        <f>F17</f>
        <v>100</v>
      </c>
      <c r="T17" s="702" t="s">
        <v>17</v>
      </c>
      <c r="U17" s="703">
        <f>H17</f>
        <v>100</v>
      </c>
      <c r="V17" s="702" t="s">
        <v>17</v>
      </c>
      <c r="W17" s="703">
        <f>J17</f>
        <v>100</v>
      </c>
      <c r="X17" s="1477"/>
      <c r="Y17" s="3516"/>
      <c r="Z17" s="1478" t="str">
        <f>Q17</f>
        <v>交通便捷度</v>
      </c>
      <c r="AA17" s="1475">
        <f t="shared" si="3"/>
        <v>1</v>
      </c>
      <c r="AB17" s="1475">
        <f t="shared" si="4"/>
        <v>1</v>
      </c>
      <c r="AC17" s="1475">
        <f t="shared" si="5"/>
        <v>1</v>
      </c>
    </row>
    <row r="18" spans="1:29" ht="15.5">
      <c r="A18" s="377"/>
      <c r="B18" s="405"/>
      <c r="C18" s="2025"/>
      <c r="D18" s="399"/>
      <c r="E18" s="2027"/>
      <c r="F18" s="402"/>
      <c r="G18" s="2026"/>
      <c r="H18" s="397"/>
      <c r="I18" s="2027"/>
      <c r="J18" s="397"/>
      <c r="K18" s="562"/>
      <c r="L18" s="2883"/>
      <c r="M18" s="2877"/>
      <c r="N18" s="2877"/>
      <c r="O18" s="2877"/>
      <c r="P18" s="3561"/>
      <c r="Q18" s="1474"/>
      <c r="R18" s="702"/>
      <c r="S18" s="703"/>
      <c r="T18" s="702"/>
      <c r="U18" s="703"/>
      <c r="V18" s="702"/>
      <c r="W18" s="703"/>
      <c r="X18" s="1477"/>
      <c r="Y18" s="3516"/>
      <c r="Z18" s="1478"/>
      <c r="AA18" s="1475">
        <v>1</v>
      </c>
      <c r="AB18" s="1475">
        <v>1</v>
      </c>
      <c r="AC18" s="1475">
        <v>1</v>
      </c>
    </row>
    <row r="19" spans="1:29" ht="42">
      <c r="A19" s="377"/>
      <c r="B19" s="400" t="s">
        <v>2234</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83"/>
      <c r="M19" s="2877"/>
      <c r="N19" s="2877"/>
      <c r="O19" s="2877"/>
      <c r="P19" s="3561"/>
      <c r="Q19" s="1474" t="str">
        <f>B19</f>
        <v>公共配套设施</v>
      </c>
      <c r="R19" s="702" t="s">
        <v>17</v>
      </c>
      <c r="S19" s="703">
        <f>F19</f>
        <v>100</v>
      </c>
      <c r="T19" s="702" t="s">
        <v>17</v>
      </c>
      <c r="U19" s="703">
        <f>H19</f>
        <v>100</v>
      </c>
      <c r="V19" s="702" t="s">
        <v>17</v>
      </c>
      <c r="W19" s="703">
        <f>J19</f>
        <v>100</v>
      </c>
      <c r="X19" s="1477"/>
      <c r="Y19" s="3516"/>
      <c r="Z19" s="1478" t="str">
        <f>Q19</f>
        <v>公共配套设施</v>
      </c>
      <c r="AA19" s="1475">
        <f t="shared" si="3"/>
        <v>1</v>
      </c>
      <c r="AB19" s="1475">
        <f t="shared" si="4"/>
        <v>1</v>
      </c>
      <c r="AC19" s="1475">
        <f t="shared" si="5"/>
        <v>1</v>
      </c>
    </row>
    <row r="20" spans="1:29" ht="15.5">
      <c r="A20" s="377"/>
      <c r="B20" s="405"/>
      <c r="C20" s="396"/>
      <c r="D20" s="397"/>
      <c r="E20" s="2022"/>
      <c r="F20" s="398"/>
      <c r="G20" s="2021"/>
      <c r="H20" s="397"/>
      <c r="I20" s="2022"/>
      <c r="J20" s="397"/>
      <c r="K20" s="562"/>
      <c r="L20" s="2883"/>
      <c r="M20" s="2877"/>
      <c r="N20" s="2877"/>
      <c r="O20" s="2877"/>
      <c r="P20" s="3561"/>
      <c r="Q20" s="1474"/>
      <c r="R20" s="702"/>
      <c r="S20" s="703"/>
      <c r="T20" s="702"/>
      <c r="U20" s="703"/>
      <c r="V20" s="702"/>
      <c r="W20" s="703"/>
      <c r="X20" s="1477"/>
      <c r="Y20" s="3516"/>
      <c r="Z20" s="1478"/>
      <c r="AA20" s="1475">
        <v>1</v>
      </c>
      <c r="AB20" s="1475">
        <v>1</v>
      </c>
      <c r="AC20" s="1475">
        <v>1</v>
      </c>
    </row>
    <row r="21" spans="1:29" ht="15.5">
      <c r="A21" s="377"/>
      <c r="B21" s="1234" t="s">
        <v>2235</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83"/>
      <c r="M21" s="2877"/>
      <c r="N21" s="2877"/>
      <c r="O21" s="2877"/>
      <c r="P21" s="3561"/>
      <c r="Q21" s="1474" t="str">
        <f>B21</f>
        <v>基础设施水平</v>
      </c>
      <c r="R21" s="702" t="s">
        <v>17</v>
      </c>
      <c r="S21" s="703">
        <f>F21</f>
        <v>100</v>
      </c>
      <c r="T21" s="702" t="s">
        <v>17</v>
      </c>
      <c r="U21" s="703">
        <f>H21</f>
        <v>100</v>
      </c>
      <c r="V21" s="702" t="s">
        <v>17</v>
      </c>
      <c r="W21" s="703">
        <f>J21</f>
        <v>100</v>
      </c>
      <c r="X21" s="1477"/>
      <c r="Y21" s="3516"/>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8"/>
      <c r="G22" s="396"/>
      <c r="H22" s="397"/>
      <c r="I22" s="396"/>
      <c r="J22" s="397"/>
      <c r="K22" s="1233"/>
      <c r="L22" s="2883"/>
      <c r="M22" s="2877"/>
      <c r="N22" s="2877"/>
      <c r="O22" s="2877"/>
      <c r="P22" s="3561"/>
      <c r="Q22" s="1474"/>
      <c r="R22" s="702"/>
      <c r="S22" s="703"/>
      <c r="T22" s="702"/>
      <c r="U22" s="703"/>
      <c r="V22" s="702"/>
      <c r="W22" s="703"/>
      <c r="X22" s="1477"/>
      <c r="Y22" s="3516"/>
      <c r="Z22" s="1478"/>
      <c r="AA22" s="1475">
        <v>1</v>
      </c>
      <c r="AB22" s="1475">
        <v>1</v>
      </c>
      <c r="AC22" s="1475">
        <v>1</v>
      </c>
    </row>
    <row r="23" spans="1:29" ht="84">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83"/>
      <c r="M23" s="2877"/>
      <c r="N23" s="2877"/>
      <c r="O23" s="2877"/>
      <c r="P23" s="3561"/>
      <c r="Q23" s="1474" t="str">
        <f>B23</f>
        <v>自然及人文环境</v>
      </c>
      <c r="R23" s="702" t="s">
        <v>17</v>
      </c>
      <c r="S23" s="703">
        <f>F23</f>
        <v>100</v>
      </c>
      <c r="T23" s="702" t="s">
        <v>17</v>
      </c>
      <c r="U23" s="703">
        <f>H23</f>
        <v>100</v>
      </c>
      <c r="V23" s="702" t="s">
        <v>17</v>
      </c>
      <c r="W23" s="703">
        <f>J23</f>
        <v>100</v>
      </c>
      <c r="X23" s="1477"/>
      <c r="Y23" s="3516"/>
      <c r="Z23" s="1478" t="str">
        <f>Q23</f>
        <v>自然及人文环境</v>
      </c>
      <c r="AA23" s="1475">
        <f t="shared" si="3"/>
        <v>1</v>
      </c>
      <c r="AB23" s="1475">
        <f t="shared" si="4"/>
        <v>1</v>
      </c>
      <c r="AC23" s="1475">
        <f t="shared" si="5"/>
        <v>1</v>
      </c>
    </row>
    <row r="24" spans="1:29" ht="15.5">
      <c r="A24" s="377"/>
      <c r="B24" s="405"/>
      <c r="C24" s="396"/>
      <c r="D24" s="397"/>
      <c r="E24" s="2022"/>
      <c r="F24" s="398"/>
      <c r="G24" s="2021"/>
      <c r="H24" s="397"/>
      <c r="I24" s="2022"/>
      <c r="J24" s="397"/>
      <c r="K24" s="562"/>
      <c r="L24" s="2883"/>
      <c r="M24" s="2877"/>
      <c r="N24" s="2877"/>
      <c r="O24" s="2877"/>
      <c r="P24" s="3561"/>
      <c r="Q24" s="1474"/>
      <c r="R24" s="702"/>
      <c r="S24" s="703"/>
      <c r="T24" s="702"/>
      <c r="U24" s="703"/>
      <c r="V24" s="702"/>
      <c r="W24" s="703"/>
      <c r="X24" s="1477"/>
      <c r="Y24" s="3516"/>
      <c r="Z24" s="1478"/>
      <c r="AA24" s="1475">
        <v>1</v>
      </c>
      <c r="AB24" s="1475">
        <v>1</v>
      </c>
      <c r="AC24" s="1475">
        <v>1</v>
      </c>
    </row>
    <row r="25" spans="1:29" ht="15.5">
      <c r="A25" s="377"/>
      <c r="B25" s="371" t="s">
        <v>2236</v>
      </c>
      <c r="C25" s="563"/>
      <c r="D25" s="384">
        <v>100</v>
      </c>
      <c r="E25" s="563"/>
      <c r="F25" s="410">
        <f>SUMIF(86:86,E25,87:87)-SUMIF(86:86,C25,87:87)+100</f>
        <v>100</v>
      </c>
      <c r="G25" s="563"/>
      <c r="H25" s="384">
        <f>SUMIF(86:86,G25,87:87)-SUMIF(86:86,C25,87:87)+100</f>
        <v>100</v>
      </c>
      <c r="I25" s="563"/>
      <c r="J25" s="384">
        <f>SUMIF(86:86,I25,87:87)-SUMIF(86:86,C25,87:87)+100</f>
        <v>100</v>
      </c>
      <c r="K25" s="559"/>
      <c r="L25" s="2883"/>
      <c r="M25" s="2877"/>
      <c r="N25" s="2877"/>
      <c r="O25" s="2877"/>
      <c r="P25" s="3561"/>
      <c r="Q25" s="1474" t="str">
        <f t="shared" ref="Q25:Q46" si="11">B25</f>
        <v>临街状况</v>
      </c>
      <c r="R25" s="702" t="s">
        <v>17</v>
      </c>
      <c r="S25" s="703">
        <f>F25</f>
        <v>100</v>
      </c>
      <c r="T25" s="702" t="s">
        <v>17</v>
      </c>
      <c r="U25" s="703">
        <f>H25</f>
        <v>100</v>
      </c>
      <c r="V25" s="702" t="s">
        <v>17</v>
      </c>
      <c r="W25" s="703">
        <f>J25</f>
        <v>100</v>
      </c>
      <c r="X25" s="1477"/>
      <c r="Y25" s="3516"/>
      <c r="Z25" s="1478" t="str">
        <f>Q25</f>
        <v>临街状况</v>
      </c>
      <c r="AA25" s="1475">
        <f t="shared" si="3"/>
        <v>1</v>
      </c>
      <c r="AB25" s="1475">
        <f t="shared" si="4"/>
        <v>1</v>
      </c>
      <c r="AC25" s="1475">
        <f t="shared" si="5"/>
        <v>1</v>
      </c>
    </row>
    <row r="26" spans="1:29" ht="15.5">
      <c r="A26" s="377"/>
      <c r="B26" s="1236" t="s">
        <v>2237</v>
      </c>
      <c r="C26" s="383"/>
      <c r="D26" s="384">
        <v>100</v>
      </c>
      <c r="E26" s="383"/>
      <c r="F26" s="410">
        <f>SUMIF(88:88,E26,89:89)-SUMIF(88:88,C26,89:89)+100</f>
        <v>100</v>
      </c>
      <c r="G26" s="383"/>
      <c r="H26" s="384">
        <f>SUMIF(88:88,G26,89:89)-SUMIF(88:88,C26,89:89)+100</f>
        <v>100</v>
      </c>
      <c r="I26" s="383"/>
      <c r="J26" s="384">
        <f>SUMIF(88:88,I26,89:89)-SUMIF(88:88,C26,89:89)+100</f>
        <v>100</v>
      </c>
      <c r="K26" s="560"/>
      <c r="L26" s="2883"/>
      <c r="M26" s="2877"/>
      <c r="N26" s="2877"/>
      <c r="O26" s="2877"/>
      <c r="P26" s="3561"/>
      <c r="Q26" s="1474" t="str">
        <f t="shared" si="11"/>
        <v>平面位置/可视性</v>
      </c>
      <c r="R26" s="702" t="s">
        <v>17</v>
      </c>
      <c r="S26" s="703">
        <f>F26</f>
        <v>100</v>
      </c>
      <c r="T26" s="702" t="s">
        <v>17</v>
      </c>
      <c r="U26" s="703">
        <f>H26</f>
        <v>100</v>
      </c>
      <c r="V26" s="702" t="s">
        <v>17</v>
      </c>
      <c r="W26" s="703">
        <f>J26</f>
        <v>100</v>
      </c>
      <c r="X26" s="1477"/>
      <c r="Y26" s="3516"/>
      <c r="Z26" s="1478" t="str">
        <f>Q26</f>
        <v>平面位置/可视性</v>
      </c>
      <c r="AA26" s="1475">
        <f t="shared" si="3"/>
        <v>1</v>
      </c>
      <c r="AB26" s="1475">
        <f t="shared" si="4"/>
        <v>1</v>
      </c>
      <c r="AC26" s="1475">
        <f t="shared" si="5"/>
        <v>1</v>
      </c>
    </row>
    <row r="27" spans="1:29" s="110" customFormat="1" ht="15.5">
      <c r="A27" s="380"/>
      <c r="B27" s="400" t="s">
        <v>2238</v>
      </c>
      <c r="C27" s="2080"/>
      <c r="D27" s="411">
        <v>100</v>
      </c>
      <c r="E27" s="2080"/>
      <c r="F27" s="413">
        <f>SUMIF(90:90,E27,91:91)-SUMIF(90:90,C27,91:91)+100</f>
        <v>100</v>
      </c>
      <c r="G27" s="2080"/>
      <c r="H27" s="411">
        <f>SUMIF(90:90,G27,91:91)-SUMIF(90:90,C27,91:91)+100</f>
        <v>100</v>
      </c>
      <c r="I27" s="2080"/>
      <c r="J27" s="411">
        <f>SUMIF(90:90,I27,91:91)-SUMIF(90:90,C27,91:91)+100</f>
        <v>100</v>
      </c>
      <c r="K27" s="559"/>
      <c r="L27" s="2878"/>
      <c r="M27" s="2879"/>
      <c r="N27" s="2879"/>
      <c r="O27" s="2879"/>
      <c r="P27" s="3561"/>
      <c r="Q27" s="1465" t="str">
        <f t="shared" si="11"/>
        <v>人流量</v>
      </c>
      <c r="R27" s="698" t="s">
        <v>17</v>
      </c>
      <c r="S27" s="699">
        <f>F27</f>
        <v>100</v>
      </c>
      <c r="T27" s="698" t="s">
        <v>17</v>
      </c>
      <c r="U27" s="699">
        <f>H27</f>
        <v>100</v>
      </c>
      <c r="V27" s="698" t="s">
        <v>17</v>
      </c>
      <c r="W27" s="699">
        <f>J27</f>
        <v>100</v>
      </c>
      <c r="X27" s="700"/>
      <c r="Y27" s="3516"/>
      <c r="Z27" s="55" t="str">
        <f>Q27</f>
        <v>人流量</v>
      </c>
      <c r="AA27" s="1475">
        <f>D27/F27</f>
        <v>1</v>
      </c>
      <c r="AB27" s="1475">
        <f>D27/H27</f>
        <v>1</v>
      </c>
      <c r="AC27" s="1475">
        <f>D27/J27</f>
        <v>1</v>
      </c>
    </row>
    <row r="28" spans="1:29" ht="15.5">
      <c r="A28" s="377"/>
      <c r="B28" s="371" t="s">
        <v>2239</v>
      </c>
      <c r="C28" s="563"/>
      <c r="D28" s="384">
        <v>100</v>
      </c>
      <c r="E28" s="563"/>
      <c r="F28" s="410">
        <f>SUMIF(92:92,E28,93:93)-SUMIF(92:92,C28,93:93)+100</f>
        <v>100</v>
      </c>
      <c r="G28" s="563"/>
      <c r="H28" s="384">
        <f>SUMIF(92:92,G28,93:93)-SUMIF(92:92,C28,93:93)+100</f>
        <v>100</v>
      </c>
      <c r="I28" s="563"/>
      <c r="J28" s="384">
        <f>SUMIF(92:92,I28,93:93)-SUMIF(92:92,C28,93:93)+100</f>
        <v>100</v>
      </c>
      <c r="K28" s="560"/>
      <c r="L28" s="2883"/>
      <c r="M28" s="2877"/>
      <c r="N28" s="2877"/>
      <c r="O28" s="2877"/>
      <c r="P28" s="3561"/>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516"/>
      <c r="Z28" s="1478" t="str">
        <f t="shared" ref="Z28:Z46" si="15">Q28</f>
        <v>楼层</v>
      </c>
      <c r="AA28" s="1475">
        <f t="shared" si="3"/>
        <v>1</v>
      </c>
      <c r="AB28" s="1475">
        <f t="shared" si="4"/>
        <v>1</v>
      </c>
      <c r="AC28" s="1475">
        <f t="shared" si="5"/>
        <v>1</v>
      </c>
    </row>
    <row r="29" spans="1:29" ht="15.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83"/>
      <c r="M29" s="2877"/>
      <c r="N29" s="2877"/>
      <c r="O29" s="2877"/>
      <c r="P29" s="3561"/>
      <c r="Q29" s="1474">
        <f t="shared" si="11"/>
        <v>111</v>
      </c>
      <c r="R29" s="702" t="s">
        <v>17</v>
      </c>
      <c r="S29" s="703">
        <f t="shared" si="12"/>
        <v>100</v>
      </c>
      <c r="T29" s="702" t="s">
        <v>17</v>
      </c>
      <c r="U29" s="703">
        <f t="shared" si="13"/>
        <v>100</v>
      </c>
      <c r="V29" s="702" t="s">
        <v>17</v>
      </c>
      <c r="W29" s="703">
        <f t="shared" si="14"/>
        <v>100</v>
      </c>
      <c r="X29" s="1477"/>
      <c r="Y29" s="3516"/>
      <c r="Z29" s="1478">
        <f t="shared" si="15"/>
        <v>111</v>
      </c>
      <c r="AA29" s="1475">
        <f t="shared" si="3"/>
        <v>1</v>
      </c>
      <c r="AB29" s="1475">
        <f t="shared" si="4"/>
        <v>1</v>
      </c>
      <c r="AC29" s="1475">
        <f t="shared" si="5"/>
        <v>1</v>
      </c>
    </row>
    <row r="30" spans="1:29" ht="15.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83"/>
      <c r="M30" s="2877"/>
      <c r="N30" s="2877"/>
      <c r="O30" s="2877"/>
      <c r="P30" s="3561"/>
      <c r="Q30" s="1474">
        <f t="shared" si="11"/>
        <v>111</v>
      </c>
      <c r="R30" s="702" t="s">
        <v>17</v>
      </c>
      <c r="S30" s="703">
        <f t="shared" si="12"/>
        <v>100</v>
      </c>
      <c r="T30" s="702" t="s">
        <v>17</v>
      </c>
      <c r="U30" s="703">
        <f t="shared" si="13"/>
        <v>100</v>
      </c>
      <c r="V30" s="702" t="s">
        <v>17</v>
      </c>
      <c r="W30" s="703">
        <f t="shared" si="14"/>
        <v>100</v>
      </c>
      <c r="X30" s="1477"/>
      <c r="Y30" s="3516"/>
      <c r="Z30" s="1478">
        <f t="shared" si="15"/>
        <v>111</v>
      </c>
      <c r="AA30" s="1475">
        <f t="shared" si="3"/>
        <v>1</v>
      </c>
      <c r="AB30" s="1475">
        <f t="shared" si="4"/>
        <v>1</v>
      </c>
      <c r="AC30" s="1475">
        <f t="shared" si="5"/>
        <v>1</v>
      </c>
    </row>
    <row r="31" spans="1:29" ht="16"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83"/>
      <c r="M31" s="2877"/>
      <c r="N31" s="2877"/>
      <c r="O31" s="2877"/>
      <c r="P31" s="3561"/>
      <c r="Q31" s="1474">
        <f t="shared" si="11"/>
        <v>111</v>
      </c>
      <c r="R31" s="702" t="s">
        <v>17</v>
      </c>
      <c r="S31" s="703">
        <f t="shared" si="12"/>
        <v>100</v>
      </c>
      <c r="T31" s="702" t="s">
        <v>17</v>
      </c>
      <c r="U31" s="703">
        <f t="shared" si="13"/>
        <v>100</v>
      </c>
      <c r="V31" s="702" t="s">
        <v>17</v>
      </c>
      <c r="W31" s="703">
        <f t="shared" si="14"/>
        <v>100</v>
      </c>
      <c r="X31" s="1477"/>
      <c r="Y31" s="3516"/>
      <c r="Z31" s="1478">
        <f t="shared" si="15"/>
        <v>111</v>
      </c>
      <c r="AA31" s="1475">
        <f t="shared" si="3"/>
        <v>1</v>
      </c>
      <c r="AB31" s="1475">
        <f t="shared" si="4"/>
        <v>1</v>
      </c>
      <c r="AC31" s="1475">
        <f t="shared" si="5"/>
        <v>1</v>
      </c>
    </row>
    <row r="32" spans="1:29" ht="15.5">
      <c r="A32" s="389" t="s">
        <v>2143</v>
      </c>
      <c r="B32" s="67" t="s">
        <v>2240</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83"/>
      <c r="M32" s="2877"/>
      <c r="N32" s="2877"/>
      <c r="O32" s="2877"/>
      <c r="P32" s="3556" t="s">
        <v>2145</v>
      </c>
      <c r="Q32" s="1474" t="str">
        <f t="shared" si="11"/>
        <v>商业类型</v>
      </c>
      <c r="R32" s="702" t="s">
        <v>17</v>
      </c>
      <c r="S32" s="703">
        <f t="shared" si="12"/>
        <v>100</v>
      </c>
      <c r="T32" s="702" t="s">
        <v>17</v>
      </c>
      <c r="U32" s="703">
        <f t="shared" si="13"/>
        <v>100</v>
      </c>
      <c r="V32" s="702" t="s">
        <v>17</v>
      </c>
      <c r="W32" s="703">
        <f t="shared" si="14"/>
        <v>100</v>
      </c>
      <c r="X32" s="1477"/>
      <c r="Y32" s="3518" t="s">
        <v>2145</v>
      </c>
      <c r="Z32" s="1478" t="str">
        <f t="shared" si="15"/>
        <v>商业类型</v>
      </c>
      <c r="AA32" s="1475">
        <f t="shared" si="3"/>
        <v>1</v>
      </c>
      <c r="AB32" s="1475">
        <f t="shared" si="4"/>
        <v>1</v>
      </c>
      <c r="AC32" s="1475">
        <f t="shared" si="5"/>
        <v>1</v>
      </c>
    </row>
    <row r="33" spans="1:29" s="420" customFormat="1" ht="15.5">
      <c r="A33" s="417"/>
      <c r="B33" s="371" t="s">
        <v>2146</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82"/>
      <c r="M33" s="2884"/>
      <c r="N33" s="2884"/>
      <c r="O33" s="2884"/>
      <c r="P33" s="3557"/>
      <c r="Q33" s="704" t="str">
        <f t="shared" si="11"/>
        <v>项目建筑规模</v>
      </c>
      <c r="R33" s="705" t="s">
        <v>17</v>
      </c>
      <c r="S33" s="706" t="e">
        <f t="shared" si="12"/>
        <v>#N/A</v>
      </c>
      <c r="T33" s="705" t="s">
        <v>17</v>
      </c>
      <c r="U33" s="706" t="e">
        <f t="shared" si="13"/>
        <v>#N/A</v>
      </c>
      <c r="V33" s="705" t="s">
        <v>17</v>
      </c>
      <c r="W33" s="706" t="e">
        <f t="shared" si="14"/>
        <v>#N/A</v>
      </c>
      <c r="X33" s="707"/>
      <c r="Y33" s="3518"/>
      <c r="Z33" s="708" t="str">
        <f t="shared" si="15"/>
        <v>项目建筑规模</v>
      </c>
      <c r="AA33" s="1475" t="e">
        <f t="shared" si="3"/>
        <v>#N/A</v>
      </c>
      <c r="AB33" s="1475" t="e">
        <f t="shared" si="4"/>
        <v>#N/A</v>
      </c>
      <c r="AC33" s="1475" t="e">
        <f t="shared" si="5"/>
        <v>#N/A</v>
      </c>
    </row>
    <row r="34" spans="1:29" ht="15.5">
      <c r="A34" s="421"/>
      <c r="B34" s="371" t="s">
        <v>2147</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83"/>
      <c r="M34" s="2877"/>
      <c r="N34" s="2877"/>
      <c r="O34" s="2877"/>
      <c r="P34" s="3557"/>
      <c r="Q34" s="1474" t="str">
        <f t="shared" si="11"/>
        <v>建筑结构</v>
      </c>
      <c r="R34" s="702" t="s">
        <v>17</v>
      </c>
      <c r="S34" s="703">
        <f t="shared" si="12"/>
        <v>100</v>
      </c>
      <c r="T34" s="702" t="s">
        <v>17</v>
      </c>
      <c r="U34" s="703">
        <f t="shared" si="13"/>
        <v>100</v>
      </c>
      <c r="V34" s="702" t="s">
        <v>17</v>
      </c>
      <c r="W34" s="703">
        <f t="shared" si="14"/>
        <v>100</v>
      </c>
      <c r="X34" s="1477"/>
      <c r="Y34" s="3518"/>
      <c r="Z34" s="1478" t="str">
        <f t="shared" si="15"/>
        <v>建筑结构</v>
      </c>
      <c r="AA34" s="1475">
        <f t="shared" si="3"/>
        <v>1</v>
      </c>
      <c r="AB34" s="1475">
        <f t="shared" si="4"/>
        <v>1</v>
      </c>
      <c r="AC34" s="1475">
        <f t="shared" si="5"/>
        <v>1</v>
      </c>
    </row>
    <row r="35" spans="1:29" ht="15.5">
      <c r="A35" s="421"/>
      <c r="B35" s="371" t="s">
        <v>2241</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83"/>
      <c r="M35" s="2877"/>
      <c r="N35" s="2877"/>
      <c r="O35" s="2877"/>
      <c r="P35" s="3557"/>
      <c r="Q35" s="1474" t="str">
        <f t="shared" si="11"/>
        <v>公共部分装修</v>
      </c>
      <c r="R35" s="702" t="s">
        <v>17</v>
      </c>
      <c r="S35" s="703">
        <f t="shared" si="12"/>
        <v>100</v>
      </c>
      <c r="T35" s="702" t="s">
        <v>17</v>
      </c>
      <c r="U35" s="703">
        <f t="shared" si="13"/>
        <v>100</v>
      </c>
      <c r="V35" s="702" t="s">
        <v>17</v>
      </c>
      <c r="W35" s="703">
        <f t="shared" si="14"/>
        <v>100</v>
      </c>
      <c r="X35" s="1477"/>
      <c r="Y35" s="3518"/>
      <c r="Z35" s="1478" t="str">
        <f t="shared" si="15"/>
        <v>公共部分装修</v>
      </c>
      <c r="AA35" s="1475">
        <f t="shared" si="3"/>
        <v>1</v>
      </c>
      <c r="AB35" s="1475">
        <f t="shared" si="4"/>
        <v>1</v>
      </c>
      <c r="AC35" s="1475">
        <f t="shared" si="5"/>
        <v>1</v>
      </c>
    </row>
    <row r="36" spans="1:29" ht="15.5">
      <c r="A36" s="421"/>
      <c r="B36" s="371" t="s">
        <v>2242</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83"/>
      <c r="M36" s="2877"/>
      <c r="N36" s="2877"/>
      <c r="O36" s="2877"/>
      <c r="P36" s="3557"/>
      <c r="Q36" s="1474" t="str">
        <f t="shared" si="11"/>
        <v>成新度</v>
      </c>
      <c r="R36" s="702" t="s">
        <v>17</v>
      </c>
      <c r="S36" s="703" t="e">
        <f t="shared" si="12"/>
        <v>#N/A</v>
      </c>
      <c r="T36" s="702" t="s">
        <v>17</v>
      </c>
      <c r="U36" s="703" t="e">
        <f t="shared" si="13"/>
        <v>#N/A</v>
      </c>
      <c r="V36" s="702" t="s">
        <v>17</v>
      </c>
      <c r="W36" s="703" t="e">
        <f t="shared" si="14"/>
        <v>#N/A</v>
      </c>
      <c r="X36" s="1477"/>
      <c r="Y36" s="3518"/>
      <c r="Z36" s="1478" t="str">
        <f t="shared" si="15"/>
        <v>成新度</v>
      </c>
      <c r="AA36" s="1475" t="e">
        <f t="shared" si="3"/>
        <v>#N/A</v>
      </c>
      <c r="AB36" s="1475" t="e">
        <f t="shared" si="4"/>
        <v>#N/A</v>
      </c>
      <c r="AC36" s="1475" t="e">
        <f t="shared" si="5"/>
        <v>#N/A</v>
      </c>
    </row>
    <row r="37" spans="1:29" s="110" customFormat="1" ht="15.5">
      <c r="A37" s="422"/>
      <c r="B37" s="371" t="s">
        <v>2243</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78"/>
      <c r="M37" s="2879"/>
      <c r="N37" s="2879"/>
      <c r="O37" s="2879"/>
      <c r="P37" s="3557"/>
      <c r="Q37" s="1465" t="str">
        <f t="shared" si="11"/>
        <v>市政基础设施</v>
      </c>
      <c r="R37" s="698" t="s">
        <v>17</v>
      </c>
      <c r="S37" s="699">
        <f t="shared" si="12"/>
        <v>100</v>
      </c>
      <c r="T37" s="698" t="s">
        <v>17</v>
      </c>
      <c r="U37" s="699">
        <f t="shared" si="13"/>
        <v>100</v>
      </c>
      <c r="V37" s="698" t="s">
        <v>17</v>
      </c>
      <c r="W37" s="699">
        <f t="shared" si="14"/>
        <v>100</v>
      </c>
      <c r="X37" s="700"/>
      <c r="Y37" s="3518"/>
      <c r="Z37" s="55" t="str">
        <f t="shared" si="15"/>
        <v>市政基础设施</v>
      </c>
      <c r="AA37" s="701">
        <f t="shared" si="3"/>
        <v>1</v>
      </c>
      <c r="AB37" s="701">
        <f t="shared" si="4"/>
        <v>1</v>
      </c>
      <c r="AC37" s="701">
        <f t="shared" si="5"/>
        <v>1</v>
      </c>
    </row>
    <row r="38" spans="1:29" ht="15.5">
      <c r="A38" s="421"/>
      <c r="B38" s="371" t="s">
        <v>2244</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83"/>
      <c r="M38" s="2877"/>
      <c r="N38" s="2877"/>
      <c r="O38" s="2877"/>
      <c r="P38" s="3557" t="s">
        <v>2145</v>
      </c>
      <c r="Q38" s="1474" t="str">
        <f t="shared" si="11"/>
        <v>业态</v>
      </c>
      <c r="R38" s="702" t="s">
        <v>17</v>
      </c>
      <c r="S38" s="703">
        <f t="shared" si="12"/>
        <v>100</v>
      </c>
      <c r="T38" s="702" t="s">
        <v>17</v>
      </c>
      <c r="U38" s="703">
        <f t="shared" si="13"/>
        <v>100</v>
      </c>
      <c r="V38" s="702" t="s">
        <v>17</v>
      </c>
      <c r="W38" s="703">
        <f t="shared" si="14"/>
        <v>100</v>
      </c>
      <c r="X38" s="1477"/>
      <c r="Y38" s="3518" t="s">
        <v>2145</v>
      </c>
      <c r="Z38" s="1478" t="str">
        <f t="shared" si="15"/>
        <v>业态</v>
      </c>
      <c r="AA38" s="1475">
        <f t="shared" si="3"/>
        <v>1</v>
      </c>
      <c r="AB38" s="1475">
        <f t="shared" si="4"/>
        <v>1</v>
      </c>
      <c r="AC38" s="1475">
        <f t="shared" si="5"/>
        <v>1</v>
      </c>
    </row>
    <row r="39" spans="1:29" ht="15.5">
      <c r="A39" s="421"/>
      <c r="B39" s="371" t="s">
        <v>2245</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83"/>
      <c r="M39" s="2877"/>
      <c r="N39" s="2877"/>
      <c r="O39" s="2877"/>
      <c r="P39" s="3557"/>
      <c r="Q39" s="1474" t="str">
        <f t="shared" si="11"/>
        <v>层高</v>
      </c>
      <c r="R39" s="702" t="s">
        <v>17</v>
      </c>
      <c r="S39" s="703">
        <f t="shared" si="12"/>
        <v>100</v>
      </c>
      <c r="T39" s="702" t="s">
        <v>17</v>
      </c>
      <c r="U39" s="703">
        <f t="shared" si="13"/>
        <v>100</v>
      </c>
      <c r="V39" s="702" t="s">
        <v>17</v>
      </c>
      <c r="W39" s="703">
        <f t="shared" si="14"/>
        <v>100</v>
      </c>
      <c r="X39" s="1477"/>
      <c r="Y39" s="3518"/>
      <c r="Z39" s="1478" t="str">
        <f t="shared" si="15"/>
        <v>层高</v>
      </c>
      <c r="AA39" s="1475">
        <f t="shared" si="3"/>
        <v>1</v>
      </c>
      <c r="AB39" s="1475">
        <f t="shared" si="4"/>
        <v>1</v>
      </c>
      <c r="AC39" s="1475">
        <f t="shared" si="5"/>
        <v>1</v>
      </c>
    </row>
    <row r="40" spans="1:29" ht="15.5">
      <c r="A40" s="421"/>
      <c r="B40" s="371" t="s">
        <v>2246</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83"/>
      <c r="M40" s="2877"/>
      <c r="N40" s="2877"/>
      <c r="O40" s="2877"/>
      <c r="P40" s="3557"/>
      <c r="Q40" s="1474" t="str">
        <f t="shared" si="11"/>
        <v>单套建筑面积</v>
      </c>
      <c r="R40" s="702" t="s">
        <v>17</v>
      </c>
      <c r="S40" s="703">
        <f t="shared" si="12"/>
        <v>100</v>
      </c>
      <c r="T40" s="702" t="s">
        <v>17</v>
      </c>
      <c r="U40" s="703">
        <f t="shared" si="13"/>
        <v>100</v>
      </c>
      <c r="V40" s="702" t="s">
        <v>17</v>
      </c>
      <c r="W40" s="703">
        <f t="shared" si="14"/>
        <v>100</v>
      </c>
      <c r="X40" s="1477"/>
      <c r="Y40" s="3518"/>
      <c r="Z40" s="1478" t="str">
        <f t="shared" si="15"/>
        <v>单套建筑面积</v>
      </c>
      <c r="AA40" s="1475">
        <f t="shared" si="3"/>
        <v>1</v>
      </c>
      <c r="AB40" s="1475">
        <f t="shared" si="4"/>
        <v>1</v>
      </c>
      <c r="AC40" s="1475">
        <f t="shared" si="5"/>
        <v>1</v>
      </c>
    </row>
    <row r="41" spans="1:29" s="420" customFormat="1" ht="15.5">
      <c r="A41" s="417"/>
      <c r="B41" s="1476" t="s">
        <v>2247</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82"/>
      <c r="M41" s="2884"/>
      <c r="N41" s="2884"/>
      <c r="O41" s="2884"/>
      <c r="P41" s="3557"/>
      <c r="Q41" s="704" t="str">
        <f t="shared" si="11"/>
        <v>进深比</v>
      </c>
      <c r="R41" s="705" t="s">
        <v>17</v>
      </c>
      <c r="S41" s="706">
        <f t="shared" si="12"/>
        <v>100</v>
      </c>
      <c r="T41" s="705" t="s">
        <v>17</v>
      </c>
      <c r="U41" s="706">
        <f t="shared" si="13"/>
        <v>100</v>
      </c>
      <c r="V41" s="705" t="s">
        <v>17</v>
      </c>
      <c r="W41" s="706">
        <f t="shared" si="14"/>
        <v>100</v>
      </c>
      <c r="X41" s="707"/>
      <c r="Y41" s="3518"/>
      <c r="Z41" s="708" t="str">
        <f t="shared" si="15"/>
        <v>进深比</v>
      </c>
      <c r="AA41" s="1475">
        <f t="shared" si="3"/>
        <v>1</v>
      </c>
      <c r="AB41" s="1475">
        <f t="shared" si="4"/>
        <v>1</v>
      </c>
      <c r="AC41" s="1475">
        <f t="shared" si="5"/>
        <v>1</v>
      </c>
    </row>
    <row r="42" spans="1:29" ht="15.5">
      <c r="A42" s="421"/>
      <c r="B42" s="371" t="s">
        <v>2248</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83"/>
      <c r="M42" s="2877"/>
      <c r="N42" s="2877"/>
      <c r="O42" s="2877"/>
      <c r="P42" s="3557"/>
      <c r="Q42" s="1474" t="str">
        <f t="shared" si="11"/>
        <v>内部装修</v>
      </c>
      <c r="R42" s="702" t="s">
        <v>17</v>
      </c>
      <c r="S42" s="703">
        <f t="shared" si="12"/>
        <v>100</v>
      </c>
      <c r="T42" s="702" t="s">
        <v>17</v>
      </c>
      <c r="U42" s="703">
        <f t="shared" si="13"/>
        <v>100</v>
      </c>
      <c r="V42" s="702" t="s">
        <v>17</v>
      </c>
      <c r="W42" s="703">
        <f t="shared" si="14"/>
        <v>100</v>
      </c>
      <c r="X42" s="1477"/>
      <c r="Y42" s="3518"/>
      <c r="Z42" s="1478" t="str">
        <f t="shared" si="15"/>
        <v>内部装修</v>
      </c>
      <c r="AA42" s="1475">
        <f t="shared" si="3"/>
        <v>1</v>
      </c>
      <c r="AB42" s="1475">
        <f t="shared" si="4"/>
        <v>1</v>
      </c>
      <c r="AC42" s="1475">
        <f t="shared" si="5"/>
        <v>1</v>
      </c>
    </row>
    <row r="43" spans="1:29" ht="28">
      <c r="A43" s="421"/>
      <c r="B43" s="371" t="s">
        <v>2156</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83"/>
      <c r="M43" s="2877"/>
      <c r="N43" s="2877"/>
      <c r="O43" s="2877"/>
      <c r="P43" s="3557"/>
      <c r="Q43" s="1474" t="str">
        <f t="shared" si="11"/>
        <v>内部装修维护情况</v>
      </c>
      <c r="R43" s="702" t="s">
        <v>17</v>
      </c>
      <c r="S43" s="703">
        <f t="shared" si="12"/>
        <v>100</v>
      </c>
      <c r="T43" s="702" t="s">
        <v>17</v>
      </c>
      <c r="U43" s="703">
        <f t="shared" si="13"/>
        <v>100</v>
      </c>
      <c r="V43" s="702" t="s">
        <v>17</v>
      </c>
      <c r="W43" s="703">
        <f t="shared" si="14"/>
        <v>100</v>
      </c>
      <c r="X43" s="1477"/>
      <c r="Y43" s="3518"/>
      <c r="Z43" s="1478" t="str">
        <f t="shared" si="15"/>
        <v>内部装修维护情况</v>
      </c>
      <c r="AA43" s="1475">
        <f t="shared" si="3"/>
        <v>1</v>
      </c>
      <c r="AB43" s="1475">
        <f t="shared" si="4"/>
        <v>1</v>
      </c>
      <c r="AC43" s="1475">
        <f t="shared" si="5"/>
        <v>1</v>
      </c>
    </row>
    <row r="44" spans="1:29" s="110" customFormat="1" ht="15.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78"/>
      <c r="M44" s="2879"/>
      <c r="N44" s="2879"/>
      <c r="O44" s="2879"/>
      <c r="P44" s="3557"/>
      <c r="Q44" s="1465">
        <f t="shared" si="11"/>
        <v>111</v>
      </c>
      <c r="R44" s="698" t="s">
        <v>17</v>
      </c>
      <c r="S44" s="699">
        <f t="shared" si="12"/>
        <v>100</v>
      </c>
      <c r="T44" s="698" t="s">
        <v>17</v>
      </c>
      <c r="U44" s="699">
        <f t="shared" si="13"/>
        <v>100</v>
      </c>
      <c r="V44" s="698" t="s">
        <v>17</v>
      </c>
      <c r="W44" s="699">
        <f t="shared" si="14"/>
        <v>100</v>
      </c>
      <c r="X44" s="700"/>
      <c r="Y44" s="3518"/>
      <c r="Z44" s="55">
        <f t="shared" si="15"/>
        <v>111</v>
      </c>
      <c r="AA44" s="701">
        <f t="shared" si="3"/>
        <v>1</v>
      </c>
      <c r="AB44" s="701">
        <f t="shared" si="4"/>
        <v>1</v>
      </c>
      <c r="AC44" s="701">
        <f t="shared" si="5"/>
        <v>1</v>
      </c>
    </row>
    <row r="45" spans="1:29" ht="15.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83"/>
      <c r="M45" s="2877"/>
      <c r="N45" s="2877"/>
      <c r="O45" s="2877"/>
      <c r="P45" s="3557"/>
      <c r="Q45" s="1474">
        <f t="shared" si="11"/>
        <v>111</v>
      </c>
      <c r="R45" s="702" t="s">
        <v>17</v>
      </c>
      <c r="S45" s="703">
        <f t="shared" si="12"/>
        <v>100</v>
      </c>
      <c r="T45" s="702" t="s">
        <v>17</v>
      </c>
      <c r="U45" s="703">
        <f t="shared" si="13"/>
        <v>100</v>
      </c>
      <c r="V45" s="702" t="s">
        <v>17</v>
      </c>
      <c r="W45" s="703">
        <f t="shared" si="14"/>
        <v>100</v>
      </c>
      <c r="X45" s="1477"/>
      <c r="Y45" s="3518"/>
      <c r="Z45" s="1478">
        <f t="shared" si="15"/>
        <v>111</v>
      </c>
      <c r="AA45" s="1475">
        <f t="shared" si="3"/>
        <v>1</v>
      </c>
      <c r="AB45" s="1475">
        <f t="shared" si="4"/>
        <v>1</v>
      </c>
      <c r="AC45" s="1475">
        <f t="shared" si="5"/>
        <v>1</v>
      </c>
    </row>
    <row r="46" spans="1:29" ht="16"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83"/>
      <c r="M46" s="2877"/>
      <c r="N46" s="2877"/>
      <c r="O46" s="2877"/>
      <c r="P46" s="3558"/>
      <c r="Q46" s="1474">
        <f t="shared" si="11"/>
        <v>111</v>
      </c>
      <c r="R46" s="702" t="s">
        <v>17</v>
      </c>
      <c r="S46" s="703">
        <f t="shared" si="12"/>
        <v>100</v>
      </c>
      <c r="T46" s="702" t="s">
        <v>17</v>
      </c>
      <c r="U46" s="703">
        <f t="shared" si="13"/>
        <v>100</v>
      </c>
      <c r="V46" s="702" t="s">
        <v>17</v>
      </c>
      <c r="W46" s="703">
        <f t="shared" si="14"/>
        <v>100</v>
      </c>
      <c r="X46" s="1477"/>
      <c r="Y46" s="3559"/>
      <c r="Z46" s="1478">
        <f t="shared" si="15"/>
        <v>111</v>
      </c>
      <c r="AA46" s="1475">
        <f t="shared" si="3"/>
        <v>1</v>
      </c>
      <c r="AB46" s="1475">
        <f t="shared" si="4"/>
        <v>1</v>
      </c>
      <c r="AC46" s="1475">
        <f t="shared" si="5"/>
        <v>1</v>
      </c>
    </row>
    <row r="47" spans="1:29">
      <c r="A47" s="428" t="s">
        <v>2157</v>
      </c>
      <c r="B47" s="429"/>
      <c r="C47" s="1257" t="s">
        <v>1</v>
      </c>
      <c r="D47" s="1258"/>
      <c r="E47" s="1259"/>
      <c r="F47" s="1260"/>
      <c r="G47" s="1261"/>
      <c r="H47" s="1262"/>
      <c r="I47" s="1259"/>
      <c r="J47" s="1262"/>
      <c r="K47" s="711"/>
      <c r="L47" s="2885"/>
      <c r="M47" s="2886"/>
      <c r="N47" s="2877"/>
      <c r="O47" s="2886"/>
      <c r="P47" s="3500" t="str">
        <f>A47</f>
        <v>成交单价（元/平方米）</v>
      </c>
      <c r="Q47" s="3500"/>
      <c r="R47" s="3513">
        <f>E47</f>
        <v>0</v>
      </c>
      <c r="S47" s="3513"/>
      <c r="T47" s="3513">
        <f>G47</f>
        <v>0</v>
      </c>
      <c r="U47" s="3513"/>
      <c r="V47" s="3513">
        <f>I47</f>
        <v>0</v>
      </c>
      <c r="W47" s="3513"/>
      <c r="X47" s="687"/>
      <c r="Y47" s="709"/>
      <c r="Z47" s="687"/>
      <c r="AA47" s="687"/>
      <c r="AB47" s="687"/>
      <c r="AC47" s="687"/>
    </row>
    <row r="48" spans="1:29" ht="14.5" thickBot="1">
      <c r="A48" s="435" t="s">
        <v>2249</v>
      </c>
      <c r="B48" s="436"/>
      <c r="C48" s="1263" t="e">
        <f>R49</f>
        <v>#DIV/0!</v>
      </c>
      <c r="D48" s="2476" t="s">
        <v>2639</v>
      </c>
      <c r="E48" s="1264" t="e">
        <f>R48</f>
        <v>#DIV/0!</v>
      </c>
      <c r="F48" s="2477"/>
      <c r="G48" s="1263" t="e">
        <f>T48</f>
        <v>#DIV/0!</v>
      </c>
      <c r="H48" s="2477"/>
      <c r="I48" s="1264" t="e">
        <f>V48</f>
        <v>#DIV/0!</v>
      </c>
      <c r="J48" s="2477"/>
      <c r="K48" s="2479">
        <f>F48+H48+J48</f>
        <v>0</v>
      </c>
      <c r="L48" s="2885"/>
      <c r="M48" s="2886"/>
      <c r="N48" s="2877"/>
      <c r="O48" s="2886"/>
      <c r="P48" s="3500" t="str">
        <f>A48</f>
        <v>比较价值（元/平方米）</v>
      </c>
      <c r="Q48" s="3500"/>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87"/>
      <c r="Y48" s="687"/>
      <c r="Z48" s="687"/>
      <c r="AA48" s="687"/>
      <c r="AB48" s="687"/>
      <c r="AC48" s="687"/>
    </row>
    <row r="49" spans="1:29" ht="14.5" thickBot="1">
      <c r="A49" s="439" t="s">
        <v>2250</v>
      </c>
      <c r="B49" s="440"/>
      <c r="C49" s="1266" t="e">
        <f>R49</f>
        <v>#DIV/0!</v>
      </c>
      <c r="D49" s="1266"/>
      <c r="E49" s="1266"/>
      <c r="F49" s="1266"/>
      <c r="G49" s="1266"/>
      <c r="H49" s="1266"/>
      <c r="I49" s="1266"/>
      <c r="J49" s="1266"/>
      <c r="K49" s="712"/>
      <c r="L49" s="2885"/>
      <c r="M49" s="2886"/>
      <c r="N49" s="2877"/>
      <c r="O49" s="2886"/>
      <c r="P49" s="3520" t="str">
        <f>A49</f>
        <v>估价对象XX用房的比较价值（楼面单价，元/平方米）</v>
      </c>
      <c r="Q49" s="3521"/>
      <c r="R49" s="3554" t="e">
        <f>IF(F1="售价",ROUND(IF(D48="简单平均",AVERAGE(R48:V48),R48*F48+T48*H48+V48*J48),0),ROUND(IF(D48="简单平均",AVERAGE(R48:V48),R48*F48+T48*H48+V48*J48),1))</f>
        <v>#DIV/0!</v>
      </c>
      <c r="S49" s="3554"/>
      <c r="T49" s="3554"/>
      <c r="U49" s="3554"/>
      <c r="V49" s="3554"/>
      <c r="W49" s="3554"/>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4" t="s">
        <v>2251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4" t="s">
        <v>2252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49" customFormat="1" ht="13.5" customHeight="1">
      <c r="A54" s="2889"/>
      <c r="B54" s="2889"/>
      <c r="C54" s="444" t="s">
        <v>2253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49"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1.5" thickBot="1">
      <c r="A57" s="691" t="s">
        <v>2254</v>
      </c>
      <c r="B57" s="687"/>
      <c r="C57" s="692"/>
      <c r="D57" s="692"/>
      <c r="E57" s="692"/>
      <c r="F57" s="693"/>
      <c r="G57" s="693"/>
      <c r="H57" s="692"/>
      <c r="I57" s="692"/>
      <c r="J57" s="692"/>
      <c r="K57" s="694"/>
      <c r="L57" s="1042"/>
      <c r="M57" s="1040"/>
      <c r="N57" s="1040"/>
      <c r="O57" s="1040"/>
      <c r="P57" s="2899"/>
      <c r="Q57" s="2900"/>
      <c r="R57" s="2886"/>
      <c r="S57" s="2886"/>
      <c r="T57" s="2886"/>
      <c r="U57" s="2886"/>
      <c r="V57" s="2886"/>
      <c r="W57" s="2886"/>
      <c r="X57" s="2886"/>
      <c r="Y57" s="2886"/>
      <c r="Z57" s="2886"/>
      <c r="AA57" s="2886"/>
      <c r="AB57" s="2886"/>
      <c r="AC57" s="2886"/>
    </row>
    <row r="58" spans="1:29" s="455" customFormat="1">
      <c r="A58" s="452" t="s">
        <v>2128</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901"/>
      <c r="Q58" s="2902"/>
      <c r="R58" s="2902"/>
      <c r="S58" s="2902"/>
      <c r="T58" s="2902"/>
      <c r="U58" s="2902"/>
      <c r="V58" s="2902"/>
      <c r="W58" s="2902"/>
      <c r="X58" s="2902"/>
      <c r="Y58" s="2902"/>
      <c r="Z58" s="2902"/>
      <c r="AA58" s="2902"/>
      <c r="AB58" s="2902"/>
      <c r="AC58" s="2902"/>
    </row>
    <row r="59" spans="1:29" s="110" customFormat="1">
      <c r="A59" s="456"/>
      <c r="B59" s="457"/>
      <c r="C59" s="1285">
        <v>100</v>
      </c>
      <c r="D59" s="459"/>
      <c r="E59" s="459"/>
      <c r="F59" s="459"/>
      <c r="G59" s="459"/>
      <c r="H59" s="459"/>
      <c r="I59" s="459"/>
      <c r="J59" s="459"/>
      <c r="K59" s="459"/>
      <c r="L59" s="459"/>
      <c r="M59" s="460"/>
      <c r="N59" s="459"/>
      <c r="O59" s="460"/>
      <c r="P59" s="2903"/>
      <c r="Q59" s="2821"/>
      <c r="R59" s="2821"/>
      <c r="S59" s="2821"/>
      <c r="T59" s="2821"/>
      <c r="U59" s="2821"/>
      <c r="V59" s="2821"/>
      <c r="W59" s="2821"/>
      <c r="X59" s="2821"/>
      <c r="Y59" s="2821"/>
      <c r="Z59" s="2821"/>
      <c r="AA59" s="2821"/>
      <c r="AB59" s="2821"/>
      <c r="AC59" s="2821"/>
    </row>
    <row r="60" spans="1:29" s="110" customFormat="1" ht="14.5" thickBot="1">
      <c r="A60" s="462" t="s">
        <v>2165</v>
      </c>
      <c r="B60" s="463"/>
      <c r="C60" s="464"/>
      <c r="D60" s="465"/>
      <c r="E60" s="465"/>
      <c r="F60" s="465"/>
      <c r="G60" s="465"/>
      <c r="H60" s="465"/>
      <c r="I60" s="465"/>
      <c r="J60" s="465"/>
      <c r="K60" s="465"/>
      <c r="L60" s="465"/>
      <c r="M60" s="466"/>
      <c r="N60" s="465"/>
      <c r="O60" s="466"/>
      <c r="P60" s="2903"/>
      <c r="Q60" s="2900"/>
      <c r="R60" s="2821"/>
      <c r="S60" s="2821"/>
      <c r="T60" s="2821"/>
      <c r="U60" s="2821"/>
      <c r="V60" s="2821"/>
      <c r="W60" s="2821"/>
      <c r="X60" s="2821"/>
      <c r="Y60" s="2821"/>
      <c r="Z60" s="2821"/>
      <c r="AA60" s="2821"/>
      <c r="AB60" s="2821"/>
      <c r="AC60" s="2821"/>
    </row>
    <row r="61" spans="1:29" s="110" customFormat="1">
      <c r="A61" s="468" t="s">
        <v>2130</v>
      </c>
      <c r="B61" s="457"/>
      <c r="C61" s="469" t="s">
        <v>2232</v>
      </c>
      <c r="D61" s="470"/>
      <c r="E61" s="470"/>
      <c r="F61" s="470"/>
      <c r="G61" s="470"/>
      <c r="H61" s="470"/>
      <c r="I61" s="470"/>
      <c r="J61" s="470"/>
      <c r="K61" s="470"/>
      <c r="L61" s="471"/>
      <c r="M61" s="472"/>
      <c r="N61" s="2913"/>
      <c r="O61" s="2913"/>
      <c r="P61" s="2904"/>
      <c r="Q61" s="2900"/>
      <c r="R61" s="2821"/>
      <c r="S61" s="2821"/>
      <c r="T61" s="2821"/>
      <c r="U61" s="2821"/>
      <c r="V61" s="2821"/>
      <c r="W61" s="2821"/>
      <c r="X61" s="2821"/>
      <c r="Y61" s="2821"/>
      <c r="Z61" s="2821"/>
      <c r="AA61" s="2821"/>
      <c r="AB61" s="2821"/>
      <c r="AC61" s="2821"/>
    </row>
    <row r="62" spans="1:29" s="110" customFormat="1" ht="14.5" thickBot="1">
      <c r="A62" s="468"/>
      <c r="B62" s="457"/>
      <c r="C62" s="458">
        <v>100</v>
      </c>
      <c r="D62" s="459"/>
      <c r="E62" s="459"/>
      <c r="F62" s="459"/>
      <c r="G62" s="459"/>
      <c r="H62" s="459"/>
      <c r="I62" s="459"/>
      <c r="J62" s="459"/>
      <c r="K62" s="459"/>
      <c r="L62" s="459"/>
      <c r="M62" s="461"/>
      <c r="N62" s="2913"/>
      <c r="O62" s="2913"/>
      <c r="P62" s="2903"/>
      <c r="Q62" s="2900"/>
      <c r="R62" s="2821"/>
      <c r="S62" s="2821"/>
      <c r="T62" s="2821"/>
      <c r="U62" s="2821"/>
      <c r="V62" s="2821"/>
      <c r="W62" s="2821"/>
      <c r="X62" s="2821"/>
      <c r="Y62" s="2821"/>
      <c r="Z62" s="2821"/>
      <c r="AA62" s="2821"/>
      <c r="AB62" s="2821"/>
      <c r="AC62" s="2821"/>
    </row>
    <row r="63" spans="1:29">
      <c r="A63" s="474" t="s">
        <v>2168</v>
      </c>
      <c r="B63" s="475" t="s">
        <v>2134</v>
      </c>
      <c r="C63" s="476">
        <f>C9</f>
        <v>0</v>
      </c>
      <c r="D63" s="477"/>
      <c r="E63" s="477"/>
      <c r="F63" s="477"/>
      <c r="G63" s="477"/>
      <c r="H63" s="477"/>
      <c r="I63" s="477"/>
      <c r="J63" s="477"/>
      <c r="K63" s="478"/>
      <c r="L63" s="479"/>
      <c r="M63" s="480"/>
      <c r="N63" s="2914"/>
      <c r="O63" s="2914"/>
      <c r="P63" s="2905"/>
      <c r="Q63" s="2900"/>
      <c r="R63" s="2886"/>
      <c r="S63" s="2886"/>
      <c r="T63" s="2886"/>
      <c r="U63" s="2886"/>
      <c r="V63" s="2886"/>
      <c r="W63" s="2886"/>
      <c r="X63" s="2886"/>
      <c r="Y63" s="2886"/>
      <c r="Z63" s="2886"/>
      <c r="AA63" s="2886"/>
      <c r="AB63" s="2886"/>
      <c r="AC63" s="2886"/>
    </row>
    <row r="64" spans="1:29" ht="14.5" thickBot="1">
      <c r="A64" s="481"/>
      <c r="B64" s="482"/>
      <c r="C64" s="483">
        <v>100</v>
      </c>
      <c r="D64" s="483"/>
      <c r="E64" s="483"/>
      <c r="F64" s="483"/>
      <c r="G64" s="483"/>
      <c r="H64" s="483"/>
      <c r="I64" s="483"/>
      <c r="J64" s="483"/>
      <c r="K64" s="483"/>
      <c r="L64" s="483"/>
      <c r="M64" s="484"/>
      <c r="N64" s="2915"/>
      <c r="O64" s="2915"/>
      <c r="P64" s="2905"/>
      <c r="Q64" s="2900"/>
      <c r="R64" s="2886"/>
      <c r="S64" s="2886"/>
      <c r="T64" s="2886"/>
      <c r="U64" s="2886"/>
      <c r="V64" s="2886"/>
      <c r="W64" s="2886"/>
      <c r="X64" s="2886"/>
      <c r="Y64" s="2886"/>
      <c r="Z64" s="2886"/>
      <c r="AA64" s="2886"/>
      <c r="AB64" s="2886"/>
      <c r="AC64" s="2886"/>
    </row>
    <row r="65" spans="1:29" ht="28.5" thickTop="1">
      <c r="A65" s="481"/>
      <c r="B65" s="485" t="s">
        <v>2137</v>
      </c>
      <c r="C65" s="486" t="s">
        <v>2169</v>
      </c>
      <c r="D65" s="486" t="s">
        <v>2170</v>
      </c>
      <c r="E65" s="486" t="s">
        <v>2171</v>
      </c>
      <c r="F65" s="486" t="s">
        <v>2172</v>
      </c>
      <c r="G65" s="486" t="s">
        <v>2173</v>
      </c>
      <c r="H65" s="486" t="s">
        <v>2174</v>
      </c>
      <c r="I65" s="486" t="s">
        <v>2175</v>
      </c>
      <c r="J65" s="486"/>
      <c r="K65" s="487"/>
      <c r="L65" s="488"/>
      <c r="M65" s="489"/>
      <c r="N65" s="2914"/>
      <c r="O65" s="2914"/>
      <c r="P65" s="2905"/>
      <c r="Q65" s="2900"/>
      <c r="R65" s="2886"/>
      <c r="S65" s="2886"/>
      <c r="T65" s="2886"/>
      <c r="U65" s="2886"/>
      <c r="V65" s="2886"/>
      <c r="W65" s="2886"/>
      <c r="X65" s="2886"/>
      <c r="Y65" s="2886"/>
      <c r="Z65" s="2886"/>
      <c r="AA65" s="2886"/>
      <c r="AB65" s="2886"/>
      <c r="AC65" s="288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15"/>
      <c r="O66" s="2915"/>
      <c r="P66" s="2905"/>
      <c r="Q66" s="2900"/>
      <c r="R66" s="2886"/>
      <c r="S66" s="2886"/>
      <c r="T66" s="2886"/>
      <c r="U66" s="2886"/>
      <c r="V66" s="2886"/>
      <c r="W66" s="2886"/>
      <c r="X66" s="2886"/>
      <c r="Y66" s="2886"/>
      <c r="Z66" s="2886"/>
      <c r="AA66" s="2886"/>
      <c r="AB66" s="2886"/>
      <c r="AC66" s="2886"/>
    </row>
    <row r="67" spans="1:29" ht="14.5" thickTop="1">
      <c r="A67" s="481"/>
      <c r="B67" s="493" t="s">
        <v>2138</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15"/>
      <c r="O67" s="2915"/>
      <c r="P67" s="2905"/>
      <c r="Q67" s="2900"/>
      <c r="R67" s="2886"/>
      <c r="S67" s="2886"/>
      <c r="T67" s="2886"/>
      <c r="U67" s="2886"/>
      <c r="V67" s="2886"/>
      <c r="W67" s="2886"/>
      <c r="X67" s="2886"/>
      <c r="Y67" s="2886"/>
      <c r="Z67" s="2886"/>
      <c r="AA67" s="2886"/>
      <c r="AB67" s="2886"/>
      <c r="AC67" s="2886"/>
    </row>
    <row r="68" spans="1:29">
      <c r="A68" s="481"/>
      <c r="B68" s="495"/>
      <c r="C68" s="496"/>
      <c r="D68" s="496"/>
      <c r="E68" s="496"/>
      <c r="F68" s="496"/>
      <c r="G68" s="496"/>
      <c r="H68" s="496"/>
      <c r="I68" s="496"/>
      <c r="J68" s="496"/>
      <c r="K68" s="497"/>
      <c r="L68" s="498"/>
      <c r="M68" s="499"/>
      <c r="N68" s="2914"/>
      <c r="O68" s="2914"/>
      <c r="P68" s="2905"/>
      <c r="Q68" s="2900"/>
      <c r="R68" s="2886"/>
      <c r="S68" s="2886"/>
      <c r="T68" s="2886"/>
      <c r="U68" s="2886"/>
      <c r="V68" s="2886"/>
      <c r="W68" s="2886"/>
      <c r="X68" s="2886"/>
      <c r="Y68" s="2886"/>
      <c r="Z68" s="2886"/>
      <c r="AA68" s="2886"/>
      <c r="AB68" s="2886"/>
      <c r="AC68" s="288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15"/>
      <c r="O69" s="2915"/>
      <c r="P69" s="2905"/>
      <c r="Q69" s="2900"/>
      <c r="R69" s="2886"/>
      <c r="S69" s="2886"/>
      <c r="T69" s="2886"/>
      <c r="U69" s="2886"/>
      <c r="V69" s="2886"/>
      <c r="W69" s="2886"/>
      <c r="X69" s="2886"/>
      <c r="Y69" s="2886"/>
      <c r="Z69" s="2886"/>
      <c r="AA69" s="2886"/>
      <c r="AB69" s="2886"/>
      <c r="AC69" s="2886"/>
    </row>
    <row r="70" spans="1:29" s="420" customFormat="1" ht="14.5" thickTop="1">
      <c r="A70" s="500"/>
      <c r="B70" s="485">
        <f>B12</f>
        <v>111</v>
      </c>
      <c r="C70" s="501"/>
      <c r="D70" s="501"/>
      <c r="E70" s="501"/>
      <c r="F70" s="501"/>
      <c r="G70" s="501"/>
      <c r="H70" s="502"/>
      <c r="I70" s="502"/>
      <c r="J70" s="502"/>
      <c r="K70" s="502"/>
      <c r="L70" s="503"/>
      <c r="M70" s="504"/>
      <c r="N70" s="2916"/>
      <c r="O70" s="2916"/>
      <c r="P70" s="2906"/>
      <c r="Q70" s="2907"/>
      <c r="R70" s="2908"/>
      <c r="S70" s="2908"/>
      <c r="T70" s="2908"/>
      <c r="U70" s="2908"/>
      <c r="V70" s="2908"/>
      <c r="W70" s="2908"/>
      <c r="X70" s="2908"/>
      <c r="Y70" s="2908"/>
      <c r="Z70" s="2908"/>
      <c r="AA70" s="2908"/>
      <c r="AB70" s="2908"/>
      <c r="AC70" s="2908"/>
    </row>
    <row r="71" spans="1:29" s="420" customFormat="1" ht="14.5" thickBot="1">
      <c r="A71" s="500"/>
      <c r="B71" s="490"/>
      <c r="C71" s="507"/>
      <c r="D71" s="483"/>
      <c r="E71" s="483"/>
      <c r="F71" s="483"/>
      <c r="G71" s="483"/>
      <c r="H71" s="483"/>
      <c r="I71" s="483"/>
      <c r="J71" s="483"/>
      <c r="K71" s="483"/>
      <c r="L71" s="483"/>
      <c r="M71" s="484"/>
      <c r="N71" s="2915"/>
      <c r="O71" s="2915"/>
      <c r="P71" s="2906"/>
      <c r="Q71" s="2907"/>
      <c r="R71" s="2908"/>
      <c r="S71" s="2908"/>
      <c r="T71" s="2908"/>
      <c r="U71" s="2908"/>
      <c r="V71" s="2908"/>
      <c r="W71" s="2908"/>
      <c r="X71" s="2908"/>
      <c r="Y71" s="2908"/>
      <c r="Z71" s="2908"/>
      <c r="AA71" s="2908"/>
      <c r="AB71" s="2908"/>
      <c r="AC71" s="2908"/>
    </row>
    <row r="72" spans="1:29" s="420" customFormat="1" ht="14.5" thickTop="1">
      <c r="A72" s="500"/>
      <c r="B72" s="485">
        <f>B13</f>
        <v>111</v>
      </c>
      <c r="C72" s="501"/>
      <c r="D72" s="501"/>
      <c r="E72" s="501"/>
      <c r="F72" s="501"/>
      <c r="G72" s="501"/>
      <c r="H72" s="502"/>
      <c r="I72" s="502"/>
      <c r="J72" s="502"/>
      <c r="K72" s="502"/>
      <c r="L72" s="503"/>
      <c r="M72" s="504"/>
      <c r="N72" s="2916"/>
      <c r="O72" s="2916"/>
      <c r="P72" s="2909"/>
      <c r="Q72" s="2910"/>
      <c r="R72" s="2908"/>
      <c r="S72" s="2908"/>
      <c r="T72" s="2908"/>
      <c r="U72" s="2908"/>
      <c r="V72" s="2908"/>
      <c r="W72" s="2908"/>
      <c r="X72" s="2908"/>
      <c r="Y72" s="2908"/>
      <c r="Z72" s="2908"/>
      <c r="AA72" s="2908"/>
      <c r="AB72" s="2908"/>
      <c r="AC72" s="2908"/>
    </row>
    <row r="73" spans="1:29" s="420" customFormat="1" ht="14.5" thickBot="1">
      <c r="A73" s="500"/>
      <c r="B73" s="490"/>
      <c r="C73" s="507"/>
      <c r="D73" s="483"/>
      <c r="E73" s="483"/>
      <c r="F73" s="483"/>
      <c r="G73" s="507"/>
      <c r="H73" s="509"/>
      <c r="I73" s="509"/>
      <c r="J73" s="509"/>
      <c r="K73" s="509"/>
      <c r="L73" s="509"/>
      <c r="M73" s="510"/>
      <c r="N73" s="2916"/>
      <c r="O73" s="2916"/>
      <c r="P73" s="2906"/>
      <c r="Q73" s="2907"/>
      <c r="R73" s="2908"/>
      <c r="S73" s="2908"/>
      <c r="T73" s="2908"/>
      <c r="U73" s="2908"/>
      <c r="V73" s="2908"/>
      <c r="W73" s="2908"/>
      <c r="X73" s="2908"/>
      <c r="Y73" s="2908"/>
      <c r="Z73" s="2908"/>
      <c r="AA73" s="2908"/>
      <c r="AB73" s="2908"/>
      <c r="AC73" s="2908"/>
    </row>
    <row r="74" spans="1:29" s="420" customFormat="1" ht="14.5" thickTop="1">
      <c r="A74" s="500"/>
      <c r="B74" s="493">
        <f>B14</f>
        <v>111</v>
      </c>
      <c r="C74" s="501"/>
      <c r="D74" s="501"/>
      <c r="E74" s="501"/>
      <c r="F74" s="501"/>
      <c r="G74" s="470"/>
      <c r="H74" s="511"/>
      <c r="I74" s="511"/>
      <c r="J74" s="511"/>
      <c r="K74" s="511"/>
      <c r="L74" s="512"/>
      <c r="M74" s="513"/>
      <c r="N74" s="2916"/>
      <c r="O74" s="2916"/>
      <c r="P74" s="2911"/>
      <c r="Q74" s="2907"/>
      <c r="R74" s="2908"/>
      <c r="S74" s="2908"/>
      <c r="T74" s="2908"/>
      <c r="U74" s="2908"/>
      <c r="V74" s="2908"/>
      <c r="W74" s="2908"/>
      <c r="X74" s="2908"/>
      <c r="Y74" s="2908"/>
      <c r="Z74" s="2908"/>
      <c r="AA74" s="2908"/>
      <c r="AB74" s="2908"/>
      <c r="AC74" s="2908"/>
    </row>
    <row r="75" spans="1:29" s="420" customFormat="1" ht="14.5" thickBot="1">
      <c r="A75" s="515"/>
      <c r="B75" s="516"/>
      <c r="C75" s="517"/>
      <c r="D75" s="517"/>
      <c r="E75" s="517"/>
      <c r="F75" s="517"/>
      <c r="G75" s="517"/>
      <c r="H75" s="518"/>
      <c r="I75" s="518"/>
      <c r="J75" s="518"/>
      <c r="K75" s="518"/>
      <c r="L75" s="518"/>
      <c r="M75" s="519"/>
      <c r="N75" s="2916"/>
      <c r="O75" s="2916"/>
      <c r="P75" s="2906"/>
      <c r="Q75" s="2907"/>
      <c r="R75" s="2908"/>
      <c r="S75" s="2908"/>
      <c r="T75" s="2908"/>
      <c r="U75" s="2908"/>
      <c r="V75" s="2908"/>
      <c r="W75" s="2908"/>
      <c r="X75" s="2908"/>
      <c r="Y75" s="2908"/>
      <c r="Z75" s="2908"/>
      <c r="AA75" s="2908"/>
      <c r="AB75" s="2908"/>
      <c r="AC75" s="2908"/>
    </row>
    <row r="76" spans="1:29">
      <c r="A76" s="474" t="s">
        <v>2139</v>
      </c>
      <c r="B76" s="475" t="s">
        <v>2176</v>
      </c>
      <c r="C76" s="520" t="s">
        <v>2177</v>
      </c>
      <c r="D76" s="520" t="s">
        <v>2178</v>
      </c>
      <c r="E76" s="520" t="s">
        <v>2179</v>
      </c>
      <c r="F76" s="520" t="s">
        <v>2180</v>
      </c>
      <c r="G76" s="520" t="s">
        <v>2181</v>
      </c>
      <c r="H76" s="476"/>
      <c r="I76" s="476"/>
      <c r="J76" s="476"/>
      <c r="K76" s="521"/>
      <c r="L76" s="522"/>
      <c r="M76" s="523"/>
      <c r="N76" s="2914"/>
      <c r="O76" s="2914"/>
      <c r="P76" s="2912"/>
      <c r="Q76" s="2900"/>
      <c r="R76" s="2886"/>
      <c r="S76" s="2886"/>
      <c r="T76" s="2886"/>
      <c r="U76" s="2886"/>
      <c r="V76" s="2886"/>
      <c r="W76" s="2886"/>
      <c r="X76" s="2886"/>
      <c r="Y76" s="2886"/>
      <c r="Z76" s="2886"/>
      <c r="AA76" s="2886"/>
      <c r="AB76" s="2886"/>
      <c r="AC76" s="288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15"/>
      <c r="O77" s="2915"/>
      <c r="P77" s="2905"/>
      <c r="Q77" s="2900"/>
      <c r="R77" s="2886"/>
      <c r="S77" s="2886"/>
      <c r="T77" s="2886"/>
      <c r="U77" s="2886"/>
      <c r="V77" s="2886"/>
      <c r="W77" s="2886"/>
      <c r="X77" s="2886"/>
      <c r="Y77" s="2886"/>
      <c r="Z77" s="2886"/>
      <c r="AA77" s="2886"/>
      <c r="AB77" s="2886"/>
      <c r="AC77" s="2886"/>
    </row>
    <row r="78" spans="1:29" ht="14.5" thickTop="1">
      <c r="A78" s="481"/>
      <c r="B78" s="485" t="s">
        <v>2182</v>
      </c>
      <c r="C78" s="525" t="s">
        <v>2177</v>
      </c>
      <c r="D78" s="525" t="s">
        <v>2178</v>
      </c>
      <c r="E78" s="525" t="s">
        <v>2179</v>
      </c>
      <c r="F78" s="525" t="s">
        <v>2180</v>
      </c>
      <c r="G78" s="525" t="s">
        <v>2181</v>
      </c>
      <c r="H78" s="486"/>
      <c r="I78" s="486"/>
      <c r="J78" s="486"/>
      <c r="K78" s="487"/>
      <c r="L78" s="488"/>
      <c r="M78" s="489"/>
      <c r="N78" s="2914"/>
      <c r="O78" s="2914"/>
      <c r="P78" s="2905"/>
      <c r="Q78" s="2900"/>
      <c r="R78" s="2886"/>
      <c r="S78" s="2886"/>
      <c r="T78" s="2886"/>
      <c r="U78" s="2886"/>
      <c r="V78" s="2886"/>
      <c r="W78" s="2886"/>
      <c r="X78" s="2886"/>
      <c r="Y78" s="2886"/>
      <c r="Z78" s="2886"/>
      <c r="AA78" s="2886"/>
      <c r="AB78" s="2886"/>
      <c r="AC78" s="288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15"/>
      <c r="O79" s="2915"/>
      <c r="P79" s="2905"/>
      <c r="Q79" s="2900"/>
      <c r="R79" s="2886"/>
      <c r="S79" s="2886"/>
      <c r="T79" s="2886"/>
      <c r="U79" s="2886"/>
      <c r="V79" s="2886"/>
      <c r="W79" s="2886"/>
      <c r="X79" s="2886"/>
      <c r="Y79" s="2886"/>
      <c r="Z79" s="2886"/>
      <c r="AA79" s="2886"/>
      <c r="AB79" s="2886"/>
      <c r="AC79" s="2886"/>
    </row>
    <row r="80" spans="1:29" ht="14.5" thickTop="1">
      <c r="A80" s="481"/>
      <c r="B80" s="485" t="s">
        <v>2183</v>
      </c>
      <c r="C80" s="525" t="s">
        <v>2177</v>
      </c>
      <c r="D80" s="525" t="s">
        <v>2178</v>
      </c>
      <c r="E80" s="525" t="s">
        <v>2179</v>
      </c>
      <c r="F80" s="525" t="s">
        <v>2180</v>
      </c>
      <c r="G80" s="525" t="s">
        <v>2181</v>
      </c>
      <c r="H80" s="486"/>
      <c r="I80" s="486"/>
      <c r="J80" s="486"/>
      <c r="K80" s="487"/>
      <c r="L80" s="488"/>
      <c r="M80" s="489"/>
      <c r="N80" s="2914"/>
      <c r="O80" s="2914"/>
      <c r="P80" s="2905"/>
      <c r="Q80" s="2900"/>
      <c r="R80" s="2886"/>
      <c r="S80" s="2886"/>
      <c r="T80" s="2886"/>
      <c r="U80" s="2886"/>
      <c r="V80" s="2886"/>
      <c r="W80" s="2886"/>
      <c r="X80" s="2886"/>
      <c r="Y80" s="2886"/>
      <c r="Z80" s="2886"/>
      <c r="AA80" s="2886"/>
      <c r="AB80" s="2886"/>
      <c r="AC80" s="288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15"/>
      <c r="O81" s="2915"/>
      <c r="P81" s="2905"/>
      <c r="Q81" s="2900"/>
      <c r="R81" s="2886"/>
      <c r="S81" s="2886"/>
      <c r="T81" s="2886"/>
      <c r="U81" s="2886"/>
      <c r="V81" s="2886"/>
      <c r="W81" s="2886"/>
      <c r="X81" s="2886"/>
      <c r="Y81" s="2886"/>
      <c r="Z81" s="2886"/>
      <c r="AA81" s="2886"/>
      <c r="AB81" s="2886"/>
      <c r="AC81" s="2886"/>
    </row>
    <row r="82" spans="1:29" ht="14.5" thickTop="1">
      <c r="A82" s="481"/>
      <c r="B82" s="493" t="s">
        <v>2235</v>
      </c>
      <c r="C82" s="606" t="s">
        <v>2255</v>
      </c>
      <c r="D82" s="606" t="s">
        <v>2256</v>
      </c>
      <c r="E82" s="606" t="s">
        <v>2257</v>
      </c>
      <c r="F82" s="606" t="s">
        <v>2258</v>
      </c>
      <c r="G82" s="606" t="s">
        <v>2259</v>
      </c>
      <c r="H82" s="486"/>
      <c r="I82" s="486"/>
      <c r="J82" s="486"/>
      <c r="K82" s="486"/>
      <c r="L82" s="486"/>
      <c r="M82" s="1232"/>
      <c r="N82" s="2915"/>
      <c r="O82" s="2915"/>
      <c r="P82" s="2905"/>
      <c r="Q82" s="2900"/>
      <c r="R82" s="2886"/>
      <c r="S82" s="2886"/>
      <c r="T82" s="2886"/>
      <c r="U82" s="2886"/>
      <c r="V82" s="2886"/>
      <c r="W82" s="2886"/>
      <c r="X82" s="2886"/>
      <c r="Y82" s="2886"/>
      <c r="Z82" s="2886"/>
      <c r="AA82" s="2886"/>
      <c r="AB82" s="2886"/>
      <c r="AC82" s="288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15"/>
      <c r="O83" s="2915"/>
      <c r="P83" s="2905"/>
      <c r="Q83" s="2900"/>
      <c r="R83" s="2886"/>
      <c r="S83" s="2886"/>
      <c r="T83" s="2886"/>
      <c r="U83" s="2886"/>
      <c r="V83" s="2886"/>
      <c r="W83" s="2886"/>
      <c r="X83" s="2886"/>
      <c r="Y83" s="2886"/>
      <c r="Z83" s="2886"/>
      <c r="AA83" s="2886"/>
      <c r="AB83" s="2886"/>
      <c r="AC83" s="2886"/>
    </row>
    <row r="84" spans="1:29" ht="14.5" thickTop="1">
      <c r="A84" s="481"/>
      <c r="B84" s="485" t="s">
        <v>2189</v>
      </c>
      <c r="C84" s="525" t="s">
        <v>2177</v>
      </c>
      <c r="D84" s="525" t="s">
        <v>2178</v>
      </c>
      <c r="E84" s="525" t="s">
        <v>2179</v>
      </c>
      <c r="F84" s="525" t="s">
        <v>2180</v>
      </c>
      <c r="G84" s="525" t="s">
        <v>2181</v>
      </c>
      <c r="H84" s="486"/>
      <c r="I84" s="486"/>
      <c r="J84" s="486"/>
      <c r="K84" s="487"/>
      <c r="L84" s="488"/>
      <c r="M84" s="489"/>
      <c r="N84" s="2914"/>
      <c r="O84" s="2914"/>
      <c r="P84" s="2905"/>
      <c r="Q84" s="2900"/>
      <c r="R84" s="2886"/>
      <c r="S84" s="2886"/>
      <c r="T84" s="2886"/>
      <c r="U84" s="2886"/>
      <c r="V84" s="2886"/>
      <c r="W84" s="2886"/>
      <c r="X84" s="2886"/>
      <c r="Y84" s="2886"/>
      <c r="Z84" s="2886"/>
      <c r="AA84" s="2886"/>
      <c r="AB84" s="2886"/>
      <c r="AC84" s="288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15"/>
      <c r="O85" s="2915"/>
      <c r="P85" s="2905"/>
      <c r="Q85" s="2900"/>
      <c r="R85" s="2886"/>
      <c r="S85" s="2886"/>
      <c r="T85" s="2886"/>
      <c r="U85" s="2886"/>
      <c r="V85" s="2886"/>
      <c r="W85" s="2886"/>
      <c r="X85" s="2886"/>
      <c r="Y85" s="2886"/>
      <c r="Z85" s="2886"/>
      <c r="AA85" s="2886"/>
      <c r="AB85" s="2886"/>
      <c r="AC85" s="2886"/>
    </row>
    <row r="86" spans="1:29" s="110" customFormat="1" ht="14.5" thickTop="1">
      <c r="A86" s="526"/>
      <c r="B86" s="485" t="s">
        <v>2260</v>
      </c>
      <c r="C86" s="501"/>
      <c r="D86" s="501"/>
      <c r="E86" s="501"/>
      <c r="F86" s="501"/>
      <c r="G86" s="501"/>
      <c r="H86" s="501"/>
      <c r="I86" s="501"/>
      <c r="J86" s="501"/>
      <c r="K86" s="501"/>
      <c r="L86" s="527"/>
      <c r="M86" s="528"/>
      <c r="N86" s="2913"/>
      <c r="O86" s="2913"/>
      <c r="P86" s="2905"/>
      <c r="Q86" s="2900"/>
      <c r="R86" s="2821"/>
      <c r="S86" s="2821"/>
      <c r="T86" s="2821"/>
      <c r="U86" s="2821"/>
      <c r="V86" s="2821"/>
      <c r="W86" s="2821"/>
      <c r="X86" s="2821"/>
      <c r="Y86" s="2821"/>
      <c r="Z86" s="2821"/>
      <c r="AA86" s="2821"/>
      <c r="AB86" s="2821"/>
      <c r="AC86" s="282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15"/>
      <c r="O87" s="2915"/>
      <c r="P87" s="2905"/>
      <c r="Q87" s="2900"/>
      <c r="R87" s="2821"/>
      <c r="S87" s="2821"/>
      <c r="T87" s="2821"/>
      <c r="U87" s="2821"/>
      <c r="V87" s="2821"/>
      <c r="W87" s="2821"/>
      <c r="X87" s="2821"/>
      <c r="Y87" s="2821"/>
      <c r="Z87" s="2821"/>
      <c r="AA87" s="2821"/>
      <c r="AB87" s="2821"/>
      <c r="AC87" s="2821"/>
    </row>
    <row r="88" spans="1:29" s="110" customFormat="1" ht="14.5" thickTop="1">
      <c r="A88" s="526"/>
      <c r="B88" s="485" t="str">
        <f>B26</f>
        <v>平面位置/可视性</v>
      </c>
      <c r="C88" s="501"/>
      <c r="D88" s="501"/>
      <c r="E88" s="501"/>
      <c r="F88" s="2051"/>
      <c r="G88" s="501"/>
      <c r="H88" s="501"/>
      <c r="I88" s="501"/>
      <c r="J88" s="501"/>
      <c r="K88" s="501"/>
      <c r="L88" s="501"/>
      <c r="M88" s="528"/>
      <c r="N88" s="2913"/>
      <c r="O88" s="2913"/>
      <c r="P88" s="2905"/>
      <c r="Q88" s="2900"/>
      <c r="R88" s="2821"/>
      <c r="S88" s="2821"/>
      <c r="T88" s="2821"/>
      <c r="U88" s="2821"/>
      <c r="V88" s="2821"/>
      <c r="W88" s="2821"/>
      <c r="X88" s="2821"/>
      <c r="Y88" s="2821"/>
      <c r="Z88" s="2821"/>
      <c r="AA88" s="2821"/>
      <c r="AB88" s="2821"/>
      <c r="AC88" s="2821"/>
    </row>
    <row r="89" spans="1:29" s="110" customFormat="1" ht="14.5" thickBot="1">
      <c r="A89" s="526"/>
      <c r="B89" s="490"/>
      <c r="C89" s="507"/>
      <c r="D89" s="483"/>
      <c r="E89" s="483"/>
      <c r="F89" s="483"/>
      <c r="G89" s="483"/>
      <c r="H89" s="483"/>
      <c r="I89" s="483"/>
      <c r="J89" s="483"/>
      <c r="K89" s="483"/>
      <c r="L89" s="483"/>
      <c r="M89" s="483"/>
      <c r="N89" s="2915"/>
      <c r="O89" s="2915"/>
      <c r="P89" s="2905"/>
      <c r="Q89" s="2900"/>
      <c r="R89" s="2821"/>
      <c r="S89" s="2821"/>
      <c r="T89" s="2821"/>
      <c r="U89" s="2821"/>
      <c r="V89" s="2821"/>
      <c r="W89" s="2821"/>
      <c r="X89" s="2821"/>
      <c r="Y89" s="2821"/>
      <c r="Z89" s="2821"/>
      <c r="AA89" s="2821"/>
      <c r="AB89" s="2821"/>
      <c r="AC89" s="2821"/>
    </row>
    <row r="90" spans="1:29" s="420" customFormat="1" ht="14.5" thickTop="1">
      <c r="A90" s="500"/>
      <c r="B90" s="485" t="str">
        <f>B27</f>
        <v>人流量</v>
      </c>
      <c r="C90" s="501"/>
      <c r="D90" s="501"/>
      <c r="E90" s="501"/>
      <c r="F90" s="501"/>
      <c r="G90" s="501"/>
      <c r="H90" s="502"/>
      <c r="I90" s="502"/>
      <c r="J90" s="502"/>
      <c r="K90" s="502"/>
      <c r="L90" s="503"/>
      <c r="M90" s="504"/>
      <c r="N90" s="2916"/>
      <c r="O90" s="2916"/>
      <c r="P90" s="2906"/>
      <c r="Q90" s="2907"/>
      <c r="R90" s="2908"/>
      <c r="S90" s="2908"/>
      <c r="T90" s="2908"/>
      <c r="U90" s="2908"/>
      <c r="V90" s="2908"/>
      <c r="W90" s="2908"/>
      <c r="X90" s="2908"/>
      <c r="Y90" s="2908"/>
      <c r="Z90" s="2908"/>
      <c r="AA90" s="2908"/>
      <c r="AB90" s="2908"/>
      <c r="AC90" s="290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16"/>
      <c r="O91" s="2916"/>
      <c r="P91" s="2906"/>
      <c r="Q91" s="2907"/>
      <c r="R91" s="2908"/>
      <c r="S91" s="2908"/>
      <c r="T91" s="2908"/>
      <c r="U91" s="2908"/>
      <c r="V91" s="2908"/>
      <c r="W91" s="2908"/>
      <c r="X91" s="2908"/>
      <c r="Y91" s="2908"/>
      <c r="Z91" s="2908"/>
      <c r="AA91" s="2908"/>
      <c r="AB91" s="2908"/>
      <c r="AC91" s="2908"/>
    </row>
    <row r="92" spans="1:29" ht="14.5" thickTop="1">
      <c r="A92" s="481"/>
      <c r="B92" s="485" t="str">
        <f>B28</f>
        <v>楼层</v>
      </c>
      <c r="C92" s="501"/>
      <c r="D92" s="501"/>
      <c r="E92" s="501"/>
      <c r="F92" s="501"/>
      <c r="G92" s="501"/>
      <c r="H92" s="501"/>
      <c r="I92" s="501"/>
      <c r="J92" s="501"/>
      <c r="K92" s="501"/>
      <c r="L92" s="527"/>
      <c r="M92" s="528"/>
      <c r="N92" s="2914"/>
      <c r="O92" s="2914"/>
      <c r="P92" s="2905"/>
      <c r="Q92" s="2900"/>
      <c r="R92" s="2886"/>
      <c r="S92" s="2886"/>
      <c r="T92" s="2886"/>
      <c r="U92" s="2886"/>
      <c r="V92" s="2886"/>
      <c r="W92" s="2886"/>
      <c r="X92" s="2886"/>
      <c r="Y92" s="2886"/>
      <c r="Z92" s="2886"/>
      <c r="AA92" s="2886"/>
      <c r="AB92" s="2886"/>
      <c r="AC92" s="2886"/>
    </row>
    <row r="93" spans="1:29" ht="14.5" thickBot="1">
      <c r="A93" s="481"/>
      <c r="B93" s="490"/>
      <c r="C93" s="483"/>
      <c r="D93" s="483"/>
      <c r="E93" s="483"/>
      <c r="F93" s="483"/>
      <c r="G93" s="483"/>
      <c r="H93" s="483"/>
      <c r="I93" s="483"/>
      <c r="J93" s="483"/>
      <c r="K93" s="483"/>
      <c r="L93" s="483"/>
      <c r="M93" s="484"/>
      <c r="N93" s="2915"/>
      <c r="O93" s="2915"/>
      <c r="P93" s="2905"/>
      <c r="Q93" s="2900"/>
      <c r="R93" s="2886"/>
      <c r="S93" s="2886"/>
      <c r="T93" s="2886"/>
      <c r="U93" s="2886"/>
      <c r="V93" s="2886"/>
      <c r="W93" s="2886"/>
      <c r="X93" s="2886"/>
      <c r="Y93" s="2886"/>
      <c r="Z93" s="2886"/>
      <c r="AA93" s="2886"/>
      <c r="AB93" s="2886"/>
      <c r="AC93" s="2886"/>
    </row>
    <row r="94" spans="1:29" ht="14.5" thickTop="1">
      <c r="A94" s="481"/>
      <c r="B94" s="485">
        <f>B29</f>
        <v>111</v>
      </c>
      <c r="C94" s="501"/>
      <c r="D94" s="501"/>
      <c r="E94" s="501"/>
      <c r="F94" s="501"/>
      <c r="G94" s="530"/>
      <c r="H94" s="530"/>
      <c r="I94" s="530"/>
      <c r="J94" s="530"/>
      <c r="K94" s="531"/>
      <c r="L94" s="532"/>
      <c r="M94" s="533"/>
      <c r="N94" s="2914"/>
      <c r="O94" s="2914"/>
      <c r="P94" s="2905"/>
      <c r="Q94" s="2900"/>
      <c r="R94" s="2886"/>
      <c r="S94" s="2886"/>
      <c r="T94" s="2886"/>
      <c r="U94" s="2886"/>
      <c r="V94" s="2886"/>
      <c r="W94" s="2886"/>
      <c r="X94" s="2886"/>
      <c r="Y94" s="2886"/>
      <c r="Z94" s="2886"/>
      <c r="AA94" s="2886"/>
      <c r="AB94" s="2886"/>
      <c r="AC94" s="2886"/>
    </row>
    <row r="95" spans="1:29" ht="14.5" thickBot="1">
      <c r="A95" s="481"/>
      <c r="B95" s="490"/>
      <c r="C95" s="507"/>
      <c r="D95" s="483"/>
      <c r="E95" s="483"/>
      <c r="F95" s="483"/>
      <c r="G95" s="483"/>
      <c r="H95" s="483"/>
      <c r="I95" s="483"/>
      <c r="J95" s="483"/>
      <c r="K95" s="483"/>
      <c r="L95" s="483"/>
      <c r="M95" s="484"/>
      <c r="N95" s="2915"/>
      <c r="O95" s="2915"/>
      <c r="P95" s="2905"/>
      <c r="Q95" s="2900"/>
      <c r="R95" s="2886"/>
      <c r="S95" s="2886"/>
      <c r="T95" s="2886"/>
      <c r="U95" s="2886"/>
      <c r="V95" s="2886"/>
      <c r="W95" s="2886"/>
      <c r="X95" s="2886"/>
      <c r="Y95" s="2886"/>
      <c r="Z95" s="2886"/>
      <c r="AA95" s="2886"/>
      <c r="AB95" s="2886"/>
      <c r="AC95" s="2886"/>
    </row>
    <row r="96" spans="1:29" ht="14.5" thickTop="1">
      <c r="A96" s="481"/>
      <c r="B96" s="485">
        <f>B30</f>
        <v>111</v>
      </c>
      <c r="C96" s="501"/>
      <c r="D96" s="501"/>
      <c r="E96" s="501"/>
      <c r="F96" s="501"/>
      <c r="G96" s="530"/>
      <c r="H96" s="530"/>
      <c r="I96" s="530"/>
      <c r="J96" s="530"/>
      <c r="K96" s="531"/>
      <c r="L96" s="532"/>
      <c r="M96" s="533"/>
      <c r="N96" s="2914"/>
      <c r="O96" s="2914"/>
      <c r="P96" s="2905"/>
      <c r="Q96" s="2900"/>
      <c r="R96" s="2886"/>
      <c r="S96" s="2886"/>
      <c r="T96" s="2886"/>
      <c r="U96" s="2886"/>
      <c r="V96" s="2886"/>
      <c r="W96" s="2886"/>
      <c r="X96" s="2886"/>
      <c r="Y96" s="2886"/>
      <c r="Z96" s="2886"/>
      <c r="AA96" s="2886"/>
      <c r="AB96" s="2886"/>
      <c r="AC96" s="2886"/>
    </row>
    <row r="97" spans="1:29" ht="14.5" thickBot="1">
      <c r="A97" s="481"/>
      <c r="B97" s="490"/>
      <c r="C97" s="507"/>
      <c r="D97" s="483"/>
      <c r="E97" s="483"/>
      <c r="F97" s="483"/>
      <c r="G97" s="483"/>
      <c r="H97" s="483"/>
      <c r="I97" s="483"/>
      <c r="J97" s="483"/>
      <c r="K97" s="483"/>
      <c r="L97" s="483"/>
      <c r="M97" s="484"/>
      <c r="N97" s="2915"/>
      <c r="O97" s="2915"/>
      <c r="P97" s="2905"/>
      <c r="Q97" s="2900"/>
      <c r="R97" s="2886"/>
      <c r="S97" s="2886"/>
      <c r="T97" s="2886"/>
      <c r="U97" s="2886"/>
      <c r="V97" s="2886"/>
      <c r="W97" s="2886"/>
      <c r="X97" s="2886"/>
      <c r="Y97" s="2886"/>
      <c r="Z97" s="2886"/>
      <c r="AA97" s="2886"/>
      <c r="AB97" s="2886"/>
      <c r="AC97" s="2886"/>
    </row>
    <row r="98" spans="1:29" ht="14.5" thickTop="1">
      <c r="A98" s="481"/>
      <c r="B98" s="493">
        <f>B31</f>
        <v>111</v>
      </c>
      <c r="C98" s="501"/>
      <c r="D98" s="501"/>
      <c r="E98" s="501"/>
      <c r="F98" s="501"/>
      <c r="G98" s="534"/>
      <c r="H98" s="534"/>
      <c r="I98" s="534"/>
      <c r="J98" s="534"/>
      <c r="K98" s="535"/>
      <c r="L98" s="536"/>
      <c r="M98" s="537"/>
      <c r="N98" s="2914"/>
      <c r="O98" s="2914"/>
      <c r="P98" s="2905"/>
      <c r="Q98" s="2900"/>
      <c r="R98" s="2886"/>
      <c r="S98" s="2886"/>
      <c r="T98" s="2886"/>
      <c r="U98" s="2886"/>
      <c r="V98" s="2886"/>
      <c r="W98" s="2886"/>
      <c r="X98" s="2886"/>
      <c r="Y98" s="2886"/>
      <c r="Z98" s="2886"/>
      <c r="AA98" s="2886"/>
      <c r="AB98" s="2886"/>
      <c r="AC98" s="2886"/>
    </row>
    <row r="99" spans="1:29" ht="14.5" thickBot="1">
      <c r="A99" s="2052"/>
      <c r="B99" s="516"/>
      <c r="C99" s="517"/>
      <c r="D99" s="517"/>
      <c r="E99" s="517"/>
      <c r="F99" s="517"/>
      <c r="G99" s="538"/>
      <c r="H99" s="538"/>
      <c r="I99" s="538"/>
      <c r="J99" s="538"/>
      <c r="K99" s="538"/>
      <c r="L99" s="538"/>
      <c r="M99" s="539"/>
      <c r="N99" s="2915"/>
      <c r="O99" s="2915"/>
      <c r="P99" s="2905"/>
      <c r="Q99" s="2900"/>
      <c r="R99" s="2886"/>
      <c r="S99" s="2886"/>
      <c r="T99" s="2886"/>
      <c r="U99" s="2886"/>
      <c r="V99" s="2886"/>
      <c r="W99" s="2886"/>
      <c r="X99" s="2886"/>
      <c r="Y99" s="2886"/>
      <c r="Z99" s="2886"/>
      <c r="AA99" s="2886"/>
      <c r="AB99" s="2886"/>
      <c r="AC99" s="2886"/>
    </row>
    <row r="100" spans="1:29">
      <c r="A100" s="474" t="s">
        <v>2143</v>
      </c>
      <c r="B100" s="475" t="s">
        <v>2261</v>
      </c>
      <c r="C100" s="477"/>
      <c r="D100" s="477"/>
      <c r="E100" s="477"/>
      <c r="F100" s="477"/>
      <c r="G100" s="477"/>
      <c r="H100" s="477"/>
      <c r="I100" s="477"/>
      <c r="J100" s="477"/>
      <c r="K100" s="478"/>
      <c r="L100" s="479"/>
      <c r="M100" s="480"/>
      <c r="N100" s="2914"/>
      <c r="O100" s="2914"/>
      <c r="P100" s="2905"/>
      <c r="Q100" s="2900"/>
      <c r="R100" s="2886"/>
      <c r="S100" s="2886"/>
      <c r="T100" s="2886"/>
      <c r="U100" s="2886"/>
      <c r="V100" s="2886"/>
      <c r="W100" s="2886"/>
      <c r="X100" s="2886"/>
      <c r="Y100" s="2886"/>
      <c r="Z100" s="2886"/>
      <c r="AA100" s="2886"/>
      <c r="AB100" s="2886"/>
      <c r="AC100" s="288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15"/>
      <c r="O101" s="2915"/>
      <c r="P101" s="2905"/>
      <c r="Q101" s="2900"/>
      <c r="R101" s="2886"/>
      <c r="S101" s="2886"/>
      <c r="T101" s="2886"/>
      <c r="U101" s="2886"/>
      <c r="V101" s="2886"/>
      <c r="W101" s="2886"/>
      <c r="X101" s="2886"/>
      <c r="Y101" s="2886"/>
      <c r="Z101" s="2886"/>
      <c r="AA101" s="2886"/>
      <c r="AB101" s="2886"/>
      <c r="AC101" s="2886"/>
    </row>
    <row r="102" spans="1:29" ht="14.5" thickTop="1">
      <c r="A102" s="481"/>
      <c r="B102" s="485" t="s">
        <v>2193</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0" customFormat="1">
      <c r="A103" s="540"/>
      <c r="B103" s="541"/>
      <c r="C103" s="542"/>
      <c r="D103" s="542"/>
      <c r="E103" s="542"/>
      <c r="F103" s="542"/>
      <c r="G103" s="542"/>
      <c r="H103" s="542"/>
      <c r="I103" s="542"/>
      <c r="J103" s="543"/>
      <c r="K103" s="543"/>
      <c r="L103" s="544"/>
      <c r="M103" s="545"/>
      <c r="N103" s="2916"/>
      <c r="O103" s="2916"/>
      <c r="P103" s="2906"/>
      <c r="Q103" s="2907"/>
      <c r="R103" s="2908"/>
      <c r="S103" s="2908"/>
      <c r="T103" s="2908"/>
      <c r="U103" s="2908"/>
      <c r="V103" s="2908"/>
      <c r="W103" s="2908"/>
      <c r="X103" s="2908"/>
      <c r="Y103" s="2908"/>
      <c r="Z103" s="2908"/>
      <c r="AA103" s="2908"/>
      <c r="AB103" s="2908"/>
      <c r="AC103" s="2908"/>
    </row>
    <row r="104" spans="1:29" s="420" customFormat="1" ht="14.5" thickBot="1">
      <c r="A104" s="500"/>
      <c r="B104" s="490"/>
      <c r="C104" s="507"/>
      <c r="D104" s="483"/>
      <c r="E104" s="483"/>
      <c r="F104" s="483"/>
      <c r="G104" s="483"/>
      <c r="H104" s="483"/>
      <c r="I104" s="483"/>
      <c r="J104" s="483"/>
      <c r="K104" s="483"/>
      <c r="L104" s="483"/>
      <c r="M104" s="484"/>
      <c r="N104" s="2915"/>
      <c r="O104" s="2915"/>
      <c r="P104" s="2906"/>
      <c r="Q104" s="2907"/>
      <c r="R104" s="2908"/>
      <c r="S104" s="2908"/>
      <c r="T104" s="2908"/>
      <c r="U104" s="2908"/>
      <c r="V104" s="2908"/>
      <c r="W104" s="2908"/>
      <c r="X104" s="2908"/>
      <c r="Y104" s="2908"/>
      <c r="Z104" s="2908"/>
      <c r="AA104" s="2908"/>
      <c r="AB104" s="2908"/>
      <c r="AC104" s="2908"/>
    </row>
    <row r="105" spans="1:29" ht="14.5" thickTop="1">
      <c r="A105" s="546"/>
      <c r="B105" s="485" t="s">
        <v>2194</v>
      </c>
      <c r="C105" s="501"/>
      <c r="D105" s="501"/>
      <c r="E105" s="530"/>
      <c r="F105" s="530"/>
      <c r="G105" s="530"/>
      <c r="H105" s="530"/>
      <c r="I105" s="530"/>
      <c r="J105" s="530"/>
      <c r="K105" s="531"/>
      <c r="L105" s="532"/>
      <c r="M105" s="533"/>
      <c r="N105" s="2914"/>
      <c r="O105" s="2914"/>
      <c r="P105" s="2905"/>
      <c r="Q105" s="2900"/>
      <c r="R105" s="2886"/>
      <c r="S105" s="2886"/>
      <c r="T105" s="2886"/>
      <c r="U105" s="2886"/>
      <c r="V105" s="2886"/>
      <c r="W105" s="2886"/>
      <c r="X105" s="2886"/>
      <c r="Y105" s="2886"/>
      <c r="Z105" s="2886"/>
      <c r="AA105" s="2886"/>
      <c r="AB105" s="2886"/>
      <c r="AC105" s="288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15"/>
      <c r="O106" s="2915"/>
      <c r="P106" s="2905"/>
      <c r="Q106" s="2900"/>
      <c r="R106" s="2886"/>
      <c r="S106" s="2886"/>
      <c r="T106" s="2886"/>
      <c r="U106" s="2886"/>
      <c r="V106" s="2886"/>
      <c r="W106" s="2886"/>
      <c r="X106" s="2886"/>
      <c r="Y106" s="2886"/>
      <c r="Z106" s="2886"/>
      <c r="AA106" s="2886"/>
      <c r="AB106" s="2886"/>
      <c r="AC106" s="2886"/>
    </row>
    <row r="107" spans="1:29" ht="14.5" thickTop="1">
      <c r="A107" s="546"/>
      <c r="B107" s="485" t="s">
        <v>2196</v>
      </c>
      <c r="C107" s="501"/>
      <c r="D107" s="501"/>
      <c r="E107" s="501"/>
      <c r="F107" s="530"/>
      <c r="G107" s="530"/>
      <c r="H107" s="530"/>
      <c r="I107" s="530"/>
      <c r="J107" s="530"/>
      <c r="K107" s="531"/>
      <c r="L107" s="532"/>
      <c r="M107" s="533"/>
      <c r="N107" s="2914"/>
      <c r="O107" s="2914"/>
      <c r="P107" s="2905"/>
      <c r="Q107" s="2900"/>
      <c r="R107" s="2886"/>
      <c r="S107" s="2886"/>
      <c r="T107" s="2886"/>
      <c r="U107" s="2886"/>
      <c r="V107" s="2886"/>
      <c r="W107" s="2886"/>
      <c r="X107" s="2886"/>
      <c r="Y107" s="2886"/>
      <c r="Z107" s="2886"/>
      <c r="AA107" s="2886"/>
      <c r="AB107" s="2886"/>
      <c r="AC107" s="288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15"/>
      <c r="O108" s="2915"/>
      <c r="P108" s="2905"/>
      <c r="Q108" s="2900"/>
      <c r="R108" s="2886"/>
      <c r="S108" s="2886"/>
      <c r="T108" s="2886"/>
      <c r="U108" s="2886"/>
      <c r="V108" s="2886"/>
      <c r="W108" s="2886"/>
      <c r="X108" s="2886"/>
      <c r="Y108" s="2886"/>
      <c r="Z108" s="2886"/>
      <c r="AA108" s="2886"/>
      <c r="AB108" s="2886"/>
      <c r="AC108" s="2886"/>
    </row>
    <row r="109" spans="1:29" ht="14.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14"/>
      <c r="O109" s="2914"/>
      <c r="P109" s="2905"/>
      <c r="Q109" s="2900"/>
      <c r="R109" s="2886"/>
      <c r="S109" s="2886"/>
      <c r="T109" s="2886"/>
      <c r="U109" s="2886"/>
      <c r="V109" s="2886"/>
      <c r="W109" s="2886"/>
      <c r="X109" s="2886"/>
      <c r="Y109" s="2886"/>
      <c r="Z109" s="2886"/>
      <c r="AA109" s="2886"/>
      <c r="AB109" s="2886"/>
      <c r="AC109" s="2886"/>
    </row>
    <row r="110" spans="1:29">
      <c r="A110" s="546"/>
      <c r="B110" s="493"/>
      <c r="C110" s="550">
        <v>0.5</v>
      </c>
      <c r="D110" s="550">
        <v>0.6</v>
      </c>
      <c r="E110" s="550">
        <v>0.7</v>
      </c>
      <c r="F110" s="550">
        <v>0.8</v>
      </c>
      <c r="G110" s="550">
        <v>0.9</v>
      </c>
      <c r="H110" s="550">
        <v>1.0001</v>
      </c>
      <c r="I110" s="569"/>
      <c r="J110" s="569"/>
      <c r="K110" s="570"/>
      <c r="L110" s="571"/>
      <c r="M110" s="572"/>
      <c r="N110" s="2914"/>
      <c r="O110" s="2914"/>
      <c r="P110" s="2905"/>
      <c r="Q110" s="2900"/>
      <c r="R110" s="2886"/>
      <c r="S110" s="2886"/>
      <c r="T110" s="2886"/>
      <c r="U110" s="2886"/>
      <c r="V110" s="2886"/>
      <c r="W110" s="2886"/>
      <c r="X110" s="2886"/>
      <c r="Y110" s="2886"/>
      <c r="Z110" s="2886"/>
      <c r="AA110" s="2886"/>
      <c r="AB110" s="2886"/>
      <c r="AC110" s="288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15"/>
      <c r="O111" s="2915"/>
      <c r="P111" s="2905"/>
      <c r="Q111" s="2900"/>
      <c r="R111" s="2886"/>
      <c r="S111" s="2886"/>
      <c r="T111" s="2886"/>
      <c r="U111" s="2886"/>
      <c r="V111" s="2886"/>
      <c r="W111" s="2886"/>
      <c r="X111" s="2886"/>
      <c r="Y111" s="2886"/>
      <c r="Z111" s="2886"/>
      <c r="AA111" s="2886"/>
      <c r="AB111" s="2886"/>
      <c r="AC111" s="2886"/>
    </row>
    <row r="112" spans="1:29" s="420" customFormat="1" ht="14.5" thickTop="1">
      <c r="A112" s="540"/>
      <c r="B112" s="485" t="s">
        <v>2198</v>
      </c>
      <c r="C112" s="501"/>
      <c r="D112" s="501"/>
      <c r="E112" s="501"/>
      <c r="F112" s="501"/>
      <c r="G112" s="501"/>
      <c r="H112" s="530"/>
      <c r="I112" s="530"/>
      <c r="J112" s="530"/>
      <c r="K112" s="531"/>
      <c r="L112" s="532"/>
      <c r="M112" s="533"/>
      <c r="N112" s="2916"/>
      <c r="O112" s="2916"/>
      <c r="P112" s="2906"/>
      <c r="Q112" s="2907"/>
      <c r="R112" s="2908"/>
      <c r="S112" s="2908"/>
      <c r="T112" s="2908"/>
      <c r="U112" s="2908"/>
      <c r="V112" s="2908"/>
      <c r="W112" s="2908"/>
      <c r="X112" s="2908"/>
      <c r="Y112" s="2908"/>
      <c r="Z112" s="2908"/>
      <c r="AA112" s="2908"/>
      <c r="AB112" s="2908"/>
      <c r="AC112" s="290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16"/>
      <c r="O113" s="2916"/>
      <c r="P113" s="2906"/>
      <c r="Q113" s="2907"/>
      <c r="R113" s="2908"/>
      <c r="S113" s="2908"/>
      <c r="T113" s="2908"/>
      <c r="U113" s="2908"/>
      <c r="V113" s="2908"/>
      <c r="W113" s="2908"/>
      <c r="X113" s="2908"/>
      <c r="Y113" s="2908"/>
      <c r="Z113" s="2908"/>
      <c r="AA113" s="2908"/>
      <c r="AB113" s="2908"/>
      <c r="AC113" s="2908"/>
    </row>
    <row r="114" spans="1:29" ht="14.5" thickTop="1">
      <c r="A114" s="546"/>
      <c r="B114" s="485" t="s">
        <v>2262</v>
      </c>
      <c r="C114" s="501"/>
      <c r="D114" s="501"/>
      <c r="E114" s="530"/>
      <c r="F114" s="530"/>
      <c r="G114" s="530"/>
      <c r="H114" s="530"/>
      <c r="I114" s="530"/>
      <c r="J114" s="530"/>
      <c r="K114" s="531"/>
      <c r="L114" s="532"/>
      <c r="M114" s="533"/>
      <c r="N114" s="2914"/>
      <c r="O114" s="2914"/>
      <c r="P114" s="2905"/>
      <c r="Q114" s="2900"/>
      <c r="R114" s="2886"/>
      <c r="S114" s="2886"/>
      <c r="T114" s="2886"/>
      <c r="U114" s="2886"/>
      <c r="V114" s="2886"/>
      <c r="W114" s="2886"/>
      <c r="X114" s="2886"/>
      <c r="Y114" s="2886"/>
      <c r="Z114" s="2886"/>
      <c r="AA114" s="2886"/>
      <c r="AB114" s="2886"/>
      <c r="AC114" s="288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05"/>
      <c r="Q115" s="2900"/>
      <c r="R115" s="2886"/>
      <c r="S115" s="2886"/>
      <c r="T115" s="2886"/>
      <c r="U115" s="2886"/>
      <c r="V115" s="2886"/>
      <c r="W115" s="2886"/>
      <c r="X115" s="2886"/>
      <c r="Y115" s="2886"/>
      <c r="Z115" s="2886"/>
      <c r="AA115" s="2886"/>
      <c r="AB115" s="2886"/>
      <c r="AC115" s="2886"/>
    </row>
    <row r="116" spans="1:29" ht="14.5" thickTop="1">
      <c r="A116" s="546"/>
      <c r="B116" s="485" t="s">
        <v>2263</v>
      </c>
      <c r="C116" s="501"/>
      <c r="D116" s="501"/>
      <c r="E116" s="501"/>
      <c r="F116" s="501"/>
      <c r="G116" s="501"/>
      <c r="H116" s="530"/>
      <c r="I116" s="530"/>
      <c r="J116" s="530"/>
      <c r="K116" s="531"/>
      <c r="L116" s="532"/>
      <c r="M116" s="533"/>
      <c r="N116" s="2914"/>
      <c r="O116" s="2914"/>
      <c r="P116" s="2905"/>
      <c r="Q116" s="2900"/>
      <c r="R116" s="2886"/>
      <c r="S116" s="2886"/>
      <c r="T116" s="2886"/>
      <c r="U116" s="2886"/>
      <c r="V116" s="2886"/>
      <c r="W116" s="2886"/>
      <c r="X116" s="2886"/>
      <c r="Y116" s="2886"/>
      <c r="Z116" s="2886"/>
      <c r="AA116" s="2886"/>
      <c r="AB116" s="2886"/>
      <c r="AC116" s="288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15"/>
      <c r="O117" s="2915"/>
      <c r="P117" s="2905"/>
      <c r="Q117" s="2900"/>
      <c r="R117" s="2886"/>
      <c r="S117" s="2886"/>
      <c r="T117" s="2886"/>
      <c r="U117" s="2886"/>
      <c r="V117" s="2886"/>
      <c r="W117" s="2886"/>
      <c r="X117" s="2886"/>
      <c r="Y117" s="2886"/>
      <c r="Z117" s="2886"/>
      <c r="AA117" s="2886"/>
      <c r="AB117" s="2886"/>
      <c r="AC117" s="2886"/>
    </row>
    <row r="118" spans="1:29" ht="14.5" thickTop="1">
      <c r="A118" s="546"/>
      <c r="B118" s="485" t="s">
        <v>2264</v>
      </c>
      <c r="C118" s="573"/>
      <c r="D118" s="573"/>
      <c r="E118" s="573"/>
      <c r="F118" s="573"/>
      <c r="G118" s="573"/>
      <c r="H118" s="502"/>
      <c r="I118" s="502"/>
      <c r="J118" s="502"/>
      <c r="K118" s="502"/>
      <c r="L118" s="503"/>
      <c r="M118" s="504"/>
      <c r="N118" s="2914"/>
      <c r="O118" s="2914"/>
      <c r="P118" s="2905"/>
      <c r="Q118" s="2900"/>
      <c r="R118" s="2886"/>
      <c r="S118" s="2886"/>
      <c r="T118" s="2886"/>
      <c r="U118" s="2886"/>
      <c r="V118" s="2886"/>
      <c r="W118" s="2886"/>
      <c r="X118" s="2886"/>
      <c r="Y118" s="2886"/>
      <c r="Z118" s="2886"/>
      <c r="AA118" s="2886"/>
      <c r="AB118" s="2886"/>
      <c r="AC118" s="2886"/>
    </row>
    <row r="119" spans="1:29" ht="14.5" thickBot="1">
      <c r="A119" s="481"/>
      <c r="B119" s="490"/>
      <c r="C119" s="507"/>
      <c r="D119" s="483"/>
      <c r="E119" s="483"/>
      <c r="F119" s="483"/>
      <c r="G119" s="483"/>
      <c r="H119" s="483"/>
      <c r="I119" s="483"/>
      <c r="J119" s="483"/>
      <c r="K119" s="483"/>
      <c r="L119" s="483"/>
      <c r="M119" s="484"/>
      <c r="N119" s="2915"/>
      <c r="O119" s="2915"/>
      <c r="P119" s="2905"/>
      <c r="Q119" s="2900"/>
      <c r="R119" s="2886"/>
      <c r="S119" s="2886"/>
      <c r="T119" s="2886"/>
      <c r="U119" s="2886"/>
      <c r="V119" s="2886"/>
      <c r="W119" s="2886"/>
      <c r="X119" s="2886"/>
      <c r="Y119" s="2886"/>
      <c r="Z119" s="2886"/>
      <c r="AA119" s="2886"/>
      <c r="AB119" s="2886"/>
      <c r="AC119" s="2886"/>
    </row>
    <row r="120" spans="1:29" s="420" customFormat="1" ht="14.5" thickTop="1">
      <c r="A120" s="540"/>
      <c r="B120" s="485" t="s">
        <v>2265</v>
      </c>
      <c r="C120" s="530"/>
      <c r="D120" s="530"/>
      <c r="E120" s="530"/>
      <c r="F120" s="530"/>
      <c r="G120" s="502"/>
      <c r="H120" s="502"/>
      <c r="I120" s="502"/>
      <c r="J120" s="502"/>
      <c r="K120" s="502"/>
      <c r="L120" s="503"/>
      <c r="M120" s="504"/>
      <c r="N120" s="2916"/>
      <c r="O120" s="2916"/>
      <c r="P120" s="2906"/>
      <c r="Q120" s="2907"/>
      <c r="R120" s="2908"/>
      <c r="S120" s="2908"/>
      <c r="T120" s="2908"/>
      <c r="U120" s="2908"/>
      <c r="V120" s="2908"/>
      <c r="W120" s="2908"/>
      <c r="X120" s="2908"/>
      <c r="Y120" s="2908"/>
      <c r="Z120" s="2908"/>
      <c r="AA120" s="2908"/>
      <c r="AB120" s="2908"/>
      <c r="AC120" s="290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16"/>
      <c r="O121" s="2916"/>
      <c r="P121" s="2906"/>
      <c r="Q121" s="2907"/>
      <c r="R121" s="2908"/>
      <c r="S121" s="2908"/>
      <c r="T121" s="2908"/>
      <c r="U121" s="2908"/>
      <c r="V121" s="2908"/>
      <c r="W121" s="2908"/>
      <c r="X121" s="2908"/>
      <c r="Y121" s="2908"/>
      <c r="Z121" s="2908"/>
      <c r="AA121" s="2908"/>
      <c r="AB121" s="2908"/>
      <c r="AC121" s="2908"/>
    </row>
    <row r="122" spans="1:29" ht="14.5" thickTop="1">
      <c r="A122" s="546"/>
      <c r="B122" s="485" t="s">
        <v>2200</v>
      </c>
      <c r="C122" s="501"/>
      <c r="D122" s="501"/>
      <c r="E122" s="501"/>
      <c r="F122" s="530"/>
      <c r="G122" s="530"/>
      <c r="H122" s="530"/>
      <c r="I122" s="530"/>
      <c r="J122" s="530"/>
      <c r="K122" s="531"/>
      <c r="L122" s="532"/>
      <c r="M122" s="533"/>
      <c r="N122" s="2914"/>
      <c r="O122" s="2914"/>
      <c r="P122" s="2905"/>
      <c r="Q122" s="2900"/>
      <c r="R122" s="2886"/>
      <c r="S122" s="2886"/>
      <c r="T122" s="2886"/>
      <c r="U122" s="2886"/>
      <c r="V122" s="2886"/>
      <c r="W122" s="2886"/>
      <c r="X122" s="2886"/>
      <c r="Y122" s="2886"/>
      <c r="Z122" s="2886"/>
      <c r="AA122" s="2886"/>
      <c r="AB122" s="2886"/>
      <c r="AC122" s="288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15"/>
      <c r="O123" s="2915"/>
      <c r="P123" s="2905"/>
      <c r="Q123" s="2900"/>
      <c r="R123" s="2886"/>
      <c r="S123" s="2886"/>
      <c r="T123" s="2886"/>
      <c r="U123" s="2886"/>
      <c r="V123" s="2886"/>
      <c r="W123" s="2886"/>
      <c r="X123" s="2886"/>
      <c r="Y123" s="2886"/>
      <c r="Z123" s="2886"/>
      <c r="AA123" s="2886"/>
      <c r="AB123" s="2886"/>
      <c r="AC123" s="2886"/>
    </row>
    <row r="124" spans="1:29" ht="28.5" thickTop="1">
      <c r="A124" s="546"/>
      <c r="B124" s="485" t="s">
        <v>2201</v>
      </c>
      <c r="C124" s="525" t="s">
        <v>2177</v>
      </c>
      <c r="D124" s="525" t="s">
        <v>2178</v>
      </c>
      <c r="E124" s="525" t="s">
        <v>2179</v>
      </c>
      <c r="F124" s="525" t="s">
        <v>2180</v>
      </c>
      <c r="G124" s="525" t="s">
        <v>2181</v>
      </c>
      <c r="H124" s="486"/>
      <c r="I124" s="486"/>
      <c r="J124" s="486"/>
      <c r="K124" s="487"/>
      <c r="L124" s="488"/>
      <c r="M124" s="489"/>
      <c r="N124" s="2914"/>
      <c r="O124" s="2914"/>
      <c r="P124" s="2906"/>
      <c r="Q124" s="2900"/>
      <c r="R124" s="2886"/>
      <c r="S124" s="2886"/>
      <c r="T124" s="2886"/>
      <c r="U124" s="2886"/>
      <c r="V124" s="2886"/>
      <c r="W124" s="2886"/>
      <c r="X124" s="2886"/>
      <c r="Y124" s="2886"/>
      <c r="Z124" s="2886"/>
      <c r="AA124" s="2886"/>
      <c r="AB124" s="2886"/>
      <c r="AC124" s="288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15"/>
      <c r="O125" s="2915"/>
      <c r="P125" s="2905"/>
      <c r="Q125" s="2900"/>
      <c r="R125" s="2886"/>
      <c r="S125" s="2886"/>
      <c r="T125" s="2886"/>
      <c r="U125" s="2886"/>
      <c r="V125" s="2886"/>
      <c r="W125" s="2886"/>
      <c r="X125" s="2886"/>
      <c r="Y125" s="2886"/>
      <c r="Z125" s="2886"/>
      <c r="AA125" s="2886"/>
      <c r="AB125" s="2886"/>
      <c r="AC125" s="2886"/>
    </row>
    <row r="126" spans="1:29" s="420" customFormat="1" ht="14.5" thickTop="1">
      <c r="A126" s="540"/>
      <c r="B126" s="485">
        <f>B44</f>
        <v>111</v>
      </c>
      <c r="C126" s="501"/>
      <c r="D126" s="501"/>
      <c r="E126" s="501"/>
      <c r="F126" s="501"/>
      <c r="G126" s="501"/>
      <c r="H126" s="502"/>
      <c r="I126" s="502"/>
      <c r="J126" s="502"/>
      <c r="K126" s="502"/>
      <c r="L126" s="503"/>
      <c r="M126" s="504"/>
      <c r="N126" s="2916"/>
      <c r="O126" s="2916"/>
      <c r="P126" s="2906"/>
      <c r="Q126" s="2907"/>
      <c r="R126" s="2908"/>
      <c r="S126" s="2908"/>
      <c r="T126" s="2908"/>
      <c r="U126" s="2908"/>
      <c r="V126" s="2908"/>
      <c r="W126" s="2908"/>
      <c r="X126" s="2908"/>
      <c r="Y126" s="2908"/>
      <c r="Z126" s="2908"/>
      <c r="AA126" s="2908"/>
      <c r="AB126" s="2908"/>
      <c r="AC126" s="2908"/>
    </row>
    <row r="127" spans="1:29" s="420" customFormat="1" ht="14.5" thickBot="1">
      <c r="A127" s="500"/>
      <c r="B127" s="490"/>
      <c r="C127" s="507"/>
      <c r="D127" s="483"/>
      <c r="E127" s="483"/>
      <c r="F127" s="483"/>
      <c r="G127" s="507"/>
      <c r="H127" s="509"/>
      <c r="I127" s="509"/>
      <c r="J127" s="509"/>
      <c r="K127" s="509"/>
      <c r="L127" s="509"/>
      <c r="M127" s="510"/>
      <c r="N127" s="2916"/>
      <c r="O127" s="2916"/>
      <c r="P127" s="2906"/>
      <c r="Q127" s="2907"/>
      <c r="R127" s="2908"/>
      <c r="S127" s="2908"/>
      <c r="T127" s="2908"/>
      <c r="U127" s="2908"/>
      <c r="V127" s="2908"/>
      <c r="W127" s="2908"/>
      <c r="X127" s="2908"/>
      <c r="Y127" s="2908"/>
      <c r="Z127" s="2908"/>
      <c r="AA127" s="2908"/>
      <c r="AB127" s="2908"/>
      <c r="AC127" s="2908"/>
    </row>
    <row r="128" spans="1:29" ht="14.5" thickTop="1">
      <c r="A128" s="546"/>
      <c r="B128" s="485">
        <f>B45</f>
        <v>111</v>
      </c>
      <c r="C128" s="501"/>
      <c r="D128" s="501"/>
      <c r="E128" s="501"/>
      <c r="F128" s="501"/>
      <c r="G128" s="530"/>
      <c r="H128" s="530"/>
      <c r="I128" s="530"/>
      <c r="J128" s="530"/>
      <c r="K128" s="531"/>
      <c r="L128" s="532"/>
      <c r="M128" s="533"/>
      <c r="N128" s="2914"/>
      <c r="O128" s="2914"/>
      <c r="P128" s="2905"/>
      <c r="Q128" s="2900"/>
      <c r="R128" s="2886"/>
      <c r="S128" s="2886"/>
      <c r="T128" s="2886"/>
      <c r="U128" s="2886"/>
      <c r="V128" s="2886"/>
      <c r="W128" s="2886"/>
      <c r="X128" s="2886"/>
      <c r="Y128" s="2886"/>
      <c r="Z128" s="2886"/>
      <c r="AA128" s="2886"/>
      <c r="AB128" s="2886"/>
      <c r="AC128" s="2886"/>
    </row>
    <row r="129" spans="1:29" ht="14.5" thickBot="1">
      <c r="A129" s="481"/>
      <c r="B129" s="490"/>
      <c r="C129" s="507"/>
      <c r="D129" s="483"/>
      <c r="E129" s="483"/>
      <c r="F129" s="483"/>
      <c r="G129" s="483"/>
      <c r="H129" s="483"/>
      <c r="I129" s="483"/>
      <c r="J129" s="483"/>
      <c r="K129" s="483"/>
      <c r="L129" s="483"/>
      <c r="M129" s="484"/>
      <c r="N129" s="2915"/>
      <c r="O129" s="2915"/>
      <c r="P129" s="2905"/>
      <c r="Q129" s="2900"/>
      <c r="R129" s="2886"/>
      <c r="S129" s="2886"/>
      <c r="T129" s="2886"/>
      <c r="U129" s="2886"/>
      <c r="V129" s="2886"/>
      <c r="W129" s="2886"/>
      <c r="X129" s="2886"/>
      <c r="Y129" s="2886"/>
      <c r="Z129" s="2886"/>
      <c r="AA129" s="2886"/>
      <c r="AB129" s="2886"/>
      <c r="AC129" s="2886"/>
    </row>
    <row r="130" spans="1:29" ht="14.5" thickTop="1">
      <c r="A130" s="546"/>
      <c r="B130" s="493">
        <f>B46</f>
        <v>111</v>
      </c>
      <c r="C130" s="501"/>
      <c r="D130" s="501"/>
      <c r="E130" s="501"/>
      <c r="F130" s="501"/>
      <c r="G130" s="534"/>
      <c r="H130" s="534"/>
      <c r="I130" s="534"/>
      <c r="J130" s="534"/>
      <c r="K130" s="470"/>
      <c r="L130" s="471"/>
      <c r="M130" s="537"/>
      <c r="N130" s="2914"/>
      <c r="O130" s="2914"/>
      <c r="P130" s="2905"/>
      <c r="Q130" s="2900"/>
      <c r="R130" s="2886"/>
      <c r="S130" s="2886"/>
      <c r="T130" s="2886"/>
      <c r="U130" s="2886"/>
      <c r="V130" s="2886"/>
      <c r="W130" s="2886"/>
      <c r="X130" s="2886"/>
      <c r="Y130" s="2886"/>
      <c r="Z130" s="2886"/>
      <c r="AA130" s="2886"/>
      <c r="AB130" s="2886"/>
      <c r="AC130" s="2886"/>
    </row>
    <row r="131" spans="1:29" ht="14.5" thickBot="1">
      <c r="A131" s="2052"/>
      <c r="B131" s="516"/>
      <c r="C131" s="517"/>
      <c r="D131" s="517"/>
      <c r="E131" s="517"/>
      <c r="F131" s="517"/>
      <c r="G131" s="538"/>
      <c r="H131" s="538"/>
      <c r="I131" s="538"/>
      <c r="J131" s="538"/>
      <c r="K131" s="538"/>
      <c r="L131" s="538"/>
      <c r="M131" s="539"/>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00" customWidth="1"/>
    <col min="2" max="16384" width="9" style="1600"/>
  </cols>
  <sheetData>
    <row r="1" spans="1:1" ht="23">
      <c r="A1" s="1599" t="s">
        <v>1335</v>
      </c>
    </row>
    <row r="2" spans="1:1">
      <c r="A2" s="1601"/>
    </row>
    <row r="3" spans="1:1" ht="18">
      <c r="A3" s="1602" t="str">
        <f>项目基本情况!B5&amp;"："</f>
        <v>北京世纪金源大饭店有限责任公司：</v>
      </c>
    </row>
    <row r="4" spans="1:1" ht="35">
      <c r="A4" s="1603" t="str">
        <f>"受贵公司委托，我公司对"&amp;项目基本情况!S1&amp;"进行了预评估。"</f>
        <v>受贵公司委托，我公司对北京市海淀区板井路69号世纪金源大饭店房地产抵押价值进行了预评估。</v>
      </c>
    </row>
    <row r="5" spans="1:1" ht="18">
      <c r="A5" s="1604" t="s">
        <v>1336</v>
      </c>
    </row>
    <row r="6" spans="1:1" ht="17.5">
      <c r="A6" s="1605" t="s">
        <v>1337</v>
      </c>
    </row>
    <row r="7" spans="1:1" ht="52.5">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3.5">
      <c r="A8" s="1606" t="s">
        <v>1338</v>
      </c>
    </row>
    <row r="9" spans="1:1" ht="17.5">
      <c r="A9" s="1605" t="s">
        <v>1339</v>
      </c>
    </row>
    <row r="10" spans="1:1" ht="70">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1">
      <c r="A11" s="1606" t="s">
        <v>1340</v>
      </c>
    </row>
    <row r="12" spans="1:1" ht="18">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08" t="s">
        <v>1342</v>
      </c>
    </row>
    <row r="15" spans="1:1" ht="17.5">
      <c r="A15" s="1609" t="str">
        <f>TEXT(项目基本情况!D3,"yyyy年m月d日;;")&amp;IF(项目基本情况!D3=项目基本情况!B3,"（评估专业人员实地查勘之日）","")</f>
        <v>2022年5月11日（评估专业人员实地查勘之日）</v>
      </c>
    </row>
    <row r="16" spans="1:1" ht="18">
      <c r="A16" s="1608" t="s">
        <v>1343</v>
      </c>
    </row>
    <row r="17" spans="1:1" ht="70">
      <c r="A17" s="1603" t="s">
        <v>1344</v>
      </c>
    </row>
    <row r="18" spans="1:1" ht="70">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08" t="s">
        <v>1333</v>
      </c>
    </row>
    <row r="24" spans="1:1" ht="17.5">
      <c r="A24" s="1610" t="str">
        <f>"本次评估采用的主估价方法为"&amp;结果表!K4&amp;"和"&amp;结果表!L4&amp;"。"</f>
        <v>本次评估采用的主估价方法为成本法和收益法。</v>
      </c>
    </row>
    <row r="25" spans="1:1" ht="17.5">
      <c r="A25" s="1610"/>
    </row>
    <row r="26" spans="1:1" ht="1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1006"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2108</v>
      </c>
      <c r="B1" s="2081" t="s">
        <v>2266</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IF(C2="——",ROUND(C50*D3/10000,0),ROUND(C50*D3/10000,0)-D2)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IF(C2="——",C50,ROUND(B2*10000/D3,0))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696"/>
      <c r="Q3" s="696"/>
      <c r="R3" s="696"/>
      <c r="S3" s="696"/>
      <c r="T3" s="696"/>
      <c r="U3" s="696"/>
      <c r="V3" s="696"/>
      <c r="W3" s="696"/>
      <c r="X3" s="696"/>
      <c r="Y3" s="696"/>
      <c r="Z3" s="696"/>
      <c r="AA3" s="696"/>
      <c r="AB3" s="696"/>
      <c r="AC3" s="697"/>
    </row>
    <row r="4" spans="1:29">
      <c r="A4" s="351" t="s">
        <v>2225</v>
      </c>
      <c r="B4" s="352"/>
      <c r="C4" s="3501" t="s">
        <v>2226</v>
      </c>
      <c r="D4" s="3502"/>
      <c r="E4" s="3503" t="s">
        <v>2227</v>
      </c>
      <c r="F4" s="3504"/>
      <c r="G4" s="3501" t="s">
        <v>2228</v>
      </c>
      <c r="H4" s="3502"/>
      <c r="I4" s="3501" t="s">
        <v>2229</v>
      </c>
      <c r="J4" s="3502"/>
      <c r="K4" s="557" t="s">
        <v>2230</v>
      </c>
      <c r="L4" s="2876"/>
      <c r="M4" s="2877"/>
      <c r="N4" s="2877"/>
      <c r="O4" s="2877"/>
      <c r="P4" s="3568" t="s">
        <v>2231</v>
      </c>
      <c r="Q4" s="3569"/>
      <c r="R4" s="3563" t="s">
        <v>2227</v>
      </c>
      <c r="S4" s="3564"/>
      <c r="T4" s="3563" t="s">
        <v>2228</v>
      </c>
      <c r="U4" s="3564"/>
      <c r="V4" s="3572" t="s">
        <v>2229</v>
      </c>
      <c r="W4" s="3572"/>
      <c r="X4" s="2082"/>
      <c r="Y4" s="3563" t="s">
        <v>2231</v>
      </c>
      <c r="Z4" s="3564"/>
      <c r="AA4" s="3562" t="s">
        <v>2227</v>
      </c>
      <c r="AB4" s="3562" t="s">
        <v>2228</v>
      </c>
      <c r="AC4" s="3565" t="s">
        <v>2229</v>
      </c>
    </row>
    <row r="5" spans="1:29">
      <c r="A5" s="354"/>
      <c r="B5" s="355"/>
      <c r="C5" s="3494" t="s">
        <v>2122</v>
      </c>
      <c r="D5" s="3495"/>
      <c r="E5" s="3492" t="s">
        <v>2123</v>
      </c>
      <c r="F5" s="3493"/>
      <c r="G5" s="3494" t="s">
        <v>2124</v>
      </c>
      <c r="H5" s="3495"/>
      <c r="I5" s="3494" t="s">
        <v>2125</v>
      </c>
      <c r="J5" s="3495"/>
      <c r="K5" s="557"/>
      <c r="L5" s="2876"/>
      <c r="M5" s="2877"/>
      <c r="N5" s="2877"/>
      <c r="O5" s="2877"/>
      <c r="P5" s="3570"/>
      <c r="Q5" s="3508"/>
      <c r="R5" s="3490"/>
      <c r="S5" s="3491"/>
      <c r="T5" s="3490"/>
      <c r="U5" s="3491"/>
      <c r="V5" s="3513"/>
      <c r="W5" s="3513"/>
      <c r="X5" s="1477"/>
      <c r="Y5" s="3490"/>
      <c r="Z5" s="3491"/>
      <c r="AA5" s="3484"/>
      <c r="AB5" s="3484"/>
      <c r="AC5" s="3566"/>
    </row>
    <row r="6" spans="1:29" ht="15" thickBot="1">
      <c r="A6" s="356"/>
      <c r="B6" s="357"/>
      <c r="C6" s="3496" t="s">
        <v>2126</v>
      </c>
      <c r="D6" s="3497"/>
      <c r="E6" s="3498" t="s">
        <v>2126</v>
      </c>
      <c r="F6" s="3499"/>
      <c r="G6" s="3496" t="s">
        <v>2126</v>
      </c>
      <c r="H6" s="3497"/>
      <c r="I6" s="3496" t="s">
        <v>2126</v>
      </c>
      <c r="J6" s="3497"/>
      <c r="K6" s="557" t="s">
        <v>2127</v>
      </c>
      <c r="L6" s="2876"/>
      <c r="M6" s="2877"/>
      <c r="N6" s="2877"/>
      <c r="O6" s="2877"/>
      <c r="P6" s="3571"/>
      <c r="Q6" s="3510"/>
      <c r="R6" s="3490"/>
      <c r="S6" s="3491"/>
      <c r="T6" s="3511"/>
      <c r="U6" s="3512"/>
      <c r="V6" s="3513"/>
      <c r="W6" s="3513"/>
      <c r="X6" s="1477"/>
      <c r="Y6" s="3511"/>
      <c r="Z6" s="3512"/>
      <c r="AA6" s="3485"/>
      <c r="AB6" s="3485"/>
      <c r="AC6" s="3567"/>
    </row>
    <row r="7" spans="1:29" s="110" customFormat="1" ht="14.5" thickBot="1">
      <c r="A7" s="358" t="s">
        <v>2128</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78"/>
      <c r="M7" s="2879"/>
      <c r="N7" s="2879"/>
      <c r="O7" s="2879"/>
      <c r="P7" s="3573" t="s">
        <v>2129</v>
      </c>
      <c r="Q7" s="3514"/>
      <c r="R7" s="698" t="s">
        <v>17</v>
      </c>
      <c r="S7" s="699">
        <f t="shared" ref="S7:S15" si="0">F7</f>
        <v>0</v>
      </c>
      <c r="T7" s="698" t="s">
        <v>17</v>
      </c>
      <c r="U7" s="699">
        <f t="shared" ref="U7:U15" si="1">H7</f>
        <v>0</v>
      </c>
      <c r="V7" s="698" t="s">
        <v>17</v>
      </c>
      <c r="W7" s="699">
        <f t="shared" ref="W7:W15" si="2">J7</f>
        <v>0</v>
      </c>
      <c r="X7" s="700"/>
      <c r="Y7" s="3486" t="s">
        <v>2129</v>
      </c>
      <c r="Z7" s="3487"/>
      <c r="AA7" s="701" t="e">
        <f>D7/F7</f>
        <v>#DIV/0!</v>
      </c>
      <c r="AB7" s="701" t="e">
        <f>D7/H7</f>
        <v>#DIV/0!</v>
      </c>
      <c r="AC7" s="2083" t="e">
        <f>D7/J7</f>
        <v>#DIV/0!</v>
      </c>
    </row>
    <row r="8" spans="1:29" s="110" customFormat="1" ht="14.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558"/>
      <c r="L8" s="2878"/>
      <c r="M8" s="2879"/>
      <c r="N8" s="2879"/>
      <c r="O8" s="2879"/>
      <c r="P8" s="3573" t="s">
        <v>2132</v>
      </c>
      <c r="Q8" s="3487"/>
      <c r="R8" s="698" t="s">
        <v>17</v>
      </c>
      <c r="S8" s="699">
        <f t="shared" si="0"/>
        <v>0</v>
      </c>
      <c r="T8" s="698" t="s">
        <v>17</v>
      </c>
      <c r="U8" s="699">
        <f t="shared" si="1"/>
        <v>0</v>
      </c>
      <c r="V8" s="698" t="s">
        <v>17</v>
      </c>
      <c r="W8" s="699">
        <f t="shared" si="2"/>
        <v>0</v>
      </c>
      <c r="X8" s="700"/>
      <c r="Y8" s="3486" t="s">
        <v>2132</v>
      </c>
      <c r="Z8" s="3487"/>
      <c r="AA8" s="701" t="e">
        <f t="shared" ref="AA8:AA47" si="3">D8/F8</f>
        <v>#DIV/0!</v>
      </c>
      <c r="AB8" s="701" t="e">
        <f t="shared" ref="AB8:AB47" si="4">D8/H8</f>
        <v>#DIV/0!</v>
      </c>
      <c r="AC8" s="2083" t="e">
        <f t="shared" ref="AC8:AC47" si="5">D8/J8</f>
        <v>#DIV/0!</v>
      </c>
    </row>
    <row r="9" spans="1:29" s="110" customFormat="1">
      <c r="A9" s="365" t="s">
        <v>2133</v>
      </c>
      <c r="B9" s="67" t="s">
        <v>2134</v>
      </c>
      <c r="C9" s="366"/>
      <c r="D9" s="121">
        <v>100</v>
      </c>
      <c r="E9" s="369"/>
      <c r="F9" s="121">
        <f>SUMIF(64:64,E9,65:65)-SUMIF(64:64,C9,65:65)+100</f>
        <v>100</v>
      </c>
      <c r="G9" s="367"/>
      <c r="H9" s="121">
        <f>SUMIF(64:64,G9,65:65)-SUMIF(64:64,C9,65:65)+100</f>
        <v>100</v>
      </c>
      <c r="I9" s="367"/>
      <c r="J9" s="121">
        <f>SUMIF(64:64,I9,65:65)-SUMIF(64:64,C9,65:65)+100</f>
        <v>100</v>
      </c>
      <c r="K9" s="558"/>
      <c r="L9" s="2878"/>
      <c r="M9" s="2879"/>
      <c r="N9" s="2879"/>
      <c r="O9" s="2879"/>
      <c r="P9" s="3524" t="s">
        <v>2135</v>
      </c>
      <c r="Q9" s="1465" t="str">
        <f t="shared" ref="Q9:Q15" si="6">B9</f>
        <v>用途</v>
      </c>
      <c r="R9" s="698" t="s">
        <v>17</v>
      </c>
      <c r="S9" s="699">
        <f t="shared" si="0"/>
        <v>100</v>
      </c>
      <c r="T9" s="698" t="s">
        <v>17</v>
      </c>
      <c r="U9" s="699">
        <f t="shared" si="1"/>
        <v>100</v>
      </c>
      <c r="V9" s="698" t="s">
        <v>17</v>
      </c>
      <c r="W9" s="699">
        <f t="shared" si="2"/>
        <v>100</v>
      </c>
      <c r="X9" s="700"/>
      <c r="Y9" s="3459" t="s">
        <v>2136</v>
      </c>
      <c r="Z9" s="55" t="str">
        <f t="shared" ref="Z9:Z15" si="7">Q9</f>
        <v>用途</v>
      </c>
      <c r="AA9" s="701">
        <f t="shared" si="3"/>
        <v>1</v>
      </c>
      <c r="AB9" s="701">
        <f t="shared" si="4"/>
        <v>1</v>
      </c>
      <c r="AC9" s="2083">
        <f t="shared" si="5"/>
        <v>1</v>
      </c>
    </row>
    <row r="10" spans="1:29" s="376" customFormat="1" ht="28">
      <c r="A10" s="370"/>
      <c r="B10" s="371" t="s">
        <v>2137</v>
      </c>
      <c r="C10" s="372"/>
      <c r="D10" s="122">
        <v>100</v>
      </c>
      <c r="E10" s="372"/>
      <c r="F10" s="122">
        <f>SUMIF(66:66,E10,67:67)-SUMIF(66:66,C10,67:67)+100</f>
        <v>100</v>
      </c>
      <c r="G10" s="373"/>
      <c r="H10" s="122">
        <f>SUMIF(66:66,G10,67:67)-SUMIF(66:66,C10,67:67)+100</f>
        <v>100</v>
      </c>
      <c r="I10" s="372"/>
      <c r="J10" s="122">
        <f>SUMIF(66:66,I10,67:67)-SUMIF(66:66,C10,67:67)+100</f>
        <v>100</v>
      </c>
      <c r="K10" s="559"/>
      <c r="L10" s="2880"/>
      <c r="M10" s="2881"/>
      <c r="N10" s="2881"/>
      <c r="O10" s="2881"/>
      <c r="P10" s="3524"/>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2083">
        <f t="shared" si="5"/>
        <v>1</v>
      </c>
    </row>
    <row r="11" spans="1:29" ht="15.5">
      <c r="A11" s="377"/>
      <c r="B11" s="371" t="s">
        <v>2138</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82"/>
      <c r="M11" s="2877"/>
      <c r="N11" s="2877"/>
      <c r="O11" s="2877"/>
      <c r="P11" s="3524"/>
      <c r="Q11" s="1465" t="str">
        <f t="shared" si="6"/>
        <v>容积率</v>
      </c>
      <c r="R11" s="698" t="s">
        <v>17</v>
      </c>
      <c r="S11" s="699" t="e">
        <f t="shared" si="0"/>
        <v>#N/A</v>
      </c>
      <c r="T11" s="698" t="s">
        <v>17</v>
      </c>
      <c r="U11" s="699" t="e">
        <f t="shared" si="1"/>
        <v>#N/A</v>
      </c>
      <c r="V11" s="698" t="s">
        <v>17</v>
      </c>
      <c r="W11" s="699" t="e">
        <f t="shared" si="2"/>
        <v>#N/A</v>
      </c>
      <c r="X11" s="700"/>
      <c r="Y11" s="3459"/>
      <c r="Z11" s="55" t="str">
        <f t="shared" si="7"/>
        <v>容积率</v>
      </c>
      <c r="AA11" s="701" t="e">
        <f t="shared" si="3"/>
        <v>#N/A</v>
      </c>
      <c r="AB11" s="701" t="e">
        <f t="shared" si="4"/>
        <v>#N/A</v>
      </c>
      <c r="AC11" s="2083" t="e">
        <f t="shared" si="5"/>
        <v>#N/A</v>
      </c>
    </row>
    <row r="12" spans="1:29" s="110" customFormat="1" ht="15.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78"/>
      <c r="M12" s="2879"/>
      <c r="N12" s="2879"/>
      <c r="O12" s="2879"/>
      <c r="P12" s="3524"/>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2083">
        <f>D12/J12</f>
        <v>1</v>
      </c>
    </row>
    <row r="13" spans="1:29" ht="15.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83"/>
      <c r="M13" s="2877"/>
      <c r="N13" s="2877"/>
      <c r="O13" s="2877"/>
      <c r="P13" s="3524"/>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2083">
        <f t="shared" si="5"/>
        <v>1</v>
      </c>
    </row>
    <row r="14" spans="1:29" ht="16"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83"/>
      <c r="M14" s="2877"/>
      <c r="N14" s="2877"/>
      <c r="O14" s="2877"/>
      <c r="P14" s="3524"/>
      <c r="Q14" s="1465">
        <f t="shared" si="6"/>
        <v>111</v>
      </c>
      <c r="R14" s="698" t="s">
        <v>17</v>
      </c>
      <c r="S14" s="699">
        <f t="shared" si="0"/>
        <v>100</v>
      </c>
      <c r="T14" s="698" t="s">
        <v>17</v>
      </c>
      <c r="U14" s="699">
        <f t="shared" si="1"/>
        <v>100</v>
      </c>
      <c r="V14" s="698" t="s">
        <v>17</v>
      </c>
      <c r="W14" s="699">
        <f t="shared" si="2"/>
        <v>100</v>
      </c>
      <c r="X14" s="700"/>
      <c r="Y14" s="3459"/>
      <c r="Z14" s="55">
        <f t="shared" si="7"/>
        <v>111</v>
      </c>
      <c r="AA14" s="701">
        <f t="shared" si="3"/>
        <v>1</v>
      </c>
      <c r="AB14" s="701">
        <f t="shared" si="4"/>
        <v>1</v>
      </c>
      <c r="AC14" s="2083">
        <f t="shared" si="5"/>
        <v>1</v>
      </c>
    </row>
    <row r="15" spans="1:29" ht="15.5">
      <c r="A15" s="389" t="s">
        <v>2139</v>
      </c>
      <c r="B15" s="575" t="s">
        <v>2267</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83"/>
      <c r="M15" s="2877"/>
      <c r="N15" s="2877"/>
      <c r="O15" s="2877"/>
      <c r="P15" s="3560" t="s">
        <v>2140</v>
      </c>
      <c r="Q15" s="1474" t="str">
        <f t="shared" si="6"/>
        <v>办公集聚程度</v>
      </c>
      <c r="R15" s="702" t="s">
        <v>17</v>
      </c>
      <c r="S15" s="703">
        <f t="shared" si="0"/>
        <v>100</v>
      </c>
      <c r="T15" s="702" t="s">
        <v>17</v>
      </c>
      <c r="U15" s="703">
        <f t="shared" si="1"/>
        <v>100</v>
      </c>
      <c r="V15" s="702" t="s">
        <v>17</v>
      </c>
      <c r="W15" s="703">
        <f t="shared" si="2"/>
        <v>100</v>
      </c>
      <c r="X15" s="1477"/>
      <c r="Y15" s="3515" t="s">
        <v>2140</v>
      </c>
      <c r="Z15" s="1478" t="str">
        <f t="shared" si="7"/>
        <v>办公集聚程度</v>
      </c>
      <c r="AA15" s="1475">
        <f t="shared" si="3"/>
        <v>1</v>
      </c>
      <c r="AB15" s="1475">
        <f t="shared" si="4"/>
        <v>1</v>
      </c>
      <c r="AC15" s="2086">
        <f t="shared" si="5"/>
        <v>1</v>
      </c>
    </row>
    <row r="16" spans="1:29" ht="15.5">
      <c r="A16" s="377"/>
      <c r="B16" s="576"/>
      <c r="C16" s="2028"/>
      <c r="D16" s="397"/>
      <c r="E16" s="396"/>
      <c r="F16" s="397"/>
      <c r="G16" s="2028"/>
      <c r="H16" s="399"/>
      <c r="I16" s="396"/>
      <c r="J16" s="397"/>
      <c r="K16" s="562"/>
      <c r="L16" s="2883"/>
      <c r="M16" s="2877"/>
      <c r="N16" s="2877"/>
      <c r="O16" s="2877"/>
      <c r="P16" s="3561"/>
      <c r="Q16" s="1474"/>
      <c r="R16" s="702"/>
      <c r="S16" s="703"/>
      <c r="T16" s="702"/>
      <c r="U16" s="703"/>
      <c r="V16" s="702"/>
      <c r="W16" s="703"/>
      <c r="X16" s="1477"/>
      <c r="Y16" s="3516"/>
      <c r="Z16" s="1478"/>
      <c r="AA16" s="1475">
        <v>1</v>
      </c>
      <c r="AB16" s="1475">
        <v>1</v>
      </c>
      <c r="AC16" s="2086">
        <v>1</v>
      </c>
    </row>
    <row r="17" spans="1:29" ht="84">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83"/>
      <c r="M17" s="2877"/>
      <c r="N17" s="2877"/>
      <c r="O17" s="2877"/>
      <c r="P17" s="3561"/>
      <c r="Q17" s="1474" t="str">
        <f>B17</f>
        <v>交通便捷度</v>
      </c>
      <c r="R17" s="702" t="s">
        <v>17</v>
      </c>
      <c r="S17" s="703">
        <f>F17</f>
        <v>100</v>
      </c>
      <c r="T17" s="702" t="s">
        <v>17</v>
      </c>
      <c r="U17" s="703">
        <f>H17</f>
        <v>100</v>
      </c>
      <c r="V17" s="702" t="s">
        <v>17</v>
      </c>
      <c r="W17" s="703">
        <f>J17</f>
        <v>100</v>
      </c>
      <c r="X17" s="1477"/>
      <c r="Y17" s="3516"/>
      <c r="Z17" s="1478" t="str">
        <f>Q17</f>
        <v>交通便捷度</v>
      </c>
      <c r="AA17" s="1475">
        <f t="shared" si="3"/>
        <v>1</v>
      </c>
      <c r="AB17" s="1475">
        <f t="shared" si="4"/>
        <v>1</v>
      </c>
      <c r="AC17" s="2086">
        <f t="shared" si="5"/>
        <v>1</v>
      </c>
    </row>
    <row r="18" spans="1:29" ht="15.5">
      <c r="A18" s="377"/>
      <c r="B18" s="578"/>
      <c r="C18" s="2088"/>
      <c r="D18" s="399"/>
      <c r="E18" s="2026"/>
      <c r="F18" s="399"/>
      <c r="G18" s="2027"/>
      <c r="H18" s="397"/>
      <c r="I18" s="2027"/>
      <c r="J18" s="397"/>
      <c r="K18" s="562"/>
      <c r="L18" s="2883"/>
      <c r="M18" s="2877"/>
      <c r="N18" s="2877"/>
      <c r="O18" s="2877"/>
      <c r="P18" s="3561"/>
      <c r="Q18" s="1474"/>
      <c r="R18" s="702"/>
      <c r="S18" s="703"/>
      <c r="T18" s="702"/>
      <c r="U18" s="703"/>
      <c r="V18" s="702"/>
      <c r="W18" s="703"/>
      <c r="X18" s="1477"/>
      <c r="Y18" s="3516"/>
      <c r="Z18" s="1478"/>
      <c r="AA18" s="1475">
        <v>1</v>
      </c>
      <c r="AB18" s="1475">
        <v>1</v>
      </c>
      <c r="AC18" s="2086">
        <v>1</v>
      </c>
    </row>
    <row r="19" spans="1:29" ht="42">
      <c r="A19" s="377"/>
      <c r="B19" s="577" t="s">
        <v>2268</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83"/>
      <c r="M19" s="2877"/>
      <c r="N19" s="2877"/>
      <c r="O19" s="2877"/>
      <c r="P19" s="3561"/>
      <c r="Q19" s="1474" t="str">
        <f>B19</f>
        <v>公共配套设施</v>
      </c>
      <c r="R19" s="702" t="s">
        <v>17</v>
      </c>
      <c r="S19" s="703">
        <f>F19</f>
        <v>100</v>
      </c>
      <c r="T19" s="702" t="s">
        <v>17</v>
      </c>
      <c r="U19" s="703">
        <f>H19</f>
        <v>100</v>
      </c>
      <c r="V19" s="702" t="s">
        <v>17</v>
      </c>
      <c r="W19" s="703">
        <f>J19</f>
        <v>100</v>
      </c>
      <c r="X19" s="1477"/>
      <c r="Y19" s="3516"/>
      <c r="Z19" s="1478" t="str">
        <f>Q19</f>
        <v>公共配套设施</v>
      </c>
      <c r="AA19" s="1475">
        <f t="shared" si="3"/>
        <v>1</v>
      </c>
      <c r="AB19" s="1475">
        <f t="shared" si="4"/>
        <v>1</v>
      </c>
      <c r="AC19" s="2086">
        <f t="shared" si="5"/>
        <v>1</v>
      </c>
    </row>
    <row r="20" spans="1:29" ht="15.5">
      <c r="A20" s="377"/>
      <c r="B20" s="578"/>
      <c r="C20" s="2028"/>
      <c r="D20" s="397"/>
      <c r="E20" s="2021"/>
      <c r="F20" s="397"/>
      <c r="G20" s="2022"/>
      <c r="H20" s="397"/>
      <c r="I20" s="2022"/>
      <c r="J20" s="397"/>
      <c r="K20" s="562"/>
      <c r="L20" s="2883"/>
      <c r="M20" s="2877"/>
      <c r="N20" s="2877"/>
      <c r="O20" s="2877"/>
      <c r="P20" s="3561"/>
      <c r="Q20" s="1474"/>
      <c r="R20" s="702"/>
      <c r="S20" s="703"/>
      <c r="T20" s="702"/>
      <c r="U20" s="703"/>
      <c r="V20" s="702"/>
      <c r="W20" s="703"/>
      <c r="X20" s="1477"/>
      <c r="Y20" s="3516"/>
      <c r="Z20" s="1478"/>
      <c r="AA20" s="1475">
        <v>1</v>
      </c>
      <c r="AB20" s="1475">
        <v>1</v>
      </c>
      <c r="AC20" s="2086">
        <v>1</v>
      </c>
    </row>
    <row r="21" spans="1:29" ht="15.5">
      <c r="A21" s="377"/>
      <c r="B21" s="579" t="s">
        <v>2269</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83"/>
      <c r="M21" s="2877"/>
      <c r="N21" s="2877"/>
      <c r="O21" s="2877"/>
      <c r="P21" s="3561"/>
      <c r="Q21" s="1474" t="str">
        <f>B21</f>
        <v>基础设施水平</v>
      </c>
      <c r="R21" s="702" t="s">
        <v>17</v>
      </c>
      <c r="S21" s="703">
        <f>F21</f>
        <v>100</v>
      </c>
      <c r="T21" s="702" t="s">
        <v>17</v>
      </c>
      <c r="U21" s="703">
        <f>H21</f>
        <v>100</v>
      </c>
      <c r="V21" s="702" t="s">
        <v>17</v>
      </c>
      <c r="W21" s="703">
        <f>J21</f>
        <v>100</v>
      </c>
      <c r="X21" s="1477"/>
      <c r="Y21" s="3516"/>
      <c r="Z21" s="1478" t="str">
        <f>Q21</f>
        <v>基础设施水平</v>
      </c>
      <c r="AA21" s="1475">
        <f t="shared" ref="AA21" si="8">D21/F21</f>
        <v>1</v>
      </c>
      <c r="AB21" s="1475">
        <f t="shared" ref="AB21" si="9">D21/H21</f>
        <v>1</v>
      </c>
      <c r="AC21" s="2086">
        <f t="shared" ref="AC21" si="10">D21/J21</f>
        <v>1</v>
      </c>
    </row>
    <row r="22" spans="1:29" ht="15.5">
      <c r="A22" s="377"/>
      <c r="B22" s="579"/>
      <c r="C22" s="2088"/>
      <c r="D22" s="397"/>
      <c r="E22" s="396"/>
      <c r="F22" s="397"/>
      <c r="G22" s="2028"/>
      <c r="H22" s="397"/>
      <c r="I22" s="2028"/>
      <c r="J22" s="397"/>
      <c r="K22" s="1233"/>
      <c r="L22" s="2883"/>
      <c r="M22" s="2877"/>
      <c r="N22" s="2877"/>
      <c r="O22" s="2877"/>
      <c r="P22" s="3561"/>
      <c r="Q22" s="1474"/>
      <c r="R22" s="702"/>
      <c r="S22" s="703"/>
      <c r="T22" s="702"/>
      <c r="U22" s="703"/>
      <c r="V22" s="702"/>
      <c r="W22" s="703"/>
      <c r="X22" s="1477"/>
      <c r="Y22" s="3516"/>
      <c r="Z22" s="1478"/>
      <c r="AA22" s="1475">
        <v>1</v>
      </c>
      <c r="AB22" s="1475">
        <v>1</v>
      </c>
      <c r="AC22" s="2086">
        <v>1</v>
      </c>
    </row>
    <row r="23" spans="1:29" ht="84">
      <c r="A23" s="377"/>
      <c r="B23" s="577" t="s">
        <v>2270</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83"/>
      <c r="M23" s="2877"/>
      <c r="N23" s="2877"/>
      <c r="O23" s="2877"/>
      <c r="P23" s="3561"/>
      <c r="Q23" s="1474" t="str">
        <f>B23</f>
        <v>环境质量</v>
      </c>
      <c r="R23" s="702" t="s">
        <v>17</v>
      </c>
      <c r="S23" s="703">
        <f>F23</f>
        <v>100</v>
      </c>
      <c r="T23" s="702" t="s">
        <v>17</v>
      </c>
      <c r="U23" s="703">
        <f>H23</f>
        <v>100</v>
      </c>
      <c r="V23" s="702" t="s">
        <v>17</v>
      </c>
      <c r="W23" s="703">
        <f>J23</f>
        <v>100</v>
      </c>
      <c r="X23" s="1477"/>
      <c r="Y23" s="3516"/>
      <c r="Z23" s="1478" t="str">
        <f>Q23</f>
        <v>环境质量</v>
      </c>
      <c r="AA23" s="1475">
        <f t="shared" si="3"/>
        <v>1</v>
      </c>
      <c r="AB23" s="1475">
        <f t="shared" si="4"/>
        <v>1</v>
      </c>
      <c r="AC23" s="2086">
        <f t="shared" si="5"/>
        <v>1</v>
      </c>
    </row>
    <row r="24" spans="1:29" ht="15.5">
      <c r="A24" s="377"/>
      <c r="B24" s="579"/>
      <c r="C24" s="2028"/>
      <c r="D24" s="397"/>
      <c r="E24" s="2021"/>
      <c r="F24" s="397"/>
      <c r="G24" s="2022"/>
      <c r="H24" s="397"/>
      <c r="I24" s="2022"/>
      <c r="J24" s="397"/>
      <c r="K24" s="562"/>
      <c r="L24" s="2883"/>
      <c r="M24" s="2877"/>
      <c r="N24" s="2877"/>
      <c r="O24" s="2877"/>
      <c r="P24" s="3561"/>
      <c r="Q24" s="1474"/>
      <c r="R24" s="702"/>
      <c r="S24" s="703"/>
      <c r="T24" s="702"/>
      <c r="U24" s="703"/>
      <c r="V24" s="702"/>
      <c r="W24" s="703"/>
      <c r="X24" s="1477"/>
      <c r="Y24" s="3516"/>
      <c r="Z24" s="1478"/>
      <c r="AA24" s="1475">
        <v>1</v>
      </c>
      <c r="AB24" s="1475">
        <v>1</v>
      </c>
      <c r="AC24" s="2086">
        <v>1</v>
      </c>
    </row>
    <row r="25" spans="1:29" ht="28">
      <c r="A25" s="354"/>
      <c r="B25" s="577" t="s">
        <v>2271</v>
      </c>
      <c r="C25" s="2032"/>
      <c r="D25" s="384">
        <v>100</v>
      </c>
      <c r="E25" s="383"/>
      <c r="F25" s="384">
        <f>SUMIF(87:87,E26,88:88)-SUMIF(87:87,C26,88:88)+100</f>
        <v>100</v>
      </c>
      <c r="G25" s="2032"/>
      <c r="H25" s="384">
        <f>SUMIF(87:87,G26,88:88)-SUMIF(87:87,C26,88:88)+100</f>
        <v>100</v>
      </c>
      <c r="I25" s="383"/>
      <c r="J25" s="384">
        <f>SUMIF(87:87,I26,88:88)-SUMIF(87:87,C26,88:88)+100</f>
        <v>100</v>
      </c>
      <c r="K25" s="561"/>
      <c r="L25" s="2883"/>
      <c r="M25" s="2877"/>
      <c r="N25" s="2877"/>
      <c r="O25" s="2877"/>
      <c r="P25" s="3561"/>
      <c r="Q25" s="1474" t="str">
        <f>B25</f>
        <v>毗邻道路的类型与等级</v>
      </c>
      <c r="R25" s="702" t="s">
        <v>17</v>
      </c>
      <c r="S25" s="703">
        <f>F25</f>
        <v>100</v>
      </c>
      <c r="T25" s="702" t="s">
        <v>17</v>
      </c>
      <c r="U25" s="703">
        <f>H25</f>
        <v>100</v>
      </c>
      <c r="V25" s="702" t="s">
        <v>17</v>
      </c>
      <c r="W25" s="703">
        <f>J25</f>
        <v>100</v>
      </c>
      <c r="X25" s="1477"/>
      <c r="Y25" s="3516"/>
      <c r="Z25" s="1478" t="str">
        <f>Q25</f>
        <v>毗邻道路的类型与等级</v>
      </c>
      <c r="AA25" s="1475">
        <f t="shared" si="3"/>
        <v>1</v>
      </c>
      <c r="AB25" s="1475">
        <f t="shared" si="4"/>
        <v>1</v>
      </c>
      <c r="AC25" s="2086">
        <f t="shared" si="5"/>
        <v>1</v>
      </c>
    </row>
    <row r="26" spans="1:29" ht="15.5">
      <c r="A26" s="354"/>
      <c r="B26" s="578"/>
      <c r="C26" s="580"/>
      <c r="D26" s="384"/>
      <c r="E26" s="563"/>
      <c r="F26" s="384"/>
      <c r="G26" s="580"/>
      <c r="H26" s="384"/>
      <c r="I26" s="563"/>
      <c r="J26" s="384"/>
      <c r="K26" s="562"/>
      <c r="L26" s="2883"/>
      <c r="M26" s="2877"/>
      <c r="N26" s="2877"/>
      <c r="O26" s="2877"/>
      <c r="P26" s="3561"/>
      <c r="Q26" s="1474"/>
      <c r="R26" s="702"/>
      <c r="S26" s="703"/>
      <c r="T26" s="702"/>
      <c r="U26" s="703"/>
      <c r="V26" s="702"/>
      <c r="W26" s="703"/>
      <c r="X26" s="1477"/>
      <c r="Y26" s="3516"/>
      <c r="Z26" s="1478"/>
      <c r="AA26" s="1475">
        <v>1</v>
      </c>
      <c r="AB26" s="1475">
        <v>1</v>
      </c>
      <c r="AC26" s="2086">
        <v>1</v>
      </c>
    </row>
    <row r="27" spans="1:29" ht="15.5">
      <c r="A27" s="377"/>
      <c r="B27" s="578" t="s">
        <v>2239</v>
      </c>
      <c r="C27" s="580"/>
      <c r="D27" s="384">
        <v>100</v>
      </c>
      <c r="E27" s="563"/>
      <c r="F27" s="384">
        <f>SUMIF(89:89,E27,90:90)-SUMIF(89:89,C27,90:90)+100</f>
        <v>100</v>
      </c>
      <c r="G27" s="580"/>
      <c r="H27" s="384">
        <f>SUMIF(89:89,G27,90:90)-SUMIF(89:89,C27,90:90)+100</f>
        <v>100</v>
      </c>
      <c r="I27" s="563"/>
      <c r="J27" s="384">
        <f>SUMIF(89:89,I27,90:90)-SUMIF(89:89,C27,90:90)+100</f>
        <v>100</v>
      </c>
      <c r="K27" s="559"/>
      <c r="L27" s="2883"/>
      <c r="M27" s="2877"/>
      <c r="N27" s="2877"/>
      <c r="O27" s="2877"/>
      <c r="P27" s="3561"/>
      <c r="Q27" s="1474" t="str">
        <f t="shared" ref="Q27:Q47" si="11">B27</f>
        <v>楼层</v>
      </c>
      <c r="R27" s="702" t="s">
        <v>17</v>
      </c>
      <c r="S27" s="703">
        <f>F27</f>
        <v>100</v>
      </c>
      <c r="T27" s="702" t="s">
        <v>17</v>
      </c>
      <c r="U27" s="703">
        <f>H27</f>
        <v>100</v>
      </c>
      <c r="V27" s="702" t="s">
        <v>17</v>
      </c>
      <c r="W27" s="703">
        <f>J27</f>
        <v>100</v>
      </c>
      <c r="X27" s="1477"/>
      <c r="Y27" s="3516"/>
      <c r="Z27" s="1478" t="str">
        <f>Q27</f>
        <v>楼层</v>
      </c>
      <c r="AA27" s="1475">
        <f t="shared" si="3"/>
        <v>1</v>
      </c>
      <c r="AB27" s="1475">
        <f t="shared" si="4"/>
        <v>1</v>
      </c>
      <c r="AC27" s="2086">
        <f t="shared" si="5"/>
        <v>1</v>
      </c>
    </row>
    <row r="28" spans="1:29" s="110" customFormat="1" ht="15.5">
      <c r="A28" s="380"/>
      <c r="B28" s="577" t="s">
        <v>2272</v>
      </c>
      <c r="C28" s="2089"/>
      <c r="D28" s="411">
        <v>100</v>
      </c>
      <c r="E28" s="2080"/>
      <c r="F28" s="411">
        <f>SUMIF(91:91,E28,92:92)-SUMIF(91:91,C28,92:92)+100</f>
        <v>100</v>
      </c>
      <c r="G28" s="2089"/>
      <c r="H28" s="411">
        <f>SUMIF(91:91,G28,92:92)-SUMIF(91:91,C28,92:92)+100</f>
        <v>100</v>
      </c>
      <c r="I28" s="2080"/>
      <c r="J28" s="411">
        <f>SUMIF(91:91,I28,92:92)-SUMIF(91:91,C28,92:92)+100</f>
        <v>100</v>
      </c>
      <c r="K28" s="559"/>
      <c r="L28" s="2878"/>
      <c r="M28" s="2879"/>
      <c r="N28" s="2879"/>
      <c r="O28" s="2879"/>
      <c r="P28" s="3561"/>
      <c r="Q28" s="1465" t="str">
        <f t="shared" si="11"/>
        <v>朝向</v>
      </c>
      <c r="R28" s="698" t="s">
        <v>17</v>
      </c>
      <c r="S28" s="699">
        <f>F28</f>
        <v>100</v>
      </c>
      <c r="T28" s="698" t="s">
        <v>17</v>
      </c>
      <c r="U28" s="699">
        <f>H28</f>
        <v>100</v>
      </c>
      <c r="V28" s="698" t="s">
        <v>17</v>
      </c>
      <c r="W28" s="699">
        <f>J28</f>
        <v>100</v>
      </c>
      <c r="X28" s="700"/>
      <c r="Y28" s="3516"/>
      <c r="Z28" s="55" t="str">
        <f>Q28</f>
        <v>朝向</v>
      </c>
      <c r="AA28" s="1475">
        <f>D28/F28</f>
        <v>1</v>
      </c>
      <c r="AB28" s="1475">
        <f>D28/H28</f>
        <v>1</v>
      </c>
      <c r="AC28" s="2086">
        <f>D28/J28</f>
        <v>1</v>
      </c>
    </row>
    <row r="29" spans="1:29" ht="15.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83"/>
      <c r="M29" s="2877"/>
      <c r="N29" s="2877"/>
      <c r="O29" s="2877"/>
      <c r="P29" s="3561"/>
      <c r="Q29" s="1474">
        <f t="shared" si="11"/>
        <v>111</v>
      </c>
      <c r="R29" s="702" t="s">
        <v>17</v>
      </c>
      <c r="S29" s="703">
        <f t="shared" ref="S29:S47" si="12">F29</f>
        <v>100</v>
      </c>
      <c r="T29" s="702" t="s">
        <v>17</v>
      </c>
      <c r="U29" s="703">
        <f t="shared" ref="U29:U47" si="13">H29</f>
        <v>100</v>
      </c>
      <c r="V29" s="702" t="s">
        <v>17</v>
      </c>
      <c r="W29" s="703">
        <f t="shared" ref="W29:W47" si="14">J29</f>
        <v>100</v>
      </c>
      <c r="X29" s="1477"/>
      <c r="Y29" s="3516"/>
      <c r="Z29" s="1478">
        <f t="shared" ref="Z29:Z47" si="15">Q29</f>
        <v>111</v>
      </c>
      <c r="AA29" s="1475">
        <f t="shared" si="3"/>
        <v>1</v>
      </c>
      <c r="AB29" s="1475">
        <f t="shared" si="4"/>
        <v>1</v>
      </c>
      <c r="AC29" s="2086">
        <f t="shared" si="5"/>
        <v>1</v>
      </c>
    </row>
    <row r="30" spans="1:29" ht="15.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83"/>
      <c r="M30" s="2877"/>
      <c r="N30" s="2877"/>
      <c r="O30" s="2877"/>
      <c r="P30" s="3561"/>
      <c r="Q30" s="1474">
        <f t="shared" si="11"/>
        <v>111</v>
      </c>
      <c r="R30" s="702" t="s">
        <v>17</v>
      </c>
      <c r="S30" s="703">
        <f t="shared" si="12"/>
        <v>100</v>
      </c>
      <c r="T30" s="702" t="s">
        <v>17</v>
      </c>
      <c r="U30" s="703">
        <f t="shared" si="13"/>
        <v>100</v>
      </c>
      <c r="V30" s="702" t="s">
        <v>17</v>
      </c>
      <c r="W30" s="703">
        <f t="shared" si="14"/>
        <v>100</v>
      </c>
      <c r="X30" s="1477"/>
      <c r="Y30" s="3516"/>
      <c r="Z30" s="1478">
        <f t="shared" si="15"/>
        <v>111</v>
      </c>
      <c r="AA30" s="1475">
        <f t="shared" si="3"/>
        <v>1</v>
      </c>
      <c r="AB30" s="1475">
        <f t="shared" si="4"/>
        <v>1</v>
      </c>
      <c r="AC30" s="2086">
        <f t="shared" si="5"/>
        <v>1</v>
      </c>
    </row>
    <row r="31" spans="1:29" ht="15.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83"/>
      <c r="M31" s="2877"/>
      <c r="N31" s="2877"/>
      <c r="O31" s="2877"/>
      <c r="P31" s="3561"/>
      <c r="Q31" s="1474">
        <f t="shared" si="11"/>
        <v>111</v>
      </c>
      <c r="R31" s="702" t="s">
        <v>17</v>
      </c>
      <c r="S31" s="703">
        <f t="shared" si="12"/>
        <v>100</v>
      </c>
      <c r="T31" s="702" t="s">
        <v>17</v>
      </c>
      <c r="U31" s="703">
        <f t="shared" si="13"/>
        <v>100</v>
      </c>
      <c r="V31" s="702" t="s">
        <v>17</v>
      </c>
      <c r="W31" s="703">
        <f t="shared" si="14"/>
        <v>100</v>
      </c>
      <c r="X31" s="1477"/>
      <c r="Y31" s="3516"/>
      <c r="Z31" s="1478">
        <f t="shared" si="15"/>
        <v>111</v>
      </c>
      <c r="AA31" s="1475">
        <f t="shared" si="3"/>
        <v>1</v>
      </c>
      <c r="AB31" s="1475">
        <f t="shared" si="4"/>
        <v>1</v>
      </c>
      <c r="AC31" s="2086">
        <f t="shared" si="5"/>
        <v>1</v>
      </c>
    </row>
    <row r="32" spans="1:29" ht="16"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83"/>
      <c r="M32" s="2877"/>
      <c r="N32" s="2877"/>
      <c r="O32" s="2877"/>
      <c r="P32" s="3561"/>
      <c r="Q32" s="1474">
        <f t="shared" si="11"/>
        <v>111</v>
      </c>
      <c r="R32" s="702" t="s">
        <v>17</v>
      </c>
      <c r="S32" s="703">
        <f t="shared" si="12"/>
        <v>100</v>
      </c>
      <c r="T32" s="702" t="s">
        <v>17</v>
      </c>
      <c r="U32" s="703">
        <f t="shared" si="13"/>
        <v>100</v>
      </c>
      <c r="V32" s="702" t="s">
        <v>17</v>
      </c>
      <c r="W32" s="703">
        <f t="shared" si="14"/>
        <v>100</v>
      </c>
      <c r="X32" s="1477"/>
      <c r="Y32" s="3516"/>
      <c r="Z32" s="1478">
        <f t="shared" si="15"/>
        <v>111</v>
      </c>
      <c r="AA32" s="1475">
        <f t="shared" si="3"/>
        <v>1</v>
      </c>
      <c r="AB32" s="1475">
        <f t="shared" si="4"/>
        <v>1</v>
      </c>
      <c r="AC32" s="2086">
        <f t="shared" si="5"/>
        <v>1</v>
      </c>
    </row>
    <row r="33" spans="1:29" ht="15.5">
      <c r="A33" s="389" t="s">
        <v>2143</v>
      </c>
      <c r="B33" s="67" t="s">
        <v>2273</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83"/>
      <c r="M33" s="2877"/>
      <c r="N33" s="2877"/>
      <c r="O33" s="2877"/>
      <c r="P33" s="3556" t="s">
        <v>2145</v>
      </c>
      <c r="Q33" s="1474" t="str">
        <f t="shared" si="11"/>
        <v>建筑类型</v>
      </c>
      <c r="R33" s="702" t="s">
        <v>17</v>
      </c>
      <c r="S33" s="703">
        <f t="shared" si="12"/>
        <v>100</v>
      </c>
      <c r="T33" s="702" t="s">
        <v>17</v>
      </c>
      <c r="U33" s="703">
        <f t="shared" si="13"/>
        <v>100</v>
      </c>
      <c r="V33" s="702" t="s">
        <v>17</v>
      </c>
      <c r="W33" s="703">
        <f t="shared" si="14"/>
        <v>100</v>
      </c>
      <c r="X33" s="1477"/>
      <c r="Y33" s="3518" t="s">
        <v>2145</v>
      </c>
      <c r="Z33" s="1478" t="str">
        <f t="shared" si="15"/>
        <v>建筑类型</v>
      </c>
      <c r="AA33" s="1475">
        <f t="shared" si="3"/>
        <v>1</v>
      </c>
      <c r="AB33" s="1475">
        <f t="shared" si="4"/>
        <v>1</v>
      </c>
      <c r="AC33" s="2086">
        <f t="shared" si="5"/>
        <v>1</v>
      </c>
    </row>
    <row r="34" spans="1:29" s="420" customFormat="1" ht="15.5">
      <c r="A34" s="417"/>
      <c r="B34" s="371" t="s">
        <v>2146</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82"/>
      <c r="M34" s="2884"/>
      <c r="N34" s="2884"/>
      <c r="O34" s="2884"/>
      <c r="P34" s="3557"/>
      <c r="Q34" s="704" t="str">
        <f t="shared" si="11"/>
        <v>项目建筑规模</v>
      </c>
      <c r="R34" s="705" t="s">
        <v>17</v>
      </c>
      <c r="S34" s="706" t="e">
        <f t="shared" si="12"/>
        <v>#N/A</v>
      </c>
      <c r="T34" s="705" t="s">
        <v>17</v>
      </c>
      <c r="U34" s="706" t="e">
        <f t="shared" si="13"/>
        <v>#N/A</v>
      </c>
      <c r="V34" s="705" t="s">
        <v>17</v>
      </c>
      <c r="W34" s="706" t="e">
        <f t="shared" si="14"/>
        <v>#N/A</v>
      </c>
      <c r="X34" s="707"/>
      <c r="Y34" s="3518"/>
      <c r="Z34" s="708" t="str">
        <f t="shared" si="15"/>
        <v>项目建筑规模</v>
      </c>
      <c r="AA34" s="1475" t="e">
        <f t="shared" si="3"/>
        <v>#N/A</v>
      </c>
      <c r="AB34" s="1475" t="e">
        <f t="shared" si="4"/>
        <v>#N/A</v>
      </c>
      <c r="AC34" s="2086" t="e">
        <f t="shared" si="5"/>
        <v>#N/A</v>
      </c>
    </row>
    <row r="35" spans="1:29" ht="15.5">
      <c r="A35" s="421"/>
      <c r="B35" s="371" t="s">
        <v>2147</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83"/>
      <c r="M35" s="2877"/>
      <c r="N35" s="2877"/>
      <c r="O35" s="2877"/>
      <c r="P35" s="3557"/>
      <c r="Q35" s="1474" t="str">
        <f t="shared" si="11"/>
        <v>建筑结构</v>
      </c>
      <c r="R35" s="702" t="s">
        <v>17</v>
      </c>
      <c r="S35" s="703">
        <f t="shared" si="12"/>
        <v>100</v>
      </c>
      <c r="T35" s="702" t="s">
        <v>17</v>
      </c>
      <c r="U35" s="703">
        <f t="shared" si="13"/>
        <v>100</v>
      </c>
      <c r="V35" s="702" t="s">
        <v>17</v>
      </c>
      <c r="W35" s="703">
        <f t="shared" si="14"/>
        <v>100</v>
      </c>
      <c r="X35" s="1477"/>
      <c r="Y35" s="3518"/>
      <c r="Z35" s="1478" t="str">
        <f t="shared" si="15"/>
        <v>建筑结构</v>
      </c>
      <c r="AA35" s="1475">
        <f t="shared" si="3"/>
        <v>1</v>
      </c>
      <c r="AB35" s="1475">
        <f t="shared" si="4"/>
        <v>1</v>
      </c>
      <c r="AC35" s="2086">
        <f t="shared" si="5"/>
        <v>1</v>
      </c>
    </row>
    <row r="36" spans="1:29" ht="15.5">
      <c r="A36" s="421"/>
      <c r="B36" s="371" t="s">
        <v>2241</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83"/>
      <c r="M36" s="2877"/>
      <c r="N36" s="2877"/>
      <c r="O36" s="2877"/>
      <c r="P36" s="3557"/>
      <c r="Q36" s="1474" t="str">
        <f t="shared" si="11"/>
        <v>公共部分装修</v>
      </c>
      <c r="R36" s="702" t="s">
        <v>17</v>
      </c>
      <c r="S36" s="703">
        <f t="shared" si="12"/>
        <v>100</v>
      </c>
      <c r="T36" s="702" t="s">
        <v>17</v>
      </c>
      <c r="U36" s="703">
        <f t="shared" si="13"/>
        <v>100</v>
      </c>
      <c r="V36" s="702" t="s">
        <v>17</v>
      </c>
      <c r="W36" s="703">
        <f t="shared" si="14"/>
        <v>100</v>
      </c>
      <c r="X36" s="1477"/>
      <c r="Y36" s="3518"/>
      <c r="Z36" s="1478" t="str">
        <f t="shared" si="15"/>
        <v>公共部分装修</v>
      </c>
      <c r="AA36" s="1475">
        <f t="shared" si="3"/>
        <v>1</v>
      </c>
      <c r="AB36" s="1475">
        <f t="shared" si="4"/>
        <v>1</v>
      </c>
      <c r="AC36" s="2086">
        <f t="shared" si="5"/>
        <v>1</v>
      </c>
    </row>
    <row r="37" spans="1:29" ht="15.5">
      <c r="A37" s="421"/>
      <c r="B37" s="371" t="s">
        <v>2242</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83"/>
      <c r="M37" s="2877"/>
      <c r="N37" s="2877"/>
      <c r="O37" s="2877"/>
      <c r="P37" s="3557"/>
      <c r="Q37" s="1474" t="str">
        <f t="shared" si="11"/>
        <v>成新度</v>
      </c>
      <c r="R37" s="702" t="s">
        <v>17</v>
      </c>
      <c r="S37" s="703" t="e">
        <f t="shared" si="12"/>
        <v>#N/A</v>
      </c>
      <c r="T37" s="702" t="s">
        <v>17</v>
      </c>
      <c r="U37" s="703" t="e">
        <f t="shared" si="13"/>
        <v>#N/A</v>
      </c>
      <c r="V37" s="702" t="s">
        <v>17</v>
      </c>
      <c r="W37" s="703" t="e">
        <f t="shared" si="14"/>
        <v>#N/A</v>
      </c>
      <c r="X37" s="1477"/>
      <c r="Y37" s="3518"/>
      <c r="Z37" s="1478" t="str">
        <f t="shared" si="15"/>
        <v>成新度</v>
      </c>
      <c r="AA37" s="1475" t="e">
        <f t="shared" si="3"/>
        <v>#N/A</v>
      </c>
      <c r="AB37" s="1475" t="e">
        <f t="shared" si="4"/>
        <v>#N/A</v>
      </c>
      <c r="AC37" s="2086" t="e">
        <f t="shared" si="5"/>
        <v>#N/A</v>
      </c>
    </row>
    <row r="38" spans="1:29" s="110" customFormat="1" ht="15.5">
      <c r="A38" s="422"/>
      <c r="B38" s="371" t="s">
        <v>2274</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78"/>
      <c r="M38" s="2879"/>
      <c r="N38" s="2879"/>
      <c r="O38" s="2879"/>
      <c r="P38" s="3557"/>
      <c r="Q38" s="1465" t="str">
        <f t="shared" si="11"/>
        <v>写字楼等级</v>
      </c>
      <c r="R38" s="698" t="s">
        <v>17</v>
      </c>
      <c r="S38" s="699">
        <f t="shared" si="12"/>
        <v>100</v>
      </c>
      <c r="T38" s="698" t="s">
        <v>17</v>
      </c>
      <c r="U38" s="699">
        <f t="shared" si="13"/>
        <v>100</v>
      </c>
      <c r="V38" s="698" t="s">
        <v>17</v>
      </c>
      <c r="W38" s="699">
        <f t="shared" si="14"/>
        <v>100</v>
      </c>
      <c r="X38" s="700"/>
      <c r="Y38" s="3518"/>
      <c r="Z38" s="55" t="str">
        <f t="shared" si="15"/>
        <v>写字楼等级</v>
      </c>
      <c r="AA38" s="701">
        <f t="shared" si="3"/>
        <v>1</v>
      </c>
      <c r="AB38" s="701">
        <f t="shared" si="4"/>
        <v>1</v>
      </c>
      <c r="AC38" s="2083">
        <f t="shared" si="5"/>
        <v>1</v>
      </c>
    </row>
    <row r="39" spans="1:29" ht="15.5">
      <c r="A39" s="421"/>
      <c r="B39" s="371" t="s">
        <v>2275</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83"/>
      <c r="M39" s="2877"/>
      <c r="N39" s="2877"/>
      <c r="O39" s="2877"/>
      <c r="P39" s="3557" t="s">
        <v>2145</v>
      </c>
      <c r="Q39" s="1474" t="str">
        <f t="shared" si="11"/>
        <v>物业管理</v>
      </c>
      <c r="R39" s="702" t="s">
        <v>17</v>
      </c>
      <c r="S39" s="703">
        <f t="shared" si="12"/>
        <v>100</v>
      </c>
      <c r="T39" s="702" t="s">
        <v>17</v>
      </c>
      <c r="U39" s="703">
        <f t="shared" si="13"/>
        <v>100</v>
      </c>
      <c r="V39" s="702" t="s">
        <v>17</v>
      </c>
      <c r="W39" s="703">
        <f t="shared" si="14"/>
        <v>100</v>
      </c>
      <c r="X39" s="1477"/>
      <c r="Y39" s="3518" t="s">
        <v>2145</v>
      </c>
      <c r="Z39" s="1478" t="str">
        <f t="shared" si="15"/>
        <v>物业管理</v>
      </c>
      <c r="AA39" s="1475">
        <f t="shared" si="3"/>
        <v>1</v>
      </c>
      <c r="AB39" s="1475">
        <f t="shared" si="4"/>
        <v>1</v>
      </c>
      <c r="AC39" s="2086">
        <f t="shared" si="5"/>
        <v>1</v>
      </c>
    </row>
    <row r="40" spans="1:29" ht="15.5">
      <c r="A40" s="421"/>
      <c r="B40" s="371" t="s">
        <v>2243</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83"/>
      <c r="M40" s="2877"/>
      <c r="N40" s="2877"/>
      <c r="O40" s="2877"/>
      <c r="P40" s="3557"/>
      <c r="Q40" s="1474" t="str">
        <f t="shared" si="11"/>
        <v>市政基础设施</v>
      </c>
      <c r="R40" s="702" t="s">
        <v>17</v>
      </c>
      <c r="S40" s="703">
        <f t="shared" si="12"/>
        <v>100</v>
      </c>
      <c r="T40" s="702" t="s">
        <v>17</v>
      </c>
      <c r="U40" s="703">
        <f t="shared" si="13"/>
        <v>100</v>
      </c>
      <c r="V40" s="702" t="s">
        <v>17</v>
      </c>
      <c r="W40" s="703">
        <f t="shared" si="14"/>
        <v>100</v>
      </c>
      <c r="X40" s="1477"/>
      <c r="Y40" s="3518"/>
      <c r="Z40" s="1478" t="str">
        <f t="shared" si="15"/>
        <v>市政基础设施</v>
      </c>
      <c r="AA40" s="1475">
        <f t="shared" si="3"/>
        <v>1</v>
      </c>
      <c r="AB40" s="1475">
        <f t="shared" si="4"/>
        <v>1</v>
      </c>
      <c r="AC40" s="2086">
        <f t="shared" si="5"/>
        <v>1</v>
      </c>
    </row>
    <row r="41" spans="1:29" ht="15.5">
      <c r="A41" s="421"/>
      <c r="B41" s="371" t="s">
        <v>2245</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83"/>
      <c r="M41" s="2877"/>
      <c r="N41" s="2877"/>
      <c r="O41" s="2877"/>
      <c r="P41" s="3557"/>
      <c r="Q41" s="1474" t="str">
        <f t="shared" si="11"/>
        <v>层高</v>
      </c>
      <c r="R41" s="702" t="s">
        <v>17</v>
      </c>
      <c r="S41" s="703">
        <f t="shared" si="12"/>
        <v>100</v>
      </c>
      <c r="T41" s="702" t="s">
        <v>17</v>
      </c>
      <c r="U41" s="703">
        <f t="shared" si="13"/>
        <v>100</v>
      </c>
      <c r="V41" s="702" t="s">
        <v>17</v>
      </c>
      <c r="W41" s="703">
        <f t="shared" si="14"/>
        <v>100</v>
      </c>
      <c r="X41" s="1477"/>
      <c r="Y41" s="3518"/>
      <c r="Z41" s="1478" t="str">
        <f t="shared" si="15"/>
        <v>层高</v>
      </c>
      <c r="AA41" s="1475">
        <f t="shared" si="3"/>
        <v>1</v>
      </c>
      <c r="AB41" s="1475">
        <f t="shared" si="4"/>
        <v>1</v>
      </c>
      <c r="AC41" s="2086">
        <f t="shared" si="5"/>
        <v>1</v>
      </c>
    </row>
    <row r="42" spans="1:29" s="420" customFormat="1" ht="15.5">
      <c r="A42" s="417"/>
      <c r="B42" s="1476" t="s">
        <v>2276</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82"/>
      <c r="M42" s="2884"/>
      <c r="N42" s="2884"/>
      <c r="O42" s="2884"/>
      <c r="P42" s="3557"/>
      <c r="Q42" s="704" t="str">
        <f t="shared" si="11"/>
        <v>单套建筑面积</v>
      </c>
      <c r="R42" s="705" t="s">
        <v>17</v>
      </c>
      <c r="S42" s="706">
        <f t="shared" si="12"/>
        <v>100</v>
      </c>
      <c r="T42" s="705" t="s">
        <v>17</v>
      </c>
      <c r="U42" s="706">
        <f t="shared" si="13"/>
        <v>100</v>
      </c>
      <c r="V42" s="705" t="s">
        <v>17</v>
      </c>
      <c r="W42" s="706">
        <f t="shared" si="14"/>
        <v>100</v>
      </c>
      <c r="X42" s="707"/>
      <c r="Y42" s="3518"/>
      <c r="Z42" s="708" t="str">
        <f t="shared" si="15"/>
        <v>单套建筑面积</v>
      </c>
      <c r="AA42" s="1475">
        <f t="shared" si="3"/>
        <v>1</v>
      </c>
      <c r="AB42" s="1475">
        <f t="shared" si="4"/>
        <v>1</v>
      </c>
      <c r="AC42" s="2086">
        <f t="shared" si="5"/>
        <v>1</v>
      </c>
    </row>
    <row r="43" spans="1:29" ht="15.5">
      <c r="A43" s="421"/>
      <c r="B43" s="371" t="s">
        <v>2248</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83"/>
      <c r="M43" s="2877"/>
      <c r="N43" s="2877"/>
      <c r="O43" s="2877"/>
      <c r="P43" s="3557"/>
      <c r="Q43" s="1474" t="str">
        <f t="shared" si="11"/>
        <v>内部装修</v>
      </c>
      <c r="R43" s="702" t="s">
        <v>17</v>
      </c>
      <c r="S43" s="703">
        <f t="shared" si="12"/>
        <v>100</v>
      </c>
      <c r="T43" s="702" t="s">
        <v>17</v>
      </c>
      <c r="U43" s="703">
        <f t="shared" si="13"/>
        <v>100</v>
      </c>
      <c r="V43" s="702" t="s">
        <v>17</v>
      </c>
      <c r="W43" s="703">
        <f t="shared" si="14"/>
        <v>100</v>
      </c>
      <c r="X43" s="1477"/>
      <c r="Y43" s="3518"/>
      <c r="Z43" s="1478" t="str">
        <f t="shared" si="15"/>
        <v>内部装修</v>
      </c>
      <c r="AA43" s="1475">
        <f t="shared" si="3"/>
        <v>1</v>
      </c>
      <c r="AB43" s="1475">
        <f t="shared" si="4"/>
        <v>1</v>
      </c>
      <c r="AC43" s="2086">
        <f t="shared" si="5"/>
        <v>1</v>
      </c>
    </row>
    <row r="44" spans="1:29" ht="28">
      <c r="A44" s="421"/>
      <c r="B44" s="371" t="s">
        <v>2156</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83"/>
      <c r="M44" s="2877"/>
      <c r="N44" s="2877"/>
      <c r="O44" s="2877"/>
      <c r="P44" s="3557"/>
      <c r="Q44" s="1474" t="str">
        <f t="shared" si="11"/>
        <v>内部装修维护情况</v>
      </c>
      <c r="R44" s="702" t="s">
        <v>17</v>
      </c>
      <c r="S44" s="703">
        <f t="shared" si="12"/>
        <v>100</v>
      </c>
      <c r="T44" s="702" t="s">
        <v>17</v>
      </c>
      <c r="U44" s="703">
        <f t="shared" si="13"/>
        <v>100</v>
      </c>
      <c r="V44" s="702" t="s">
        <v>17</v>
      </c>
      <c r="W44" s="703">
        <f t="shared" si="14"/>
        <v>100</v>
      </c>
      <c r="X44" s="1477"/>
      <c r="Y44" s="3518"/>
      <c r="Z44" s="1478" t="str">
        <f t="shared" si="15"/>
        <v>内部装修维护情况</v>
      </c>
      <c r="AA44" s="1475">
        <f t="shared" si="3"/>
        <v>1</v>
      </c>
      <c r="AB44" s="1475">
        <f t="shared" si="4"/>
        <v>1</v>
      </c>
      <c r="AC44" s="2086">
        <f t="shared" si="5"/>
        <v>1</v>
      </c>
    </row>
    <row r="45" spans="1:29" s="110" customFormat="1" ht="15.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78"/>
      <c r="M45" s="2879"/>
      <c r="N45" s="2879"/>
      <c r="O45" s="2879"/>
      <c r="P45" s="3557"/>
      <c r="Q45" s="1465">
        <f t="shared" si="11"/>
        <v>111</v>
      </c>
      <c r="R45" s="698" t="s">
        <v>17</v>
      </c>
      <c r="S45" s="699">
        <f t="shared" si="12"/>
        <v>100</v>
      </c>
      <c r="T45" s="698" t="s">
        <v>17</v>
      </c>
      <c r="U45" s="699">
        <f t="shared" si="13"/>
        <v>100</v>
      </c>
      <c r="V45" s="698" t="s">
        <v>17</v>
      </c>
      <c r="W45" s="699">
        <f t="shared" si="14"/>
        <v>100</v>
      </c>
      <c r="X45" s="700"/>
      <c r="Y45" s="3518"/>
      <c r="Z45" s="55">
        <f t="shared" si="15"/>
        <v>111</v>
      </c>
      <c r="AA45" s="701">
        <f t="shared" si="3"/>
        <v>1</v>
      </c>
      <c r="AB45" s="701">
        <f t="shared" si="4"/>
        <v>1</v>
      </c>
      <c r="AC45" s="2083">
        <f t="shared" si="5"/>
        <v>1</v>
      </c>
    </row>
    <row r="46" spans="1:29" ht="15.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83"/>
      <c r="M46" s="2877"/>
      <c r="N46" s="2877"/>
      <c r="O46" s="2877"/>
      <c r="P46" s="3557"/>
      <c r="Q46" s="1474">
        <f t="shared" si="11"/>
        <v>111</v>
      </c>
      <c r="R46" s="702" t="s">
        <v>17</v>
      </c>
      <c r="S46" s="703">
        <f t="shared" si="12"/>
        <v>100</v>
      </c>
      <c r="T46" s="702" t="s">
        <v>17</v>
      </c>
      <c r="U46" s="703">
        <f t="shared" si="13"/>
        <v>100</v>
      </c>
      <c r="V46" s="702" t="s">
        <v>17</v>
      </c>
      <c r="W46" s="703">
        <f t="shared" si="14"/>
        <v>100</v>
      </c>
      <c r="X46" s="1477"/>
      <c r="Y46" s="3518"/>
      <c r="Z46" s="1478">
        <f t="shared" si="15"/>
        <v>111</v>
      </c>
      <c r="AA46" s="1475">
        <f t="shared" si="3"/>
        <v>1</v>
      </c>
      <c r="AB46" s="1475">
        <f t="shared" si="4"/>
        <v>1</v>
      </c>
      <c r="AC46" s="2086">
        <f t="shared" si="5"/>
        <v>1</v>
      </c>
    </row>
    <row r="47" spans="1:29" ht="16"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83"/>
      <c r="M47" s="2877"/>
      <c r="N47" s="2877"/>
      <c r="O47" s="2877"/>
      <c r="P47" s="3558"/>
      <c r="Q47" s="1474">
        <f t="shared" si="11"/>
        <v>111</v>
      </c>
      <c r="R47" s="702" t="s">
        <v>17</v>
      </c>
      <c r="S47" s="703">
        <f t="shared" si="12"/>
        <v>100</v>
      </c>
      <c r="T47" s="702" t="s">
        <v>17</v>
      </c>
      <c r="U47" s="703">
        <f t="shared" si="13"/>
        <v>100</v>
      </c>
      <c r="V47" s="702" t="s">
        <v>17</v>
      </c>
      <c r="W47" s="703">
        <f t="shared" si="14"/>
        <v>100</v>
      </c>
      <c r="X47" s="1477"/>
      <c r="Y47" s="3559"/>
      <c r="Z47" s="1478">
        <f t="shared" si="15"/>
        <v>111</v>
      </c>
      <c r="AA47" s="1475">
        <f t="shared" si="3"/>
        <v>1</v>
      </c>
      <c r="AB47" s="1475">
        <f t="shared" si="4"/>
        <v>1</v>
      </c>
      <c r="AC47" s="2086">
        <f t="shared" si="5"/>
        <v>1</v>
      </c>
    </row>
    <row r="48" spans="1:29">
      <c r="A48" s="428" t="s">
        <v>2157</v>
      </c>
      <c r="B48" s="429"/>
      <c r="C48" s="1257" t="s">
        <v>1</v>
      </c>
      <c r="D48" s="1258"/>
      <c r="E48" s="1259"/>
      <c r="F48" s="1260"/>
      <c r="G48" s="1261"/>
      <c r="H48" s="1262"/>
      <c r="I48" s="1259"/>
      <c r="J48" s="434"/>
      <c r="K48" s="711"/>
      <c r="L48" s="2885"/>
      <c r="M48" s="2877"/>
      <c r="N48" s="2877"/>
      <c r="O48" s="2877"/>
      <c r="P48" s="3524" t="str">
        <f>A48</f>
        <v>成交单价（元/平方米）</v>
      </c>
      <c r="Q48" s="3500"/>
      <c r="R48" s="3555">
        <f>E48</f>
        <v>0</v>
      </c>
      <c r="S48" s="3555"/>
      <c r="T48" s="3555">
        <f>G48</f>
        <v>0</v>
      </c>
      <c r="U48" s="3555"/>
      <c r="V48" s="3555">
        <f>I48</f>
        <v>0</v>
      </c>
      <c r="W48" s="3555"/>
      <c r="X48" s="395"/>
      <c r="Y48" s="709"/>
      <c r="Z48" s="395"/>
      <c r="AA48" s="395"/>
      <c r="AB48" s="395"/>
      <c r="AC48" s="576"/>
    </row>
    <row r="49" spans="1:29" ht="14.5" thickBot="1">
      <c r="A49" s="435" t="s">
        <v>2249</v>
      </c>
      <c r="B49" s="436"/>
      <c r="C49" s="1263" t="e">
        <f>R50</f>
        <v>#DIV/0!</v>
      </c>
      <c r="D49" s="2476" t="s">
        <v>2639</v>
      </c>
      <c r="E49" s="1264" t="e">
        <f>R49</f>
        <v>#DIV/0!</v>
      </c>
      <c r="F49" s="2477"/>
      <c r="G49" s="1263" t="e">
        <f>T49</f>
        <v>#DIV/0!</v>
      </c>
      <c r="H49" s="2477"/>
      <c r="I49" s="1264" t="e">
        <f>V49</f>
        <v>#DIV/0!</v>
      </c>
      <c r="J49" s="2477"/>
      <c r="K49" s="2479">
        <f>F49+H49+J49</f>
        <v>0</v>
      </c>
      <c r="L49" s="2885"/>
      <c r="M49" s="2877"/>
      <c r="N49" s="2877"/>
      <c r="O49" s="2877"/>
      <c r="P49" s="3524" t="str">
        <f>A49</f>
        <v>比较价值（元/平方米）</v>
      </c>
      <c r="Q49" s="3500"/>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395"/>
      <c r="Y49" s="395"/>
      <c r="Z49" s="395"/>
      <c r="AA49" s="395"/>
      <c r="AB49" s="395"/>
      <c r="AC49" s="576"/>
    </row>
    <row r="50" spans="1:29" ht="14.5" thickBot="1">
      <c r="A50" s="439" t="s">
        <v>2250</v>
      </c>
      <c r="B50" s="440"/>
      <c r="C50" s="1266" t="e">
        <f>R50</f>
        <v>#DIV/0!</v>
      </c>
      <c r="D50" s="1266"/>
      <c r="E50" s="1266"/>
      <c r="F50" s="1266"/>
      <c r="G50" s="1266"/>
      <c r="H50" s="1266"/>
      <c r="I50" s="1266"/>
      <c r="J50" s="441"/>
      <c r="K50" s="712"/>
      <c r="L50" s="2885"/>
      <c r="M50" s="2877"/>
      <c r="N50" s="2877"/>
      <c r="O50" s="2877"/>
      <c r="P50" s="3574" t="str">
        <f>A50</f>
        <v>估价对象XX用房的比较价值（楼面单价，元/平方米）</v>
      </c>
      <c r="Q50" s="3575"/>
      <c r="R50" s="3576" t="e">
        <f>IF(F1="售价",ROUND(IF(D49="简单平均",AVERAGE(R49:V49),R49*F49+T49*H49+V49*J49),0),ROUND(IF(D49="简单平均",AVERAGE(R49:V49),R49*F49+T49*H49+V49*J49),1))</f>
        <v>#DIV/0!</v>
      </c>
      <c r="S50" s="3576"/>
      <c r="T50" s="3576"/>
      <c r="U50" s="3576"/>
      <c r="V50" s="3576"/>
      <c r="W50" s="3576"/>
      <c r="X50" s="2070"/>
      <c r="Y50" s="2070"/>
      <c r="Z50" s="2070"/>
      <c r="AA50" s="2070"/>
      <c r="AB50" s="2070"/>
      <c r="AC50" s="2071"/>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4" t="s">
        <v>2251</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4" t="s">
        <v>2252</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49" customFormat="1" ht="13.5" customHeight="1">
      <c r="A55" s="2889"/>
      <c r="B55" s="2889"/>
      <c r="C55" s="444" t="s">
        <v>2253</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49"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1.5" thickBot="1">
      <c r="A58" s="691" t="s">
        <v>2254</v>
      </c>
      <c r="B58" s="687"/>
      <c r="C58" s="692"/>
      <c r="D58" s="692"/>
      <c r="E58" s="692"/>
      <c r="F58" s="693"/>
      <c r="G58" s="693"/>
      <c r="H58" s="692"/>
      <c r="I58" s="692"/>
      <c r="J58" s="692"/>
      <c r="K58" s="694"/>
      <c r="L58" s="1042"/>
      <c r="M58" s="1040"/>
      <c r="N58" s="2930"/>
      <c r="O58" s="2930"/>
      <c r="P58" s="2919"/>
      <c r="Q58" s="2900"/>
      <c r="R58" s="2886"/>
      <c r="S58" s="2886"/>
      <c r="T58" s="2886"/>
      <c r="U58" s="2886"/>
      <c r="V58" s="2886"/>
      <c r="W58" s="2886"/>
      <c r="X58" s="2886"/>
      <c r="Y58" s="2886"/>
      <c r="Z58" s="2886"/>
      <c r="AA58" s="2886"/>
      <c r="AB58" s="2886"/>
      <c r="AC58" s="2886"/>
    </row>
    <row r="59" spans="1:29" s="455" customFormat="1">
      <c r="A59" s="452" t="s">
        <v>2128</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20"/>
      <c r="Q59" s="2902"/>
      <c r="R59" s="2902"/>
      <c r="S59" s="2902"/>
      <c r="T59" s="2902"/>
      <c r="U59" s="2902"/>
      <c r="V59" s="2902"/>
      <c r="W59" s="2902"/>
      <c r="X59" s="2902"/>
      <c r="Y59" s="2902"/>
      <c r="Z59" s="2902"/>
      <c r="AA59" s="2902"/>
      <c r="AB59" s="2902"/>
      <c r="AC59" s="2902"/>
    </row>
    <row r="60" spans="1:29" s="110" customFormat="1">
      <c r="A60" s="456"/>
      <c r="B60" s="457"/>
      <c r="C60" s="1285">
        <v>100</v>
      </c>
      <c r="D60" s="459"/>
      <c r="E60" s="459"/>
      <c r="F60" s="459"/>
      <c r="G60" s="459"/>
      <c r="H60" s="459"/>
      <c r="I60" s="459"/>
      <c r="J60" s="459"/>
      <c r="K60" s="459"/>
      <c r="L60" s="459"/>
      <c r="M60" s="460"/>
      <c r="N60" s="459"/>
      <c r="O60" s="460"/>
      <c r="P60" s="2921"/>
      <c r="Q60" s="2821"/>
      <c r="R60" s="2821"/>
      <c r="S60" s="2821"/>
      <c r="T60" s="2821"/>
      <c r="U60" s="2821"/>
      <c r="V60" s="2821"/>
      <c r="W60" s="2821"/>
      <c r="X60" s="2821"/>
      <c r="Y60" s="2821"/>
      <c r="Z60" s="2821"/>
      <c r="AA60" s="2821"/>
      <c r="AB60" s="2821"/>
      <c r="AC60" s="2821"/>
    </row>
    <row r="61" spans="1:29" s="110" customFormat="1" ht="14.5" thickBot="1">
      <c r="A61" s="462" t="s">
        <v>2165</v>
      </c>
      <c r="B61" s="463"/>
      <c r="C61" s="464"/>
      <c r="D61" s="465"/>
      <c r="E61" s="465"/>
      <c r="F61" s="465"/>
      <c r="G61" s="465"/>
      <c r="H61" s="465"/>
      <c r="I61" s="465"/>
      <c r="J61" s="465"/>
      <c r="K61" s="465"/>
      <c r="L61" s="465"/>
      <c r="M61" s="466"/>
      <c r="N61" s="465"/>
      <c r="O61" s="466"/>
      <c r="P61" s="2921"/>
      <c r="Q61" s="2900"/>
      <c r="R61" s="2821"/>
      <c r="S61" s="2821"/>
      <c r="T61" s="2821"/>
      <c r="U61" s="2821"/>
      <c r="V61" s="2821"/>
      <c r="W61" s="2821"/>
      <c r="X61" s="2821"/>
      <c r="Y61" s="2821"/>
      <c r="Z61" s="2821"/>
      <c r="AA61" s="2821"/>
      <c r="AB61" s="2821"/>
      <c r="AC61" s="2821"/>
    </row>
    <row r="62" spans="1:29" s="110" customFormat="1">
      <c r="A62" s="468" t="s">
        <v>2130</v>
      </c>
      <c r="B62" s="457"/>
      <c r="C62" s="469" t="s">
        <v>2232</v>
      </c>
      <c r="D62" s="470"/>
      <c r="E62" s="470"/>
      <c r="F62" s="470"/>
      <c r="G62" s="470"/>
      <c r="H62" s="470"/>
      <c r="I62" s="470"/>
      <c r="J62" s="470"/>
      <c r="K62" s="470"/>
      <c r="L62" s="471"/>
      <c r="M62" s="472"/>
      <c r="N62" s="2913"/>
      <c r="O62" s="2913"/>
      <c r="P62" s="2922"/>
      <c r="Q62" s="2900"/>
      <c r="R62" s="2821"/>
      <c r="S62" s="2821"/>
      <c r="T62" s="2821"/>
      <c r="U62" s="2821"/>
      <c r="V62" s="2821"/>
      <c r="W62" s="2821"/>
      <c r="X62" s="2821"/>
      <c r="Y62" s="2821"/>
      <c r="Z62" s="2821"/>
      <c r="AA62" s="2821"/>
      <c r="AB62" s="2821"/>
      <c r="AC62" s="2821"/>
    </row>
    <row r="63" spans="1:29" s="110" customFormat="1" ht="14.5" thickBot="1">
      <c r="A63" s="468"/>
      <c r="B63" s="457"/>
      <c r="C63" s="458">
        <v>100</v>
      </c>
      <c r="D63" s="459"/>
      <c r="E63" s="459"/>
      <c r="F63" s="459"/>
      <c r="G63" s="459"/>
      <c r="H63" s="459"/>
      <c r="I63" s="459"/>
      <c r="J63" s="459"/>
      <c r="K63" s="459"/>
      <c r="L63" s="459"/>
      <c r="M63" s="461"/>
      <c r="N63" s="2913"/>
      <c r="O63" s="2913"/>
      <c r="P63" s="2921"/>
      <c r="Q63" s="2900"/>
      <c r="R63" s="2821"/>
      <c r="S63" s="2821"/>
      <c r="T63" s="2821"/>
      <c r="U63" s="2821"/>
      <c r="V63" s="2821"/>
      <c r="W63" s="2821"/>
      <c r="X63" s="2821"/>
      <c r="Y63" s="2821"/>
      <c r="Z63" s="2821"/>
      <c r="AA63" s="2821"/>
      <c r="AB63" s="2821"/>
      <c r="AC63" s="2821"/>
    </row>
    <row r="64" spans="1:29">
      <c r="A64" s="474" t="s">
        <v>2168</v>
      </c>
      <c r="B64" s="475" t="s">
        <v>2134</v>
      </c>
      <c r="C64" s="476">
        <f>C9</f>
        <v>0</v>
      </c>
      <c r="D64" s="477"/>
      <c r="E64" s="477"/>
      <c r="F64" s="477"/>
      <c r="G64" s="477"/>
      <c r="H64" s="477"/>
      <c r="I64" s="477"/>
      <c r="J64" s="477"/>
      <c r="K64" s="478"/>
      <c r="L64" s="479"/>
      <c r="M64" s="480"/>
      <c r="N64" s="2914"/>
      <c r="O64" s="2914"/>
      <c r="P64" s="2923"/>
      <c r="Q64" s="2900"/>
      <c r="R64" s="2886"/>
      <c r="S64" s="2886"/>
      <c r="T64" s="2886"/>
      <c r="U64" s="2886"/>
      <c r="V64" s="2886"/>
      <c r="W64" s="2886"/>
      <c r="X64" s="2886"/>
      <c r="Y64" s="2886"/>
      <c r="Z64" s="2886"/>
      <c r="AA64" s="2886"/>
      <c r="AB64" s="2886"/>
      <c r="AC64" s="2886"/>
    </row>
    <row r="65" spans="1:29" ht="14.5" thickBot="1">
      <c r="A65" s="481"/>
      <c r="B65" s="482"/>
      <c r="C65" s="483">
        <v>100</v>
      </c>
      <c r="D65" s="483"/>
      <c r="E65" s="483"/>
      <c r="F65" s="483"/>
      <c r="G65" s="483"/>
      <c r="H65" s="483"/>
      <c r="I65" s="483"/>
      <c r="J65" s="483"/>
      <c r="K65" s="483"/>
      <c r="L65" s="483"/>
      <c r="M65" s="484"/>
      <c r="N65" s="2915"/>
      <c r="O65" s="2915"/>
      <c r="P65" s="2923"/>
      <c r="Q65" s="2900"/>
      <c r="R65" s="2886"/>
      <c r="S65" s="2886"/>
      <c r="T65" s="2886"/>
      <c r="U65" s="2886"/>
      <c r="V65" s="2886"/>
      <c r="W65" s="2886"/>
      <c r="X65" s="2886"/>
      <c r="Y65" s="2886"/>
      <c r="Z65" s="2886"/>
      <c r="AA65" s="2886"/>
      <c r="AB65" s="2886"/>
      <c r="AC65" s="2886"/>
    </row>
    <row r="66" spans="1:29" ht="28.5" thickTop="1">
      <c r="A66" s="481"/>
      <c r="B66" s="485" t="s">
        <v>2137</v>
      </c>
      <c r="C66" s="486" t="s">
        <v>2169</v>
      </c>
      <c r="D66" s="486" t="s">
        <v>2170</v>
      </c>
      <c r="E66" s="486" t="s">
        <v>2171</v>
      </c>
      <c r="F66" s="486" t="s">
        <v>2172</v>
      </c>
      <c r="G66" s="486" t="s">
        <v>2173</v>
      </c>
      <c r="H66" s="486" t="s">
        <v>2174</v>
      </c>
      <c r="I66" s="486" t="s">
        <v>2175</v>
      </c>
      <c r="J66" s="486"/>
      <c r="K66" s="487"/>
      <c r="L66" s="488"/>
      <c r="M66" s="489"/>
      <c r="N66" s="2914"/>
      <c r="O66" s="2914"/>
      <c r="P66" s="2923"/>
      <c r="Q66" s="2900"/>
      <c r="R66" s="2886"/>
      <c r="S66" s="2886"/>
      <c r="T66" s="2886"/>
      <c r="U66" s="2886"/>
      <c r="V66" s="2886"/>
      <c r="W66" s="2886"/>
      <c r="X66" s="2886"/>
      <c r="Y66" s="2886"/>
      <c r="Z66" s="2886"/>
      <c r="AA66" s="2886"/>
      <c r="AB66" s="2886"/>
      <c r="AC66" s="2886"/>
    </row>
    <row r="67" spans="1:29" ht="14.5" thickBot="1">
      <c r="A67" s="481"/>
      <c r="B67" s="490"/>
      <c r="C67" s="491" t="s">
        <v>24</v>
      </c>
      <c r="D67" s="491" t="s">
        <v>25</v>
      </c>
      <c r="E67" s="491">
        <v>100</v>
      </c>
      <c r="F67" s="491">
        <f>E67-$K10</f>
        <v>100</v>
      </c>
      <c r="G67" s="491">
        <f>F67-$K10</f>
        <v>100</v>
      </c>
      <c r="H67" s="491">
        <f>G67-$K10</f>
        <v>100</v>
      </c>
      <c r="I67" s="491">
        <f>H67-$K10</f>
        <v>100</v>
      </c>
      <c r="J67" s="491"/>
      <c r="K67" s="491"/>
      <c r="L67" s="491"/>
      <c r="M67" s="492"/>
      <c r="N67" s="2915"/>
      <c r="O67" s="2915"/>
      <c r="P67" s="2923"/>
      <c r="Q67" s="2900"/>
      <c r="R67" s="2886"/>
      <c r="S67" s="2886"/>
      <c r="T67" s="2886"/>
      <c r="U67" s="2886"/>
      <c r="V67" s="2886"/>
      <c r="W67" s="2886"/>
      <c r="X67" s="2886"/>
      <c r="Y67" s="2886"/>
      <c r="Z67" s="2886"/>
      <c r="AA67" s="2886"/>
      <c r="AB67" s="2886"/>
      <c r="AC67" s="2886"/>
    </row>
    <row r="68" spans="1:29" ht="14.5" thickTop="1">
      <c r="A68" s="481"/>
      <c r="B68" s="493" t="s">
        <v>2138</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915"/>
      <c r="O68" s="2915"/>
      <c r="P68" s="2923"/>
      <c r="Q68" s="2900"/>
      <c r="R68" s="2886"/>
      <c r="S68" s="2886"/>
      <c r="T68" s="2886"/>
      <c r="U68" s="2886"/>
      <c r="V68" s="2886"/>
      <c r="W68" s="2886"/>
      <c r="X68" s="2886"/>
      <c r="Y68" s="2886"/>
      <c r="Z68" s="2886"/>
      <c r="AA68" s="2886"/>
      <c r="AB68" s="2886"/>
      <c r="AC68" s="2886"/>
    </row>
    <row r="69" spans="1:29">
      <c r="A69" s="481"/>
      <c r="B69" s="495"/>
      <c r="C69" s="496"/>
      <c r="D69" s="496"/>
      <c r="E69" s="496"/>
      <c r="F69" s="496"/>
      <c r="G69" s="496"/>
      <c r="H69" s="496"/>
      <c r="I69" s="496"/>
      <c r="J69" s="496"/>
      <c r="K69" s="497"/>
      <c r="L69" s="498"/>
      <c r="M69" s="499"/>
      <c r="N69" s="2914"/>
      <c r="O69" s="2914"/>
      <c r="P69" s="2923"/>
      <c r="Q69" s="2900"/>
      <c r="R69" s="2886"/>
      <c r="S69" s="2886"/>
      <c r="T69" s="2886"/>
      <c r="U69" s="2886"/>
      <c r="V69" s="2886"/>
      <c r="W69" s="2886"/>
      <c r="X69" s="2886"/>
      <c r="Y69" s="2886"/>
      <c r="Z69" s="2886"/>
      <c r="AA69" s="2886"/>
      <c r="AB69" s="2886"/>
      <c r="AC69" s="288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15"/>
      <c r="O70" s="2915"/>
      <c r="P70" s="2923"/>
      <c r="Q70" s="2900"/>
      <c r="R70" s="2886"/>
      <c r="S70" s="2886"/>
      <c r="T70" s="2886"/>
      <c r="U70" s="2886"/>
      <c r="V70" s="2886"/>
      <c r="W70" s="2886"/>
      <c r="X70" s="2886"/>
      <c r="Y70" s="2886"/>
      <c r="Z70" s="2886"/>
      <c r="AA70" s="2886"/>
      <c r="AB70" s="2886"/>
      <c r="AC70" s="2886"/>
    </row>
    <row r="71" spans="1:29" s="420" customFormat="1" ht="14.5" thickTop="1">
      <c r="A71" s="500"/>
      <c r="B71" s="485">
        <f>B12</f>
        <v>111</v>
      </c>
      <c r="C71" s="501"/>
      <c r="D71" s="501"/>
      <c r="E71" s="501"/>
      <c r="F71" s="501"/>
      <c r="G71" s="501"/>
      <c r="H71" s="502"/>
      <c r="I71" s="502"/>
      <c r="J71" s="502"/>
      <c r="K71" s="502"/>
      <c r="L71" s="503"/>
      <c r="M71" s="504"/>
      <c r="N71" s="2916"/>
      <c r="O71" s="2916"/>
      <c r="P71" s="2924"/>
      <c r="Q71" s="2907"/>
      <c r="R71" s="2908"/>
      <c r="S71" s="2908"/>
      <c r="T71" s="2908"/>
      <c r="U71" s="2908"/>
      <c r="V71" s="2908"/>
      <c r="W71" s="2908"/>
      <c r="X71" s="2908"/>
      <c r="Y71" s="2908"/>
      <c r="Z71" s="2908"/>
      <c r="AA71" s="2908"/>
      <c r="AB71" s="2908"/>
      <c r="AC71" s="2908"/>
    </row>
    <row r="72" spans="1:29" s="420" customFormat="1" ht="14.5" thickBot="1">
      <c r="A72" s="500"/>
      <c r="B72" s="490"/>
      <c r="C72" s="507"/>
      <c r="D72" s="483"/>
      <c r="E72" s="483"/>
      <c r="F72" s="483"/>
      <c r="G72" s="483"/>
      <c r="H72" s="483"/>
      <c r="I72" s="483"/>
      <c r="J72" s="483"/>
      <c r="K72" s="483"/>
      <c r="L72" s="483"/>
      <c r="M72" s="484"/>
      <c r="N72" s="2915"/>
      <c r="O72" s="2915"/>
      <c r="P72" s="2924"/>
      <c r="Q72" s="2907"/>
      <c r="R72" s="2908"/>
      <c r="S72" s="2908"/>
      <c r="T72" s="2908"/>
      <c r="U72" s="2908"/>
      <c r="V72" s="2908"/>
      <c r="W72" s="2908"/>
      <c r="X72" s="2908"/>
      <c r="Y72" s="2908"/>
      <c r="Z72" s="2908"/>
      <c r="AA72" s="2908"/>
      <c r="AB72" s="2908"/>
      <c r="AC72" s="2908"/>
    </row>
    <row r="73" spans="1:29" s="420" customFormat="1" ht="14.5" thickTop="1">
      <c r="A73" s="500"/>
      <c r="B73" s="485">
        <f>B13</f>
        <v>111</v>
      </c>
      <c r="C73" s="501"/>
      <c r="D73" s="501"/>
      <c r="E73" s="501"/>
      <c r="F73" s="501"/>
      <c r="G73" s="501"/>
      <c r="H73" s="502"/>
      <c r="I73" s="502"/>
      <c r="J73" s="502"/>
      <c r="K73" s="502"/>
      <c r="L73" s="503"/>
      <c r="M73" s="504"/>
      <c r="N73" s="2916"/>
      <c r="O73" s="2916"/>
      <c r="P73" s="2925"/>
      <c r="Q73" s="2910"/>
      <c r="R73" s="2908"/>
      <c r="S73" s="2908"/>
      <c r="T73" s="2908"/>
      <c r="U73" s="2908"/>
      <c r="V73" s="2908"/>
      <c r="W73" s="2908"/>
      <c r="X73" s="2908"/>
      <c r="Y73" s="2908"/>
      <c r="Z73" s="2908"/>
      <c r="AA73" s="2908"/>
      <c r="AB73" s="2908"/>
      <c r="AC73" s="2908"/>
    </row>
    <row r="74" spans="1:29" s="420" customFormat="1" ht="14.5" thickBot="1">
      <c r="A74" s="500"/>
      <c r="B74" s="490"/>
      <c r="C74" s="507"/>
      <c r="D74" s="507"/>
      <c r="E74" s="507"/>
      <c r="F74" s="507"/>
      <c r="G74" s="507"/>
      <c r="H74" s="509"/>
      <c r="I74" s="509"/>
      <c r="J74" s="509"/>
      <c r="K74" s="509"/>
      <c r="L74" s="509"/>
      <c r="M74" s="510"/>
      <c r="N74" s="2916"/>
      <c r="O74" s="2916"/>
      <c r="P74" s="2924"/>
      <c r="Q74" s="2907"/>
      <c r="R74" s="2908"/>
      <c r="S74" s="2908"/>
      <c r="T74" s="2908"/>
      <c r="U74" s="2908"/>
      <c r="V74" s="2908"/>
      <c r="W74" s="2908"/>
      <c r="X74" s="2908"/>
      <c r="Y74" s="2908"/>
      <c r="Z74" s="2908"/>
      <c r="AA74" s="2908"/>
      <c r="AB74" s="2908"/>
      <c r="AC74" s="2908"/>
    </row>
    <row r="75" spans="1:29" s="420" customFormat="1" ht="14.5" thickTop="1">
      <c r="A75" s="500"/>
      <c r="B75" s="493">
        <f>B14</f>
        <v>111</v>
      </c>
      <c r="C75" s="470"/>
      <c r="D75" s="470"/>
      <c r="E75" s="470"/>
      <c r="F75" s="470"/>
      <c r="G75" s="470"/>
      <c r="H75" s="511"/>
      <c r="I75" s="511"/>
      <c r="J75" s="511"/>
      <c r="K75" s="511"/>
      <c r="L75" s="512"/>
      <c r="M75" s="513"/>
      <c r="N75" s="2916"/>
      <c r="O75" s="2916"/>
      <c r="P75" s="2926"/>
      <c r="Q75" s="2907"/>
      <c r="R75" s="2908"/>
      <c r="S75" s="2908"/>
      <c r="T75" s="2908"/>
      <c r="U75" s="2908"/>
      <c r="V75" s="2908"/>
      <c r="W75" s="2908"/>
      <c r="X75" s="2908"/>
      <c r="Y75" s="2908"/>
      <c r="Z75" s="2908"/>
      <c r="AA75" s="2908"/>
      <c r="AB75" s="2908"/>
      <c r="AC75" s="2908"/>
    </row>
    <row r="76" spans="1:29" s="420" customFormat="1" ht="14.5" thickBot="1">
      <c r="A76" s="515"/>
      <c r="B76" s="516"/>
      <c r="C76" s="517"/>
      <c r="D76" s="517"/>
      <c r="E76" s="517"/>
      <c r="F76" s="517"/>
      <c r="G76" s="517"/>
      <c r="H76" s="518"/>
      <c r="I76" s="518"/>
      <c r="J76" s="518"/>
      <c r="K76" s="518"/>
      <c r="L76" s="518"/>
      <c r="M76" s="519"/>
      <c r="N76" s="2916"/>
      <c r="O76" s="2916"/>
      <c r="P76" s="2924"/>
      <c r="Q76" s="2907"/>
      <c r="R76" s="2908"/>
      <c r="S76" s="2908"/>
      <c r="T76" s="2908"/>
      <c r="U76" s="2908"/>
      <c r="V76" s="2908"/>
      <c r="W76" s="2908"/>
      <c r="X76" s="2908"/>
      <c r="Y76" s="2908"/>
      <c r="Z76" s="2908"/>
      <c r="AA76" s="2908"/>
      <c r="AB76" s="2908"/>
      <c r="AC76" s="2908"/>
    </row>
    <row r="77" spans="1:29">
      <c r="A77" s="474" t="s">
        <v>2139</v>
      </c>
      <c r="B77" s="475" t="s">
        <v>2277</v>
      </c>
      <c r="C77" s="520" t="s">
        <v>2177</v>
      </c>
      <c r="D77" s="520" t="s">
        <v>2178</v>
      </c>
      <c r="E77" s="520" t="s">
        <v>2179</v>
      </c>
      <c r="F77" s="520" t="s">
        <v>2180</v>
      </c>
      <c r="G77" s="520" t="s">
        <v>2181</v>
      </c>
      <c r="H77" s="476"/>
      <c r="I77" s="476"/>
      <c r="J77" s="476"/>
      <c r="K77" s="521"/>
      <c r="L77" s="522"/>
      <c r="M77" s="523"/>
      <c r="N77" s="2914"/>
      <c r="O77" s="2914"/>
      <c r="P77" s="2927"/>
      <c r="Q77" s="2900"/>
      <c r="R77" s="2886"/>
      <c r="S77" s="2886"/>
      <c r="T77" s="2886"/>
      <c r="U77" s="2886"/>
      <c r="V77" s="2886"/>
      <c r="W77" s="2886"/>
      <c r="X77" s="2886"/>
      <c r="Y77" s="2886"/>
      <c r="Z77" s="2886"/>
      <c r="AA77" s="2886"/>
      <c r="AB77" s="2886"/>
      <c r="AC77" s="2886"/>
    </row>
    <row r="78" spans="1:29" ht="14.5" thickBot="1">
      <c r="A78" s="481"/>
      <c r="B78" s="490"/>
      <c r="C78" s="491">
        <v>100</v>
      </c>
      <c r="D78" s="491">
        <f>C78-$K15</f>
        <v>100</v>
      </c>
      <c r="E78" s="491">
        <f>D78-$K15</f>
        <v>100</v>
      </c>
      <c r="F78" s="491">
        <f>E78-$K15</f>
        <v>100</v>
      </c>
      <c r="G78" s="491">
        <f>F78-$K15</f>
        <v>100</v>
      </c>
      <c r="H78" s="491"/>
      <c r="I78" s="491"/>
      <c r="J78" s="491"/>
      <c r="K78" s="491"/>
      <c r="L78" s="491"/>
      <c r="M78" s="492"/>
      <c r="N78" s="2915"/>
      <c r="O78" s="2915"/>
      <c r="P78" s="2923"/>
      <c r="Q78" s="2900"/>
      <c r="R78" s="2886"/>
      <c r="S78" s="2886"/>
      <c r="T78" s="2886"/>
      <c r="U78" s="2886"/>
      <c r="V78" s="2886"/>
      <c r="W78" s="2886"/>
      <c r="X78" s="2886"/>
      <c r="Y78" s="2886"/>
      <c r="Z78" s="2886"/>
      <c r="AA78" s="2886"/>
      <c r="AB78" s="2886"/>
      <c r="AC78" s="2886"/>
    </row>
    <row r="79" spans="1:29" ht="14.5" thickTop="1">
      <c r="A79" s="481"/>
      <c r="B79" s="485" t="s">
        <v>2182</v>
      </c>
      <c r="C79" s="525" t="s">
        <v>2177</v>
      </c>
      <c r="D79" s="525" t="s">
        <v>2178</v>
      </c>
      <c r="E79" s="525" t="s">
        <v>2179</v>
      </c>
      <c r="F79" s="525" t="s">
        <v>2180</v>
      </c>
      <c r="G79" s="525" t="s">
        <v>2181</v>
      </c>
      <c r="H79" s="486"/>
      <c r="I79" s="486"/>
      <c r="J79" s="486"/>
      <c r="K79" s="487"/>
      <c r="L79" s="488"/>
      <c r="M79" s="489"/>
      <c r="N79" s="2914"/>
      <c r="O79" s="2914"/>
      <c r="P79" s="2923"/>
      <c r="Q79" s="2900"/>
      <c r="R79" s="2886"/>
      <c r="S79" s="2886"/>
      <c r="T79" s="2886"/>
      <c r="U79" s="2886"/>
      <c r="V79" s="2886"/>
      <c r="W79" s="2886"/>
      <c r="X79" s="2886"/>
      <c r="Y79" s="2886"/>
      <c r="Z79" s="2886"/>
      <c r="AA79" s="2886"/>
      <c r="AB79" s="2886"/>
      <c r="AC79" s="2886"/>
    </row>
    <row r="80" spans="1:29" ht="14.5" thickBot="1">
      <c r="A80" s="481"/>
      <c r="B80" s="490"/>
      <c r="C80" s="491">
        <v>100</v>
      </c>
      <c r="D80" s="491">
        <f>C80-$K17</f>
        <v>100</v>
      </c>
      <c r="E80" s="491">
        <f>D80-$K17</f>
        <v>100</v>
      </c>
      <c r="F80" s="491">
        <f>E80-$K17</f>
        <v>100</v>
      </c>
      <c r="G80" s="491">
        <f>F80-$K17</f>
        <v>100</v>
      </c>
      <c r="H80" s="491"/>
      <c r="I80" s="491"/>
      <c r="J80" s="491"/>
      <c r="K80" s="491"/>
      <c r="L80" s="491"/>
      <c r="M80" s="492"/>
      <c r="N80" s="2915"/>
      <c r="O80" s="2915"/>
      <c r="P80" s="2923"/>
      <c r="Q80" s="2900"/>
      <c r="R80" s="2886"/>
      <c r="S80" s="2886"/>
      <c r="T80" s="2886"/>
      <c r="U80" s="2886"/>
      <c r="V80" s="2886"/>
      <c r="W80" s="2886"/>
      <c r="X80" s="2886"/>
      <c r="Y80" s="2886"/>
      <c r="Z80" s="2886"/>
      <c r="AA80" s="2886"/>
      <c r="AB80" s="2886"/>
      <c r="AC80" s="2886"/>
    </row>
    <row r="81" spans="1:29" ht="14.5" thickTop="1">
      <c r="A81" s="481"/>
      <c r="B81" s="485" t="s">
        <v>2183</v>
      </c>
      <c r="C81" s="525" t="s">
        <v>2177</v>
      </c>
      <c r="D81" s="525" t="s">
        <v>2178</v>
      </c>
      <c r="E81" s="525" t="s">
        <v>2179</v>
      </c>
      <c r="F81" s="525" t="s">
        <v>2180</v>
      </c>
      <c r="G81" s="525" t="s">
        <v>2181</v>
      </c>
      <c r="H81" s="486"/>
      <c r="I81" s="486"/>
      <c r="J81" s="486"/>
      <c r="K81" s="487"/>
      <c r="L81" s="488"/>
      <c r="M81" s="489"/>
      <c r="N81" s="2914"/>
      <c r="O81" s="2914"/>
      <c r="P81" s="2923"/>
      <c r="Q81" s="2900"/>
      <c r="R81" s="2886"/>
      <c r="S81" s="2886"/>
      <c r="T81" s="2886"/>
      <c r="U81" s="2886"/>
      <c r="V81" s="2886"/>
      <c r="W81" s="2886"/>
      <c r="X81" s="2886"/>
      <c r="Y81" s="2886"/>
      <c r="Z81" s="2886"/>
      <c r="AA81" s="2886"/>
      <c r="AB81" s="2886"/>
      <c r="AC81" s="2886"/>
    </row>
    <row r="82" spans="1:29" ht="14.5" thickBot="1">
      <c r="A82" s="481"/>
      <c r="B82" s="490"/>
      <c r="C82" s="491">
        <v>100</v>
      </c>
      <c r="D82" s="491">
        <f>C82-$K19</f>
        <v>100</v>
      </c>
      <c r="E82" s="491">
        <f>D82-$K19</f>
        <v>100</v>
      </c>
      <c r="F82" s="491">
        <f>E82-$K19</f>
        <v>100</v>
      </c>
      <c r="G82" s="491">
        <f>F82-$K19</f>
        <v>100</v>
      </c>
      <c r="H82" s="491"/>
      <c r="I82" s="491"/>
      <c r="J82" s="491"/>
      <c r="K82" s="491"/>
      <c r="L82" s="491"/>
      <c r="M82" s="492"/>
      <c r="N82" s="2915"/>
      <c r="O82" s="2915"/>
      <c r="P82" s="2923"/>
      <c r="Q82" s="2900"/>
      <c r="R82" s="2886"/>
      <c r="S82" s="2886"/>
      <c r="T82" s="2886"/>
      <c r="U82" s="2886"/>
      <c r="V82" s="2886"/>
      <c r="W82" s="2886"/>
      <c r="X82" s="2886"/>
      <c r="Y82" s="2886"/>
      <c r="Z82" s="2886"/>
      <c r="AA82" s="2886"/>
      <c r="AB82" s="2886"/>
      <c r="AC82" s="2886"/>
    </row>
    <row r="83" spans="1:29" ht="14.5" thickTop="1">
      <c r="A83" s="481"/>
      <c r="B83" s="493" t="s">
        <v>2269</v>
      </c>
      <c r="C83" s="606" t="s">
        <v>2255</v>
      </c>
      <c r="D83" s="606" t="s">
        <v>2256</v>
      </c>
      <c r="E83" s="606" t="s">
        <v>2257</v>
      </c>
      <c r="F83" s="606" t="s">
        <v>2258</v>
      </c>
      <c r="G83" s="606" t="s">
        <v>2259</v>
      </c>
      <c r="H83" s="486"/>
      <c r="I83" s="486"/>
      <c r="J83" s="486"/>
      <c r="K83" s="486"/>
      <c r="L83" s="486"/>
      <c r="M83" s="1232"/>
      <c r="N83" s="2915"/>
      <c r="O83" s="2915"/>
      <c r="P83" s="2923"/>
      <c r="Q83" s="2900"/>
      <c r="R83" s="2886"/>
      <c r="S83" s="2886"/>
      <c r="T83" s="2886"/>
      <c r="U83" s="2886"/>
      <c r="V83" s="2886"/>
      <c r="W83" s="2886"/>
      <c r="X83" s="2886"/>
      <c r="Y83" s="2886"/>
      <c r="Z83" s="2886"/>
      <c r="AA83" s="2886"/>
      <c r="AB83" s="2886"/>
      <c r="AC83" s="2886"/>
    </row>
    <row r="84" spans="1:29" ht="14.5" thickBot="1">
      <c r="A84" s="481"/>
      <c r="B84" s="493"/>
      <c r="C84" s="491">
        <v>100</v>
      </c>
      <c r="D84" s="491">
        <f>C84-$K21</f>
        <v>100</v>
      </c>
      <c r="E84" s="491">
        <f>D84-$K21</f>
        <v>100</v>
      </c>
      <c r="F84" s="491">
        <f>E84-$K21</f>
        <v>100</v>
      </c>
      <c r="G84" s="491">
        <f>F84-$K21</f>
        <v>100</v>
      </c>
      <c r="H84" s="606"/>
      <c r="I84" s="606"/>
      <c r="J84" s="606"/>
      <c r="K84" s="606"/>
      <c r="L84" s="606"/>
      <c r="M84" s="399"/>
      <c r="N84" s="2915"/>
      <c r="O84" s="2915"/>
      <c r="P84" s="2923"/>
      <c r="Q84" s="2900"/>
      <c r="R84" s="2886"/>
      <c r="S84" s="2886"/>
      <c r="T84" s="2886"/>
      <c r="U84" s="2886"/>
      <c r="V84" s="2886"/>
      <c r="W84" s="2886"/>
      <c r="X84" s="2886"/>
      <c r="Y84" s="2886"/>
      <c r="Z84" s="2886"/>
      <c r="AA84" s="2886"/>
      <c r="AB84" s="2886"/>
      <c r="AC84" s="2886"/>
    </row>
    <row r="85" spans="1:29" ht="14.5" thickTop="1">
      <c r="A85" s="481"/>
      <c r="B85" s="485" t="s">
        <v>2278</v>
      </c>
      <c r="C85" s="525" t="s">
        <v>2177</v>
      </c>
      <c r="D85" s="525" t="s">
        <v>2178</v>
      </c>
      <c r="E85" s="525" t="s">
        <v>2179</v>
      </c>
      <c r="F85" s="525" t="s">
        <v>2180</v>
      </c>
      <c r="G85" s="525" t="s">
        <v>2181</v>
      </c>
      <c r="H85" s="486"/>
      <c r="I85" s="486"/>
      <c r="J85" s="486"/>
      <c r="K85" s="487"/>
      <c r="L85" s="488"/>
      <c r="M85" s="489"/>
      <c r="N85" s="2914"/>
      <c r="O85" s="2914"/>
      <c r="P85" s="2923"/>
      <c r="Q85" s="2900"/>
      <c r="R85" s="2886"/>
      <c r="S85" s="2886"/>
      <c r="T85" s="2886"/>
      <c r="U85" s="2886"/>
      <c r="V85" s="2886"/>
      <c r="W85" s="2886"/>
      <c r="X85" s="2886"/>
      <c r="Y85" s="2886"/>
      <c r="Z85" s="2886"/>
      <c r="AA85" s="2886"/>
      <c r="AB85" s="2886"/>
      <c r="AC85" s="2886"/>
    </row>
    <row r="86" spans="1:29" ht="14.5" thickBot="1">
      <c r="A86" s="481"/>
      <c r="B86" s="490"/>
      <c r="C86" s="491">
        <v>100</v>
      </c>
      <c r="D86" s="491">
        <f>C86-$K23</f>
        <v>100</v>
      </c>
      <c r="E86" s="491">
        <f>D86-$K23</f>
        <v>100</v>
      </c>
      <c r="F86" s="491">
        <f>E86-$K23</f>
        <v>100</v>
      </c>
      <c r="G86" s="491">
        <f>F86-$K23</f>
        <v>100</v>
      </c>
      <c r="H86" s="491"/>
      <c r="I86" s="491"/>
      <c r="J86" s="491"/>
      <c r="K86" s="491"/>
      <c r="L86" s="491"/>
      <c r="M86" s="492"/>
      <c r="N86" s="2915"/>
      <c r="O86" s="2915"/>
      <c r="P86" s="2923"/>
      <c r="Q86" s="2900"/>
      <c r="R86" s="2886"/>
      <c r="S86" s="2886"/>
      <c r="T86" s="2886"/>
      <c r="U86" s="2886"/>
      <c r="V86" s="2886"/>
      <c r="W86" s="2886"/>
      <c r="X86" s="2886"/>
      <c r="Y86" s="2886"/>
      <c r="Z86" s="2886"/>
      <c r="AA86" s="2886"/>
      <c r="AB86" s="2886"/>
      <c r="AC86" s="2886"/>
    </row>
    <row r="87" spans="1:29" s="110" customFormat="1" ht="28.5" thickTop="1">
      <c r="A87" s="526"/>
      <c r="B87" s="485" t="s">
        <v>2279</v>
      </c>
      <c r="C87" s="501"/>
      <c r="D87" s="501"/>
      <c r="E87" s="501"/>
      <c r="F87" s="501"/>
      <c r="G87" s="501"/>
      <c r="H87" s="501"/>
      <c r="I87" s="501"/>
      <c r="J87" s="501"/>
      <c r="K87" s="501"/>
      <c r="L87" s="527"/>
      <c r="M87" s="528"/>
      <c r="N87" s="2913"/>
      <c r="O87" s="2913"/>
      <c r="P87" s="2923"/>
      <c r="Q87" s="2900"/>
      <c r="R87" s="2821"/>
      <c r="S87" s="2821"/>
      <c r="T87" s="2821"/>
      <c r="U87" s="2821"/>
      <c r="V87" s="2821"/>
      <c r="W87" s="2821"/>
      <c r="X87" s="2821"/>
      <c r="Y87" s="2821"/>
      <c r="Z87" s="2821"/>
      <c r="AA87" s="2821"/>
      <c r="AB87" s="2821"/>
      <c r="AC87" s="2821"/>
    </row>
    <row r="88" spans="1:29" s="110" customFormat="1" ht="14.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915"/>
      <c r="O88" s="2915"/>
      <c r="P88" s="2923"/>
      <c r="Q88" s="2900"/>
      <c r="R88" s="2821"/>
      <c r="S88" s="2821"/>
      <c r="T88" s="2821"/>
      <c r="U88" s="2821"/>
      <c r="V88" s="2821"/>
      <c r="W88" s="2821"/>
      <c r="X88" s="2821"/>
      <c r="Y88" s="2821"/>
      <c r="Z88" s="2821"/>
      <c r="AA88" s="2821"/>
      <c r="AB88" s="2821"/>
      <c r="AC88" s="2821"/>
    </row>
    <row r="89" spans="1:29" s="110" customFormat="1" ht="14.5" thickTop="1">
      <c r="A89" s="526"/>
      <c r="B89" s="485" t="str">
        <f>B27</f>
        <v>楼层</v>
      </c>
      <c r="C89" s="501"/>
      <c r="D89" s="501"/>
      <c r="E89" s="501"/>
      <c r="F89" s="2051"/>
      <c r="G89" s="501"/>
      <c r="H89" s="501"/>
      <c r="I89" s="501"/>
      <c r="J89" s="501"/>
      <c r="K89" s="501"/>
      <c r="L89" s="501"/>
      <c r="M89" s="528"/>
      <c r="N89" s="2913"/>
      <c r="O89" s="2913"/>
      <c r="P89" s="2923"/>
      <c r="Q89" s="2900"/>
      <c r="R89" s="2821"/>
      <c r="S89" s="2821"/>
      <c r="T89" s="2821"/>
      <c r="U89" s="2821"/>
      <c r="V89" s="2821"/>
      <c r="W89" s="2821"/>
      <c r="X89" s="2821"/>
      <c r="Y89" s="2821"/>
      <c r="Z89" s="2821"/>
      <c r="AA89" s="2821"/>
      <c r="AB89" s="2821"/>
      <c r="AC89" s="2821"/>
    </row>
    <row r="90" spans="1:29" s="110" customFormat="1" ht="14.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915"/>
      <c r="O90" s="2915"/>
      <c r="P90" s="2923"/>
      <c r="Q90" s="2900"/>
      <c r="R90" s="2821"/>
      <c r="S90" s="2821"/>
      <c r="T90" s="2821"/>
      <c r="U90" s="2821"/>
      <c r="V90" s="2821"/>
      <c r="W90" s="2821"/>
      <c r="X90" s="2821"/>
      <c r="Y90" s="2821"/>
      <c r="Z90" s="2821"/>
      <c r="AA90" s="2821"/>
      <c r="AB90" s="2821"/>
      <c r="AC90" s="2821"/>
    </row>
    <row r="91" spans="1:29" s="420" customFormat="1" ht="14.5" thickTop="1">
      <c r="A91" s="500"/>
      <c r="B91" s="485" t="str">
        <f>B28</f>
        <v>朝向</v>
      </c>
      <c r="C91" s="501"/>
      <c r="D91" s="501"/>
      <c r="E91" s="501"/>
      <c r="F91" s="501"/>
      <c r="G91" s="501"/>
      <c r="H91" s="502"/>
      <c r="I91" s="502"/>
      <c r="J91" s="502"/>
      <c r="K91" s="502"/>
      <c r="L91" s="503"/>
      <c r="M91" s="504"/>
      <c r="N91" s="2916"/>
      <c r="O91" s="2916"/>
      <c r="P91" s="2924"/>
      <c r="Q91" s="2907"/>
      <c r="R91" s="2908"/>
      <c r="S91" s="2908"/>
      <c r="T91" s="2908"/>
      <c r="U91" s="2908"/>
      <c r="V91" s="2908"/>
      <c r="W91" s="2908"/>
      <c r="X91" s="2908"/>
      <c r="Y91" s="2908"/>
      <c r="Z91" s="2908"/>
      <c r="AA91" s="2908"/>
      <c r="AB91" s="2908"/>
      <c r="AC91" s="290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16"/>
      <c r="O92" s="2916"/>
      <c r="P92" s="2924"/>
      <c r="Q92" s="2907"/>
      <c r="R92" s="2908"/>
      <c r="S92" s="2908"/>
      <c r="T92" s="2908"/>
      <c r="U92" s="2908"/>
      <c r="V92" s="2908"/>
      <c r="W92" s="2908"/>
      <c r="X92" s="2908"/>
      <c r="Y92" s="2908"/>
      <c r="Z92" s="2908"/>
      <c r="AA92" s="2908"/>
      <c r="AB92" s="2908"/>
      <c r="AC92" s="2908"/>
    </row>
    <row r="93" spans="1:29" ht="14.5" thickTop="1">
      <c r="A93" s="481"/>
      <c r="B93" s="485">
        <f>B29</f>
        <v>111</v>
      </c>
      <c r="C93" s="501"/>
      <c r="D93" s="501"/>
      <c r="E93" s="501"/>
      <c r="F93" s="501"/>
      <c r="G93" s="501"/>
      <c r="H93" s="501"/>
      <c r="I93" s="501"/>
      <c r="J93" s="501"/>
      <c r="K93" s="501"/>
      <c r="L93" s="527"/>
      <c r="M93" s="528"/>
      <c r="N93" s="2914"/>
      <c r="O93" s="2914"/>
      <c r="P93" s="2923"/>
      <c r="Q93" s="2900"/>
      <c r="R93" s="2886"/>
      <c r="S93" s="2886"/>
      <c r="T93" s="2886"/>
      <c r="U93" s="2886"/>
      <c r="V93" s="2886"/>
      <c r="W93" s="2886"/>
      <c r="X93" s="2886"/>
      <c r="Y93" s="2886"/>
      <c r="Z93" s="2886"/>
      <c r="AA93" s="2886"/>
      <c r="AB93" s="2886"/>
      <c r="AC93" s="2886"/>
    </row>
    <row r="94" spans="1:29" ht="14.5" thickBot="1">
      <c r="A94" s="481"/>
      <c r="B94" s="490"/>
      <c r="C94" s="507"/>
      <c r="D94" s="483"/>
      <c r="E94" s="483"/>
      <c r="F94" s="483"/>
      <c r="G94" s="483"/>
      <c r="H94" s="483"/>
      <c r="I94" s="483"/>
      <c r="J94" s="483"/>
      <c r="K94" s="483"/>
      <c r="L94" s="483"/>
      <c r="M94" s="484"/>
      <c r="N94" s="2915"/>
      <c r="O94" s="2915"/>
      <c r="P94" s="2923"/>
      <c r="Q94" s="2900"/>
      <c r="R94" s="2886"/>
      <c r="S94" s="2886"/>
      <c r="T94" s="2886"/>
      <c r="U94" s="2886"/>
      <c r="V94" s="2886"/>
      <c r="W94" s="2886"/>
      <c r="X94" s="2886"/>
      <c r="Y94" s="2886"/>
      <c r="Z94" s="2886"/>
      <c r="AA94" s="2886"/>
      <c r="AB94" s="2886"/>
      <c r="AC94" s="2886"/>
    </row>
    <row r="95" spans="1:29" ht="14.5" thickTop="1">
      <c r="A95" s="481"/>
      <c r="B95" s="485">
        <f>B30</f>
        <v>111</v>
      </c>
      <c r="C95" s="501"/>
      <c r="D95" s="501"/>
      <c r="E95" s="501"/>
      <c r="F95" s="501"/>
      <c r="G95" s="530"/>
      <c r="H95" s="530"/>
      <c r="I95" s="530"/>
      <c r="J95" s="530"/>
      <c r="K95" s="531"/>
      <c r="L95" s="532"/>
      <c r="M95" s="533"/>
      <c r="N95" s="2914"/>
      <c r="O95" s="2914"/>
      <c r="P95" s="2923"/>
      <c r="Q95" s="2900"/>
      <c r="R95" s="2886"/>
      <c r="S95" s="2886"/>
      <c r="T95" s="2886"/>
      <c r="U95" s="2886"/>
      <c r="V95" s="2886"/>
      <c r="W95" s="2886"/>
      <c r="X95" s="2886"/>
      <c r="Y95" s="2886"/>
      <c r="Z95" s="2886"/>
      <c r="AA95" s="2886"/>
      <c r="AB95" s="2886"/>
      <c r="AC95" s="2886"/>
    </row>
    <row r="96" spans="1:29" ht="14.5" thickBot="1">
      <c r="A96" s="481"/>
      <c r="B96" s="490"/>
      <c r="C96" s="507"/>
      <c r="D96" s="507"/>
      <c r="E96" s="507"/>
      <c r="F96" s="507"/>
      <c r="G96" s="483"/>
      <c r="H96" s="483"/>
      <c r="I96" s="483"/>
      <c r="J96" s="483"/>
      <c r="K96" s="483"/>
      <c r="L96" s="483"/>
      <c r="M96" s="484"/>
      <c r="N96" s="2915"/>
      <c r="O96" s="2915"/>
      <c r="P96" s="2923"/>
      <c r="Q96" s="2900"/>
      <c r="R96" s="2886"/>
      <c r="S96" s="2886"/>
      <c r="T96" s="2886"/>
      <c r="U96" s="2886"/>
      <c r="V96" s="2886"/>
      <c r="W96" s="2886"/>
      <c r="X96" s="2886"/>
      <c r="Y96" s="2886"/>
      <c r="Z96" s="2886"/>
      <c r="AA96" s="2886"/>
      <c r="AB96" s="2886"/>
      <c r="AC96" s="2886"/>
    </row>
    <row r="97" spans="1:29" ht="14.5" thickTop="1">
      <c r="A97" s="481"/>
      <c r="B97" s="485">
        <f>B31</f>
        <v>111</v>
      </c>
      <c r="C97" s="501"/>
      <c r="D97" s="501"/>
      <c r="E97" s="501"/>
      <c r="F97" s="501"/>
      <c r="G97" s="530"/>
      <c r="H97" s="530"/>
      <c r="I97" s="530"/>
      <c r="J97" s="530"/>
      <c r="K97" s="531"/>
      <c r="L97" s="532"/>
      <c r="M97" s="533"/>
      <c r="N97" s="2914"/>
      <c r="O97" s="2914"/>
      <c r="P97" s="2923"/>
      <c r="Q97" s="2900"/>
      <c r="R97" s="2886"/>
      <c r="S97" s="2886"/>
      <c r="T97" s="2886"/>
      <c r="U97" s="2886"/>
      <c r="V97" s="2886"/>
      <c r="W97" s="2886"/>
      <c r="X97" s="2886"/>
      <c r="Y97" s="2886"/>
      <c r="Z97" s="2886"/>
      <c r="AA97" s="2886"/>
      <c r="AB97" s="2886"/>
      <c r="AC97" s="2886"/>
    </row>
    <row r="98" spans="1:29" ht="14.5" thickBot="1">
      <c r="A98" s="481"/>
      <c r="B98" s="490"/>
      <c r="C98" s="507"/>
      <c r="D98" s="483"/>
      <c r="E98" s="483"/>
      <c r="F98" s="483"/>
      <c r="G98" s="483"/>
      <c r="H98" s="483"/>
      <c r="I98" s="483"/>
      <c r="J98" s="483"/>
      <c r="K98" s="483"/>
      <c r="L98" s="483"/>
      <c r="M98" s="484"/>
      <c r="N98" s="2915"/>
      <c r="O98" s="2915"/>
      <c r="P98" s="2923"/>
      <c r="Q98" s="2900"/>
      <c r="R98" s="2886"/>
      <c r="S98" s="2886"/>
      <c r="T98" s="2886"/>
      <c r="U98" s="2886"/>
      <c r="V98" s="2886"/>
      <c r="W98" s="2886"/>
      <c r="X98" s="2886"/>
      <c r="Y98" s="2886"/>
      <c r="Z98" s="2886"/>
      <c r="AA98" s="2886"/>
      <c r="AB98" s="2886"/>
      <c r="AC98" s="2886"/>
    </row>
    <row r="99" spans="1:29" ht="14.5" thickTop="1">
      <c r="A99" s="481"/>
      <c r="B99" s="493">
        <f>B32</f>
        <v>111</v>
      </c>
      <c r="C99" s="470"/>
      <c r="D99" s="470"/>
      <c r="E99" s="470"/>
      <c r="F99" s="470"/>
      <c r="G99" s="534"/>
      <c r="H99" s="534"/>
      <c r="I99" s="534"/>
      <c r="J99" s="534"/>
      <c r="K99" s="535"/>
      <c r="L99" s="536"/>
      <c r="M99" s="537"/>
      <c r="N99" s="2914"/>
      <c r="O99" s="2914"/>
      <c r="P99" s="2923"/>
      <c r="Q99" s="2900"/>
      <c r="R99" s="2886"/>
      <c r="S99" s="2886"/>
      <c r="T99" s="2886"/>
      <c r="U99" s="2886"/>
      <c r="V99" s="2886"/>
      <c r="W99" s="2886"/>
      <c r="X99" s="2886"/>
      <c r="Y99" s="2886"/>
      <c r="Z99" s="2886"/>
      <c r="AA99" s="2886"/>
      <c r="AB99" s="2886"/>
      <c r="AC99" s="2886"/>
    </row>
    <row r="100" spans="1:29" ht="14.5" thickBot="1">
      <c r="A100" s="2052"/>
      <c r="B100" s="516"/>
      <c r="C100" s="517"/>
      <c r="D100" s="517"/>
      <c r="E100" s="517"/>
      <c r="F100" s="517"/>
      <c r="G100" s="538"/>
      <c r="H100" s="538"/>
      <c r="I100" s="538"/>
      <c r="J100" s="538"/>
      <c r="K100" s="538"/>
      <c r="L100" s="538"/>
      <c r="M100" s="539"/>
      <c r="N100" s="2915"/>
      <c r="O100" s="2915"/>
      <c r="P100" s="2923"/>
      <c r="Q100" s="2900"/>
      <c r="R100" s="2886"/>
      <c r="S100" s="2886"/>
      <c r="T100" s="2886"/>
      <c r="U100" s="2886"/>
      <c r="V100" s="2886"/>
      <c r="W100" s="2886"/>
      <c r="X100" s="2886"/>
      <c r="Y100" s="2886"/>
      <c r="Z100" s="2886"/>
      <c r="AA100" s="2886"/>
      <c r="AB100" s="2886"/>
      <c r="AC100" s="2886"/>
    </row>
    <row r="101" spans="1:29">
      <c r="A101" s="474" t="s">
        <v>2143</v>
      </c>
      <c r="B101" s="475" t="s">
        <v>2192</v>
      </c>
      <c r="C101" s="477"/>
      <c r="D101" s="477"/>
      <c r="E101" s="477"/>
      <c r="F101" s="477"/>
      <c r="G101" s="477"/>
      <c r="H101" s="477"/>
      <c r="I101" s="477"/>
      <c r="J101" s="477"/>
      <c r="K101" s="478"/>
      <c r="L101" s="479"/>
      <c r="M101" s="480"/>
      <c r="N101" s="2914"/>
      <c r="O101" s="2914"/>
      <c r="P101" s="2923"/>
      <c r="Q101" s="2900"/>
      <c r="R101" s="2886"/>
      <c r="S101" s="2886"/>
      <c r="T101" s="2886"/>
      <c r="U101" s="2886"/>
      <c r="V101" s="2886"/>
      <c r="W101" s="2886"/>
      <c r="X101" s="2886"/>
      <c r="Y101" s="2886"/>
      <c r="Z101" s="2886"/>
      <c r="AA101" s="2886"/>
      <c r="AB101" s="2886"/>
      <c r="AC101" s="2886"/>
    </row>
    <row r="102" spans="1:29" ht="14.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915"/>
      <c r="O102" s="2915"/>
      <c r="P102" s="2923"/>
      <c r="Q102" s="2900"/>
      <c r="R102" s="2886"/>
      <c r="S102" s="2886"/>
      <c r="T102" s="2886"/>
      <c r="U102" s="2886"/>
      <c r="V102" s="2886"/>
      <c r="W102" s="2886"/>
      <c r="X102" s="2886"/>
      <c r="Y102" s="2886"/>
      <c r="Z102" s="2886"/>
      <c r="AA102" s="2886"/>
      <c r="AB102" s="2886"/>
      <c r="AC102" s="2886"/>
    </row>
    <row r="103" spans="1:29" ht="14.5" thickTop="1">
      <c r="A103" s="481"/>
      <c r="B103" s="485" t="s">
        <v>2193</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0" customFormat="1">
      <c r="A104" s="540"/>
      <c r="B104" s="541"/>
      <c r="C104" s="542"/>
      <c r="D104" s="542"/>
      <c r="E104" s="542"/>
      <c r="F104" s="542"/>
      <c r="G104" s="542"/>
      <c r="H104" s="542"/>
      <c r="I104" s="542"/>
      <c r="J104" s="543"/>
      <c r="K104" s="543"/>
      <c r="L104" s="544"/>
      <c r="M104" s="545"/>
      <c r="N104" s="2916"/>
      <c r="O104" s="2916"/>
      <c r="P104" s="2924"/>
      <c r="Q104" s="2907"/>
      <c r="R104" s="2908"/>
      <c r="S104" s="2908"/>
      <c r="T104" s="2908"/>
      <c r="U104" s="2908"/>
      <c r="V104" s="2908"/>
      <c r="W104" s="2908"/>
      <c r="X104" s="2908"/>
      <c r="Y104" s="2908"/>
      <c r="Z104" s="2908"/>
      <c r="AA104" s="2908"/>
      <c r="AB104" s="2908"/>
      <c r="AC104" s="2908"/>
    </row>
    <row r="105" spans="1:29" s="420" customFormat="1" ht="14.5" thickBot="1">
      <c r="A105" s="500"/>
      <c r="B105" s="490"/>
      <c r="C105" s="507"/>
      <c r="D105" s="483"/>
      <c r="E105" s="483"/>
      <c r="F105" s="483"/>
      <c r="G105" s="483"/>
      <c r="H105" s="483"/>
      <c r="I105" s="483"/>
      <c r="J105" s="483"/>
      <c r="K105" s="483"/>
      <c r="L105" s="483"/>
      <c r="M105" s="484"/>
      <c r="N105" s="2915"/>
      <c r="O105" s="2915"/>
      <c r="P105" s="2924"/>
      <c r="Q105" s="2907"/>
      <c r="R105" s="2908"/>
      <c r="S105" s="2908"/>
      <c r="T105" s="2908"/>
      <c r="U105" s="2908"/>
      <c r="V105" s="2908"/>
      <c r="W105" s="2908"/>
      <c r="X105" s="2908"/>
      <c r="Y105" s="2908"/>
      <c r="Z105" s="2908"/>
      <c r="AA105" s="2908"/>
      <c r="AB105" s="2908"/>
      <c r="AC105" s="2908"/>
    </row>
    <row r="106" spans="1:29" ht="14.5" thickTop="1">
      <c r="A106" s="546"/>
      <c r="B106" s="485" t="s">
        <v>2194</v>
      </c>
      <c r="C106" s="501"/>
      <c r="D106" s="501"/>
      <c r="E106" s="530"/>
      <c r="F106" s="530"/>
      <c r="G106" s="530"/>
      <c r="H106" s="530"/>
      <c r="I106" s="530"/>
      <c r="J106" s="530"/>
      <c r="K106" s="531"/>
      <c r="L106" s="532"/>
      <c r="M106" s="533"/>
      <c r="N106" s="2914"/>
      <c r="O106" s="2914"/>
      <c r="P106" s="2923"/>
      <c r="Q106" s="2900"/>
      <c r="R106" s="2886"/>
      <c r="S106" s="2886"/>
      <c r="T106" s="2886"/>
      <c r="U106" s="2886"/>
      <c r="V106" s="2886"/>
      <c r="W106" s="2886"/>
      <c r="X106" s="2886"/>
      <c r="Y106" s="2886"/>
      <c r="Z106" s="2886"/>
      <c r="AA106" s="2886"/>
      <c r="AB106" s="2886"/>
      <c r="AC106" s="2886"/>
    </row>
    <row r="107" spans="1:29" ht="14.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915"/>
      <c r="O107" s="2915"/>
      <c r="P107" s="2923"/>
      <c r="Q107" s="2900"/>
      <c r="R107" s="2886"/>
      <c r="S107" s="2886"/>
      <c r="T107" s="2886"/>
      <c r="U107" s="2886"/>
      <c r="V107" s="2886"/>
      <c r="W107" s="2886"/>
      <c r="X107" s="2886"/>
      <c r="Y107" s="2886"/>
      <c r="Z107" s="2886"/>
      <c r="AA107" s="2886"/>
      <c r="AB107" s="2886"/>
      <c r="AC107" s="2886"/>
    </row>
    <row r="108" spans="1:29" ht="14.5" thickTop="1">
      <c r="A108" s="546"/>
      <c r="B108" s="485" t="s">
        <v>2196</v>
      </c>
      <c r="C108" s="501"/>
      <c r="D108" s="501"/>
      <c r="E108" s="501"/>
      <c r="F108" s="530"/>
      <c r="G108" s="530"/>
      <c r="H108" s="530"/>
      <c r="I108" s="530"/>
      <c r="J108" s="530"/>
      <c r="K108" s="531"/>
      <c r="L108" s="532"/>
      <c r="M108" s="533"/>
      <c r="N108" s="2914"/>
      <c r="O108" s="2914"/>
      <c r="P108" s="2923"/>
      <c r="Q108" s="2900"/>
      <c r="R108" s="2886"/>
      <c r="S108" s="2886"/>
      <c r="T108" s="2886"/>
      <c r="U108" s="2886"/>
      <c r="V108" s="2886"/>
      <c r="W108" s="2886"/>
      <c r="X108" s="2886"/>
      <c r="Y108" s="2886"/>
      <c r="Z108" s="2886"/>
      <c r="AA108" s="2886"/>
      <c r="AB108" s="2886"/>
      <c r="AC108" s="2886"/>
    </row>
    <row r="109" spans="1:29" ht="14.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915"/>
      <c r="O109" s="2915"/>
      <c r="P109" s="2923"/>
      <c r="Q109" s="2900"/>
      <c r="R109" s="2886"/>
      <c r="S109" s="2886"/>
      <c r="T109" s="2886"/>
      <c r="U109" s="2886"/>
      <c r="V109" s="2886"/>
      <c r="W109" s="2886"/>
      <c r="X109" s="2886"/>
      <c r="Y109" s="2886"/>
      <c r="Z109" s="2886"/>
      <c r="AA109" s="2886"/>
      <c r="AB109" s="2886"/>
      <c r="AC109" s="2886"/>
    </row>
    <row r="110" spans="1:29" ht="14.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14"/>
      <c r="O110" s="2914"/>
      <c r="P110" s="2923"/>
      <c r="Q110" s="2900"/>
      <c r="R110" s="2886"/>
      <c r="S110" s="2886"/>
      <c r="T110" s="2886"/>
      <c r="U110" s="2886"/>
      <c r="V110" s="2886"/>
      <c r="W110" s="2886"/>
      <c r="X110" s="2886"/>
      <c r="Y110" s="2886"/>
      <c r="Z110" s="2886"/>
      <c r="AA110" s="2886"/>
      <c r="AB110" s="2886"/>
      <c r="AC110" s="2886"/>
    </row>
    <row r="111" spans="1:29">
      <c r="A111" s="546"/>
      <c r="B111" s="493"/>
      <c r="C111" s="550">
        <v>0.5</v>
      </c>
      <c r="D111" s="550">
        <v>0.6</v>
      </c>
      <c r="E111" s="550">
        <v>0.7</v>
      </c>
      <c r="F111" s="550">
        <v>0.8</v>
      </c>
      <c r="G111" s="550">
        <v>0.9</v>
      </c>
      <c r="H111" s="550">
        <v>1.0001</v>
      </c>
      <c r="I111" s="569"/>
      <c r="J111" s="569"/>
      <c r="K111" s="570"/>
      <c r="L111" s="571"/>
      <c r="M111" s="572"/>
      <c r="N111" s="2914"/>
      <c r="O111" s="2914"/>
      <c r="P111" s="2923"/>
      <c r="Q111" s="2900"/>
      <c r="R111" s="2886"/>
      <c r="S111" s="2886"/>
      <c r="T111" s="2886"/>
      <c r="U111" s="2886"/>
      <c r="V111" s="2886"/>
      <c r="W111" s="2886"/>
      <c r="X111" s="2886"/>
      <c r="Y111" s="2886"/>
      <c r="Z111" s="2886"/>
      <c r="AA111" s="2886"/>
      <c r="AB111" s="2886"/>
      <c r="AC111" s="2886"/>
    </row>
    <row r="112" spans="1:29" ht="14.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915"/>
      <c r="O112" s="2915"/>
      <c r="P112" s="2923"/>
      <c r="Q112" s="2900"/>
      <c r="R112" s="2886"/>
      <c r="S112" s="2886"/>
      <c r="T112" s="2886"/>
      <c r="U112" s="2886"/>
      <c r="V112" s="2886"/>
      <c r="W112" s="2886"/>
      <c r="X112" s="2886"/>
      <c r="Y112" s="2886"/>
      <c r="Z112" s="2886"/>
      <c r="AA112" s="2886"/>
      <c r="AB112" s="2886"/>
      <c r="AC112" s="2886"/>
    </row>
    <row r="113" spans="1:29" s="420" customFormat="1" ht="14.5" thickTop="1">
      <c r="A113" s="540"/>
      <c r="B113" s="485" t="s">
        <v>2280</v>
      </c>
      <c r="C113" s="501"/>
      <c r="D113" s="501"/>
      <c r="E113" s="501"/>
      <c r="F113" s="501"/>
      <c r="G113" s="501"/>
      <c r="H113" s="530"/>
      <c r="I113" s="530"/>
      <c r="J113" s="530"/>
      <c r="K113" s="531"/>
      <c r="L113" s="532"/>
      <c r="M113" s="533"/>
      <c r="N113" s="2916"/>
      <c r="O113" s="2916"/>
      <c r="P113" s="2924"/>
      <c r="Q113" s="2907"/>
      <c r="R113" s="2908"/>
      <c r="S113" s="2908"/>
      <c r="T113" s="2908"/>
      <c r="U113" s="2908"/>
      <c r="V113" s="2908"/>
      <c r="W113" s="2908"/>
      <c r="X113" s="2908"/>
      <c r="Y113" s="2908"/>
      <c r="Z113" s="2908"/>
      <c r="AA113" s="2908"/>
      <c r="AB113" s="2908"/>
      <c r="AC113" s="2908"/>
    </row>
    <row r="114" spans="1:29" s="420" customFormat="1" ht="14.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916"/>
      <c r="O114" s="2916"/>
      <c r="P114" s="2924"/>
      <c r="Q114" s="2907"/>
      <c r="R114" s="2908"/>
      <c r="S114" s="2908"/>
      <c r="T114" s="2908"/>
      <c r="U114" s="2908"/>
      <c r="V114" s="2908"/>
      <c r="W114" s="2908"/>
      <c r="X114" s="2908"/>
      <c r="Y114" s="2908"/>
      <c r="Z114" s="2908"/>
      <c r="AA114" s="2908"/>
      <c r="AB114" s="2908"/>
      <c r="AC114" s="2908"/>
    </row>
    <row r="115" spans="1:29" ht="14.5" thickTop="1">
      <c r="A115" s="546"/>
      <c r="B115" s="485" t="s">
        <v>2197</v>
      </c>
      <c r="C115" s="501"/>
      <c r="D115" s="501"/>
      <c r="E115" s="530"/>
      <c r="F115" s="530"/>
      <c r="G115" s="530"/>
      <c r="H115" s="530"/>
      <c r="I115" s="530"/>
      <c r="J115" s="530"/>
      <c r="K115" s="531"/>
      <c r="L115" s="532"/>
      <c r="M115" s="533"/>
      <c r="N115" s="2914"/>
      <c r="O115" s="2914"/>
      <c r="P115" s="2923"/>
      <c r="Q115" s="2900"/>
      <c r="R115" s="2886"/>
      <c r="S115" s="2886"/>
      <c r="T115" s="2886"/>
      <c r="U115" s="2886"/>
      <c r="V115" s="2886"/>
      <c r="W115" s="2886"/>
      <c r="X115" s="2886"/>
      <c r="Y115" s="2886"/>
      <c r="Z115" s="2886"/>
      <c r="AA115" s="2886"/>
      <c r="AB115" s="2886"/>
      <c r="AC115" s="2886"/>
    </row>
    <row r="116" spans="1:29" ht="14.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915"/>
      <c r="O116" s="2915"/>
      <c r="P116" s="2923"/>
      <c r="Q116" s="2900"/>
      <c r="R116" s="2886"/>
      <c r="S116" s="2886"/>
      <c r="T116" s="2886"/>
      <c r="U116" s="2886"/>
      <c r="V116" s="2886"/>
      <c r="W116" s="2886"/>
      <c r="X116" s="2886"/>
      <c r="Y116" s="2886"/>
      <c r="Z116" s="2886"/>
      <c r="AA116" s="2886"/>
      <c r="AB116" s="2886"/>
      <c r="AC116" s="2886"/>
    </row>
    <row r="117" spans="1:29" ht="14.5" thickTop="1">
      <c r="A117" s="546"/>
      <c r="B117" s="485" t="s">
        <v>2198</v>
      </c>
      <c r="C117" s="501"/>
      <c r="D117" s="501"/>
      <c r="E117" s="501"/>
      <c r="F117" s="501"/>
      <c r="G117" s="501"/>
      <c r="H117" s="530"/>
      <c r="I117" s="530"/>
      <c r="J117" s="530"/>
      <c r="K117" s="531"/>
      <c r="L117" s="532"/>
      <c r="M117" s="533"/>
      <c r="N117" s="2914"/>
      <c r="O117" s="2914"/>
      <c r="P117" s="2923"/>
      <c r="Q117" s="2900"/>
      <c r="R117" s="2886"/>
      <c r="S117" s="2886"/>
      <c r="T117" s="2886"/>
      <c r="U117" s="2886"/>
      <c r="V117" s="2886"/>
      <c r="W117" s="2886"/>
      <c r="X117" s="2886"/>
      <c r="Y117" s="2886"/>
      <c r="Z117" s="2886"/>
      <c r="AA117" s="2886"/>
      <c r="AB117" s="2886"/>
      <c r="AC117" s="2886"/>
    </row>
    <row r="118" spans="1:29" ht="14.5" thickBot="1">
      <c r="A118" s="481"/>
      <c r="B118" s="490"/>
      <c r="C118" s="491">
        <v>100</v>
      </c>
      <c r="D118" s="491">
        <f>C118-$K40</f>
        <v>100</v>
      </c>
      <c r="E118" s="491">
        <f>D118-$K40</f>
        <v>100</v>
      </c>
      <c r="F118" s="491">
        <f>E118-$K40</f>
        <v>100</v>
      </c>
      <c r="G118" s="491">
        <f>F118-$K40</f>
        <v>100</v>
      </c>
      <c r="H118" s="491"/>
      <c r="I118" s="491"/>
      <c r="J118" s="491"/>
      <c r="K118" s="491"/>
      <c r="L118" s="491"/>
      <c r="M118" s="492"/>
      <c r="N118" s="2915"/>
      <c r="O118" s="2915"/>
      <c r="P118" s="2923"/>
      <c r="Q118" s="2900"/>
      <c r="R118" s="2886"/>
      <c r="S118" s="2886"/>
      <c r="T118" s="2886"/>
      <c r="U118" s="2886"/>
      <c r="V118" s="2886"/>
      <c r="W118" s="2886"/>
      <c r="X118" s="2886"/>
      <c r="Y118" s="2886"/>
      <c r="Z118" s="2886"/>
      <c r="AA118" s="2886"/>
      <c r="AB118" s="2886"/>
      <c r="AC118" s="2886"/>
    </row>
    <row r="119" spans="1:29" ht="14.5" thickTop="1">
      <c r="A119" s="546"/>
      <c r="B119" s="582" t="s">
        <v>2281</v>
      </c>
      <c r="C119" s="530"/>
      <c r="D119" s="530"/>
      <c r="E119" s="530"/>
      <c r="F119" s="530"/>
      <c r="G119" s="530"/>
      <c r="H119" s="530"/>
      <c r="I119" s="530"/>
      <c r="J119" s="530"/>
      <c r="K119" s="530"/>
      <c r="L119" s="2092"/>
      <c r="M119" s="2093"/>
      <c r="N119" s="2915"/>
      <c r="O119" s="2915"/>
      <c r="P119" s="2928"/>
      <c r="Q119" s="2929"/>
      <c r="R119" s="2886"/>
      <c r="S119" s="2886"/>
      <c r="T119" s="2886"/>
      <c r="U119" s="2886"/>
      <c r="V119" s="2886"/>
      <c r="W119" s="2886"/>
      <c r="X119" s="2886"/>
      <c r="Y119" s="2886"/>
      <c r="Z119" s="2886"/>
      <c r="AA119" s="2886"/>
      <c r="AB119" s="2886"/>
      <c r="AC119" s="2886"/>
    </row>
    <row r="120" spans="1:29" ht="14.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915"/>
      <c r="O120" s="2915"/>
      <c r="P120" s="2923"/>
      <c r="Q120" s="2900"/>
      <c r="R120" s="2886"/>
      <c r="S120" s="2886"/>
      <c r="T120" s="2886"/>
      <c r="U120" s="2886"/>
      <c r="V120" s="2886"/>
      <c r="W120" s="2886"/>
      <c r="X120" s="2886"/>
      <c r="Y120" s="2886"/>
      <c r="Z120" s="2886"/>
      <c r="AA120" s="2886"/>
      <c r="AB120" s="2886"/>
      <c r="AC120" s="2886"/>
    </row>
    <row r="121" spans="1:29" s="420" customFormat="1" ht="14.5" thickTop="1">
      <c r="A121" s="540"/>
      <c r="B121" s="485" t="s">
        <v>2264</v>
      </c>
      <c r="C121" s="501"/>
      <c r="D121" s="501"/>
      <c r="E121" s="501"/>
      <c r="F121" s="530"/>
      <c r="G121" s="502"/>
      <c r="H121" s="502"/>
      <c r="I121" s="502"/>
      <c r="J121" s="502"/>
      <c r="K121" s="502"/>
      <c r="L121" s="503"/>
      <c r="M121" s="504"/>
      <c r="N121" s="2916"/>
      <c r="O121" s="2916"/>
      <c r="P121" s="2924"/>
      <c r="Q121" s="2907"/>
      <c r="R121" s="2908"/>
      <c r="S121" s="2908"/>
      <c r="T121" s="2908"/>
      <c r="U121" s="2908"/>
      <c r="V121" s="2908"/>
      <c r="W121" s="2908"/>
      <c r="X121" s="2908"/>
      <c r="Y121" s="2908"/>
      <c r="Z121" s="2908"/>
      <c r="AA121" s="2908"/>
      <c r="AB121" s="2908"/>
      <c r="AC121" s="2908"/>
    </row>
    <row r="122" spans="1:29" s="420" customFormat="1" ht="14.5" thickBot="1">
      <c r="A122" s="500"/>
      <c r="B122" s="482"/>
      <c r="C122" s="507"/>
      <c r="D122" s="507"/>
      <c r="E122" s="507"/>
      <c r="F122" s="507"/>
      <c r="G122" s="507"/>
      <c r="H122" s="507"/>
      <c r="I122" s="507"/>
      <c r="J122" s="507"/>
      <c r="K122" s="507"/>
      <c r="L122" s="507"/>
      <c r="M122" s="507"/>
      <c r="N122" s="2916"/>
      <c r="O122" s="2916"/>
      <c r="P122" s="2924"/>
      <c r="Q122" s="2907"/>
      <c r="R122" s="2908"/>
      <c r="S122" s="2908"/>
      <c r="T122" s="2908"/>
      <c r="U122" s="2908"/>
      <c r="V122" s="2908"/>
      <c r="W122" s="2908"/>
      <c r="X122" s="2908"/>
      <c r="Y122" s="2908"/>
      <c r="Z122" s="2908"/>
      <c r="AA122" s="2908"/>
      <c r="AB122" s="2908"/>
      <c r="AC122" s="2908"/>
    </row>
    <row r="123" spans="1:29" ht="14.5" thickTop="1">
      <c r="A123" s="546"/>
      <c r="B123" s="485" t="s">
        <v>2200</v>
      </c>
      <c r="C123" s="501"/>
      <c r="D123" s="501"/>
      <c r="E123" s="501"/>
      <c r="F123" s="530"/>
      <c r="G123" s="530"/>
      <c r="H123" s="530"/>
      <c r="I123" s="530"/>
      <c r="J123" s="530"/>
      <c r="K123" s="531"/>
      <c r="L123" s="532"/>
      <c r="M123" s="533"/>
      <c r="N123" s="2914"/>
      <c r="O123" s="2914"/>
      <c r="P123" s="2923"/>
      <c r="Q123" s="2900"/>
      <c r="R123" s="2886"/>
      <c r="S123" s="2886"/>
      <c r="T123" s="2886"/>
      <c r="U123" s="2886"/>
      <c r="V123" s="2886"/>
      <c r="W123" s="2886"/>
      <c r="X123" s="2886"/>
      <c r="Y123" s="2886"/>
      <c r="Z123" s="2886"/>
      <c r="AA123" s="2886"/>
      <c r="AB123" s="2886"/>
      <c r="AC123" s="2886"/>
    </row>
    <row r="124" spans="1:29" ht="14.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915"/>
      <c r="O124" s="2915"/>
      <c r="P124" s="2923"/>
      <c r="Q124" s="2900"/>
      <c r="R124" s="2886"/>
      <c r="S124" s="2886"/>
      <c r="T124" s="2886"/>
      <c r="U124" s="2886"/>
      <c r="V124" s="2886"/>
      <c r="W124" s="2886"/>
      <c r="X124" s="2886"/>
      <c r="Y124" s="2886"/>
      <c r="Z124" s="2886"/>
      <c r="AA124" s="2886"/>
      <c r="AB124" s="2886"/>
      <c r="AC124" s="2886"/>
    </row>
    <row r="125" spans="1:29" ht="28.5" thickTop="1">
      <c r="A125" s="546"/>
      <c r="B125" s="485" t="s">
        <v>2201</v>
      </c>
      <c r="C125" s="525" t="s">
        <v>2177</v>
      </c>
      <c r="D125" s="525" t="s">
        <v>2178</v>
      </c>
      <c r="E125" s="525" t="s">
        <v>2179</v>
      </c>
      <c r="F125" s="525" t="s">
        <v>2180</v>
      </c>
      <c r="G125" s="525" t="s">
        <v>2181</v>
      </c>
      <c r="H125" s="486"/>
      <c r="I125" s="486"/>
      <c r="J125" s="486"/>
      <c r="K125" s="487"/>
      <c r="L125" s="488"/>
      <c r="M125" s="489"/>
      <c r="N125" s="2914"/>
      <c r="O125" s="2914"/>
      <c r="P125" s="2924"/>
      <c r="Q125" s="2900"/>
      <c r="R125" s="2886"/>
      <c r="S125" s="2886"/>
      <c r="T125" s="2886"/>
      <c r="U125" s="2886"/>
      <c r="V125" s="2886"/>
      <c r="W125" s="2886"/>
      <c r="X125" s="2886"/>
      <c r="Y125" s="2886"/>
      <c r="Z125" s="2886"/>
      <c r="AA125" s="2886"/>
      <c r="AB125" s="2886"/>
      <c r="AC125" s="2886"/>
    </row>
    <row r="126" spans="1:29" ht="14.5" thickBot="1">
      <c r="A126" s="481"/>
      <c r="B126" s="490"/>
      <c r="C126" s="491">
        <v>100</v>
      </c>
      <c r="D126" s="491">
        <f>C126-$K44</f>
        <v>100</v>
      </c>
      <c r="E126" s="491">
        <f>D126-$K44</f>
        <v>100</v>
      </c>
      <c r="F126" s="491">
        <f>E126-$K44</f>
        <v>100</v>
      </c>
      <c r="G126" s="491">
        <f>F126-$K44</f>
        <v>100</v>
      </c>
      <c r="H126" s="491"/>
      <c r="I126" s="491"/>
      <c r="J126" s="491"/>
      <c r="K126" s="491"/>
      <c r="L126" s="491"/>
      <c r="M126" s="492"/>
      <c r="N126" s="2915"/>
      <c r="O126" s="2915"/>
      <c r="P126" s="2923"/>
      <c r="Q126" s="2900"/>
      <c r="R126" s="2886"/>
      <c r="S126" s="2886"/>
      <c r="T126" s="2886"/>
      <c r="U126" s="2886"/>
      <c r="V126" s="2886"/>
      <c r="W126" s="2886"/>
      <c r="X126" s="2886"/>
      <c r="Y126" s="2886"/>
      <c r="Z126" s="2886"/>
      <c r="AA126" s="2886"/>
      <c r="AB126" s="2886"/>
      <c r="AC126" s="2886"/>
    </row>
    <row r="127" spans="1:29" s="420" customFormat="1" ht="14.5" thickTop="1">
      <c r="A127" s="540"/>
      <c r="B127" s="485">
        <f>B45</f>
        <v>111</v>
      </c>
      <c r="C127" s="501"/>
      <c r="D127" s="501"/>
      <c r="E127" s="501"/>
      <c r="F127" s="501"/>
      <c r="G127" s="501"/>
      <c r="H127" s="502"/>
      <c r="I127" s="502"/>
      <c r="J127" s="502"/>
      <c r="K127" s="502"/>
      <c r="L127" s="503"/>
      <c r="M127" s="504"/>
      <c r="N127" s="2916"/>
      <c r="O127" s="2916"/>
      <c r="P127" s="2924"/>
      <c r="Q127" s="2907"/>
      <c r="R127" s="2908"/>
      <c r="S127" s="2908"/>
      <c r="T127" s="2908"/>
      <c r="U127" s="2908"/>
      <c r="V127" s="2908"/>
      <c r="W127" s="2908"/>
      <c r="X127" s="2908"/>
      <c r="Y127" s="2908"/>
      <c r="Z127" s="2908"/>
      <c r="AA127" s="2908"/>
      <c r="AB127" s="2908"/>
      <c r="AC127" s="2908"/>
    </row>
    <row r="128" spans="1:29" s="420" customFormat="1" ht="14.5" thickBot="1">
      <c r="A128" s="500"/>
      <c r="B128" s="490"/>
      <c r="C128" s="507"/>
      <c r="D128" s="483"/>
      <c r="E128" s="483"/>
      <c r="F128" s="483"/>
      <c r="G128" s="507"/>
      <c r="H128" s="509"/>
      <c r="I128" s="509"/>
      <c r="J128" s="509"/>
      <c r="K128" s="509"/>
      <c r="L128" s="509"/>
      <c r="M128" s="510"/>
      <c r="N128" s="2916"/>
      <c r="O128" s="2916"/>
      <c r="P128" s="2924"/>
      <c r="Q128" s="2907"/>
      <c r="R128" s="2908"/>
      <c r="S128" s="2908"/>
      <c r="T128" s="2908"/>
      <c r="U128" s="2908"/>
      <c r="V128" s="2908"/>
      <c r="W128" s="2908"/>
      <c r="X128" s="2908"/>
      <c r="Y128" s="2908"/>
      <c r="Z128" s="2908"/>
      <c r="AA128" s="2908"/>
      <c r="AB128" s="2908"/>
      <c r="AC128" s="2908"/>
    </row>
    <row r="129" spans="1:29" ht="14.5" thickTop="1">
      <c r="A129" s="546"/>
      <c r="B129" s="485">
        <f>B46</f>
        <v>111</v>
      </c>
      <c r="C129" s="501"/>
      <c r="D129" s="501"/>
      <c r="E129" s="501"/>
      <c r="F129" s="501"/>
      <c r="G129" s="530"/>
      <c r="H129" s="530"/>
      <c r="I129" s="530"/>
      <c r="J129" s="530"/>
      <c r="K129" s="531"/>
      <c r="L129" s="532"/>
      <c r="M129" s="533"/>
      <c r="N129" s="2914"/>
      <c r="O129" s="2914"/>
      <c r="P129" s="2923"/>
      <c r="Q129" s="2900"/>
      <c r="R129" s="2886"/>
      <c r="S129" s="2886"/>
      <c r="T129" s="2886"/>
      <c r="U129" s="2886"/>
      <c r="V129" s="2886"/>
      <c r="W129" s="2886"/>
      <c r="X129" s="2886"/>
      <c r="Y129" s="2886"/>
      <c r="Z129" s="2886"/>
      <c r="AA129" s="2886"/>
      <c r="AB129" s="2886"/>
      <c r="AC129" s="2886"/>
    </row>
    <row r="130" spans="1:29" ht="14.5" thickBot="1">
      <c r="A130" s="481"/>
      <c r="B130" s="490"/>
      <c r="C130" s="507"/>
      <c r="D130" s="507"/>
      <c r="E130" s="507"/>
      <c r="F130" s="507"/>
      <c r="G130" s="483"/>
      <c r="H130" s="483"/>
      <c r="I130" s="483"/>
      <c r="J130" s="483"/>
      <c r="K130" s="483"/>
      <c r="L130" s="483"/>
      <c r="M130" s="484"/>
      <c r="N130" s="2915"/>
      <c r="O130" s="2915"/>
      <c r="P130" s="2923"/>
      <c r="Q130" s="2900"/>
      <c r="R130" s="2886"/>
      <c r="S130" s="2886"/>
      <c r="T130" s="2886"/>
      <c r="U130" s="2886"/>
      <c r="V130" s="2886"/>
      <c r="W130" s="2886"/>
      <c r="X130" s="2886"/>
      <c r="Y130" s="2886"/>
      <c r="Z130" s="2886"/>
      <c r="AA130" s="2886"/>
      <c r="AB130" s="2886"/>
      <c r="AC130" s="2886"/>
    </row>
    <row r="131" spans="1:29" ht="14.5" thickTop="1">
      <c r="A131" s="546"/>
      <c r="B131" s="493">
        <f>B47</f>
        <v>111</v>
      </c>
      <c r="C131" s="470"/>
      <c r="D131" s="470"/>
      <c r="E131" s="470"/>
      <c r="F131" s="470"/>
      <c r="G131" s="534"/>
      <c r="H131" s="534"/>
      <c r="I131" s="534"/>
      <c r="J131" s="534"/>
      <c r="K131" s="470"/>
      <c r="L131" s="471"/>
      <c r="M131" s="537"/>
      <c r="N131" s="2914"/>
      <c r="O131" s="2914"/>
      <c r="P131" s="2923"/>
      <c r="Q131" s="2900"/>
      <c r="R131" s="2886"/>
      <c r="S131" s="2886"/>
      <c r="T131" s="2886"/>
      <c r="U131" s="2886"/>
      <c r="V131" s="2886"/>
      <c r="W131" s="2886"/>
      <c r="X131" s="2886"/>
      <c r="Y131" s="2886"/>
      <c r="Z131" s="2886"/>
      <c r="AA131" s="2886"/>
      <c r="AB131" s="2886"/>
      <c r="AC131" s="2886"/>
    </row>
    <row r="132" spans="1:29" ht="14.5" thickBot="1">
      <c r="A132" s="2052"/>
      <c r="B132" s="516"/>
      <c r="C132" s="517"/>
      <c r="D132" s="517"/>
      <c r="E132" s="517"/>
      <c r="F132" s="517"/>
      <c r="G132" s="538"/>
      <c r="H132" s="538"/>
      <c r="I132" s="538"/>
      <c r="J132" s="538"/>
      <c r="K132" s="538"/>
      <c r="L132" s="538"/>
      <c r="M132" s="539"/>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2108</v>
      </c>
      <c r="B1" s="2081" t="s">
        <v>2282</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IF(C2="——",ROUND(C43*D3/10000,0),ROUND(C43*D3/10000,0)-D2)</f>
        <v>#DIV/0!</v>
      </c>
      <c r="C2" s="2005"/>
      <c r="D2" s="1007" t="e">
        <f ca="1">SUMIF(INDIRECT("'"&amp;F2&amp;"'"&amp;"!A:A"),"承租人权益价值",INDIRECT("'"&amp;F2&amp;"'"&amp;"!c:c"))</f>
        <v>#REF!</v>
      </c>
      <c r="E2" s="2006" t="s">
        <v>1908</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1909</v>
      </c>
      <c r="B3" s="556" t="e">
        <f ca="1">IF(C2="——",C43,ROUND(B2*10000/D3,0))</f>
        <v>#DIV/0!</v>
      </c>
      <c r="C3" s="350" t="s">
        <v>2224</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c r="A4" s="351" t="s">
        <v>2225</v>
      </c>
      <c r="B4" s="352"/>
      <c r="C4" s="3501" t="s">
        <v>2226</v>
      </c>
      <c r="D4" s="3502"/>
      <c r="E4" s="3503" t="s">
        <v>2227</v>
      </c>
      <c r="F4" s="3504"/>
      <c r="G4" s="3501" t="s">
        <v>2228</v>
      </c>
      <c r="H4" s="3502"/>
      <c r="I4" s="3501" t="s">
        <v>2229</v>
      </c>
      <c r="J4" s="3502"/>
      <c r="K4" s="557" t="s">
        <v>2230</v>
      </c>
      <c r="L4" s="1013"/>
      <c r="M4" s="1014"/>
      <c r="N4" s="1014"/>
      <c r="O4" s="1014"/>
      <c r="P4" s="3505" t="s">
        <v>2231</v>
      </c>
      <c r="Q4" s="3506"/>
      <c r="R4" s="3488" t="s">
        <v>2227</v>
      </c>
      <c r="S4" s="3489"/>
      <c r="T4" s="3488" t="s">
        <v>2228</v>
      </c>
      <c r="U4" s="3489"/>
      <c r="V4" s="3513" t="s">
        <v>2229</v>
      </c>
      <c r="W4" s="3513"/>
      <c r="X4" s="1477"/>
      <c r="Y4" s="3488" t="s">
        <v>2231</v>
      </c>
      <c r="Z4" s="3489"/>
      <c r="AA4" s="3483" t="s">
        <v>2227</v>
      </c>
      <c r="AB4" s="3484" t="s">
        <v>2228</v>
      </c>
      <c r="AC4" s="3483" t="s">
        <v>2229</v>
      </c>
    </row>
    <row r="5" spans="1:29">
      <c r="A5" s="354"/>
      <c r="B5" s="355"/>
      <c r="C5" s="3494" t="s">
        <v>2122</v>
      </c>
      <c r="D5" s="3495"/>
      <c r="E5" s="3492" t="s">
        <v>2123</v>
      </c>
      <c r="F5" s="3493"/>
      <c r="G5" s="3494" t="s">
        <v>2124</v>
      </c>
      <c r="H5" s="3495"/>
      <c r="I5" s="3494" t="s">
        <v>2125</v>
      </c>
      <c r="J5" s="3495"/>
      <c r="K5" s="557"/>
      <c r="L5" s="1013"/>
      <c r="M5" s="1014"/>
      <c r="N5" s="1014"/>
      <c r="O5" s="1014"/>
      <c r="P5" s="3507"/>
      <c r="Q5" s="3508"/>
      <c r="R5" s="3490"/>
      <c r="S5" s="3491"/>
      <c r="T5" s="3490"/>
      <c r="U5" s="3491"/>
      <c r="V5" s="3513"/>
      <c r="W5" s="3513"/>
      <c r="X5" s="1477"/>
      <c r="Y5" s="3490"/>
      <c r="Z5" s="3491"/>
      <c r="AA5" s="3484"/>
      <c r="AB5" s="3484"/>
      <c r="AC5" s="3484"/>
    </row>
    <row r="6" spans="1:29" ht="15" thickBot="1">
      <c r="A6" s="356"/>
      <c r="B6" s="357"/>
      <c r="C6" s="3496" t="s">
        <v>2126</v>
      </c>
      <c r="D6" s="3497"/>
      <c r="E6" s="3498" t="s">
        <v>2126</v>
      </c>
      <c r="F6" s="3499"/>
      <c r="G6" s="3496" t="s">
        <v>2126</v>
      </c>
      <c r="H6" s="3497"/>
      <c r="I6" s="3496" t="s">
        <v>2126</v>
      </c>
      <c r="J6" s="3497"/>
      <c r="K6" s="557" t="s">
        <v>2127</v>
      </c>
      <c r="L6" s="1013"/>
      <c r="M6" s="1014"/>
      <c r="N6" s="1014"/>
      <c r="O6" s="1014"/>
      <c r="P6" s="3509"/>
      <c r="Q6" s="3510"/>
      <c r="R6" s="3490"/>
      <c r="S6" s="3491"/>
      <c r="T6" s="3511"/>
      <c r="U6" s="3512"/>
      <c r="V6" s="3513"/>
      <c r="W6" s="3513"/>
      <c r="X6" s="1477"/>
      <c r="Y6" s="3511"/>
      <c r="Z6" s="3512"/>
      <c r="AA6" s="3485"/>
      <c r="AB6" s="3485"/>
      <c r="AC6" s="3485"/>
    </row>
    <row r="7" spans="1:29" s="110" customFormat="1" ht="14.5" thickBot="1">
      <c r="A7" s="358" t="s">
        <v>2128</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486" t="s">
        <v>2129</v>
      </c>
      <c r="Q7" s="3514"/>
      <c r="R7" s="698" t="s">
        <v>17</v>
      </c>
      <c r="S7" s="699">
        <f t="shared" ref="S7:S15" si="0">F7</f>
        <v>0</v>
      </c>
      <c r="T7" s="698" t="s">
        <v>17</v>
      </c>
      <c r="U7" s="699">
        <f t="shared" ref="U7:U15" si="1">H7</f>
        <v>0</v>
      </c>
      <c r="V7" s="698" t="s">
        <v>17</v>
      </c>
      <c r="W7" s="699">
        <f t="shared" ref="W7:W15" si="2">J7</f>
        <v>0</v>
      </c>
      <c r="X7" s="700"/>
      <c r="Y7" s="3486" t="s">
        <v>2129</v>
      </c>
      <c r="Z7" s="3487"/>
      <c r="AA7" s="701" t="e">
        <f>D7/F7</f>
        <v>#DIV/0!</v>
      </c>
      <c r="AB7" s="701" t="e">
        <f>D7/H7</f>
        <v>#DIV/0!</v>
      </c>
      <c r="AC7" s="701" t="e">
        <f>D7/J7</f>
        <v>#DIV/0!</v>
      </c>
    </row>
    <row r="8" spans="1:29" s="110" customFormat="1" ht="14.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486" t="s">
        <v>2132</v>
      </c>
      <c r="Q8" s="3487"/>
      <c r="R8" s="698" t="s">
        <v>17</v>
      </c>
      <c r="S8" s="699">
        <f t="shared" si="0"/>
        <v>0</v>
      </c>
      <c r="T8" s="698" t="s">
        <v>17</v>
      </c>
      <c r="U8" s="699">
        <f t="shared" si="1"/>
        <v>0</v>
      </c>
      <c r="V8" s="698" t="s">
        <v>17</v>
      </c>
      <c r="W8" s="699">
        <f t="shared" si="2"/>
        <v>0</v>
      </c>
      <c r="X8" s="700"/>
      <c r="Y8" s="3486" t="s">
        <v>2132</v>
      </c>
      <c r="Z8" s="3487"/>
      <c r="AA8" s="701" t="e">
        <f t="shared" ref="AA8:AA40" si="3">D8/F8</f>
        <v>#DIV/0!</v>
      </c>
      <c r="AB8" s="701" t="e">
        <f t="shared" ref="AB8:AB40" si="4">D8/H8</f>
        <v>#DIV/0!</v>
      </c>
      <c r="AC8" s="701" t="e">
        <f t="shared" ref="AC8:AC40" si="5">D8/J8</f>
        <v>#DIV/0!</v>
      </c>
    </row>
    <row r="9" spans="1:29" s="110" customFormat="1">
      <c r="A9" s="365" t="s">
        <v>2133</v>
      </c>
      <c r="B9" s="67" t="s">
        <v>2134</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500" t="s">
        <v>2135</v>
      </c>
      <c r="Q9" s="1465" t="str">
        <f t="shared" ref="Q9:Q15" si="6">B9</f>
        <v>用途</v>
      </c>
      <c r="R9" s="698" t="s">
        <v>17</v>
      </c>
      <c r="S9" s="699">
        <f t="shared" si="0"/>
        <v>100</v>
      </c>
      <c r="T9" s="698" t="s">
        <v>17</v>
      </c>
      <c r="U9" s="699">
        <f t="shared" si="1"/>
        <v>100</v>
      </c>
      <c r="V9" s="698" t="s">
        <v>17</v>
      </c>
      <c r="W9" s="699">
        <f t="shared" si="2"/>
        <v>100</v>
      </c>
      <c r="X9" s="700"/>
      <c r="Y9" s="3459"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500"/>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701">
        <f t="shared" si="5"/>
        <v>1</v>
      </c>
    </row>
    <row r="11" spans="1:29" ht="15.5">
      <c r="A11" s="377"/>
      <c r="B11" s="371" t="s">
        <v>2138</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500"/>
      <c r="Q11" s="1465" t="str">
        <f t="shared" si="6"/>
        <v>容积率</v>
      </c>
      <c r="R11" s="698" t="s">
        <v>17</v>
      </c>
      <c r="S11" s="699" t="e">
        <f t="shared" si="0"/>
        <v>#N/A</v>
      </c>
      <c r="T11" s="698" t="s">
        <v>17</v>
      </c>
      <c r="U11" s="699" t="e">
        <f t="shared" si="1"/>
        <v>#N/A</v>
      </c>
      <c r="V11" s="698" t="s">
        <v>17</v>
      </c>
      <c r="W11" s="699" t="e">
        <f t="shared" si="2"/>
        <v>#N/A</v>
      </c>
      <c r="X11" s="700"/>
      <c r="Y11" s="3459"/>
      <c r="Z11" s="55" t="str">
        <f t="shared" si="7"/>
        <v>容积率</v>
      </c>
      <c r="AA11" s="701" t="e">
        <f t="shared" si="3"/>
        <v>#N/A</v>
      </c>
      <c r="AB11" s="701" t="e">
        <f t="shared" si="4"/>
        <v>#N/A</v>
      </c>
      <c r="AC11" s="701" t="e">
        <f t="shared" si="5"/>
        <v>#N/A</v>
      </c>
    </row>
    <row r="12" spans="1:29" s="110" customFormat="1" ht="15.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500"/>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701">
        <f>D12/J12</f>
        <v>1</v>
      </c>
    </row>
    <row r="13" spans="1:29" ht="15.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500"/>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701">
        <f t="shared" si="5"/>
        <v>1</v>
      </c>
    </row>
    <row r="14" spans="1:29" ht="16"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500"/>
      <c r="Q14" s="1465">
        <f t="shared" si="6"/>
        <v>111</v>
      </c>
      <c r="R14" s="698" t="s">
        <v>17</v>
      </c>
      <c r="S14" s="699">
        <f t="shared" si="0"/>
        <v>100</v>
      </c>
      <c r="T14" s="698" t="s">
        <v>17</v>
      </c>
      <c r="U14" s="699">
        <f t="shared" si="1"/>
        <v>100</v>
      </c>
      <c r="V14" s="698" t="s">
        <v>17</v>
      </c>
      <c r="W14" s="699">
        <f t="shared" si="2"/>
        <v>100</v>
      </c>
      <c r="X14" s="700"/>
      <c r="Y14" s="3459"/>
      <c r="Z14" s="55">
        <f t="shared" si="7"/>
        <v>111</v>
      </c>
      <c r="AA14" s="701">
        <f t="shared" si="3"/>
        <v>1</v>
      </c>
      <c r="AB14" s="701">
        <f t="shared" si="4"/>
        <v>1</v>
      </c>
      <c r="AC14" s="701">
        <f t="shared" si="5"/>
        <v>1</v>
      </c>
    </row>
    <row r="15" spans="1:29" ht="70">
      <c r="A15" s="389" t="s">
        <v>2139</v>
      </c>
      <c r="B15" s="65" t="s">
        <v>2283</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515" t="s">
        <v>2140</v>
      </c>
      <c r="Q15" s="1474" t="str">
        <f t="shared" si="6"/>
        <v>产业集聚程度</v>
      </c>
      <c r="R15" s="702" t="s">
        <v>17</v>
      </c>
      <c r="S15" s="703">
        <f t="shared" si="0"/>
        <v>100</v>
      </c>
      <c r="T15" s="702" t="s">
        <v>17</v>
      </c>
      <c r="U15" s="703">
        <f t="shared" si="1"/>
        <v>100</v>
      </c>
      <c r="V15" s="702" t="s">
        <v>17</v>
      </c>
      <c r="W15" s="703">
        <f t="shared" si="2"/>
        <v>100</v>
      </c>
      <c r="X15" s="1477"/>
      <c r="Y15" s="3515" t="s">
        <v>2140</v>
      </c>
      <c r="Z15" s="1478" t="str">
        <f t="shared" si="7"/>
        <v>产业集聚程度</v>
      </c>
      <c r="AA15" s="1475">
        <f t="shared" si="3"/>
        <v>1</v>
      </c>
      <c r="AB15" s="1475">
        <f t="shared" si="4"/>
        <v>1</v>
      </c>
      <c r="AC15" s="1475">
        <f t="shared" si="5"/>
        <v>1</v>
      </c>
    </row>
    <row r="16" spans="1:29" ht="15.5">
      <c r="A16" s="377"/>
      <c r="B16" s="395"/>
      <c r="C16" s="396"/>
      <c r="D16" s="397"/>
      <c r="E16" s="396"/>
      <c r="F16" s="398"/>
      <c r="G16" s="396"/>
      <c r="H16" s="399"/>
      <c r="I16" s="396"/>
      <c r="J16" s="397"/>
      <c r="K16" s="562"/>
      <c r="L16" s="1023"/>
      <c r="M16" s="1014"/>
      <c r="N16" s="1014"/>
      <c r="O16" s="1022"/>
      <c r="P16" s="3516"/>
      <c r="Q16" s="1474"/>
      <c r="R16" s="702"/>
      <c r="S16" s="703"/>
      <c r="T16" s="702"/>
      <c r="U16" s="703"/>
      <c r="V16" s="702"/>
      <c r="W16" s="703"/>
      <c r="X16" s="1477"/>
      <c r="Y16" s="3516"/>
      <c r="Z16" s="1478"/>
      <c r="AA16" s="1475">
        <v>1</v>
      </c>
      <c r="AB16" s="1475">
        <v>1</v>
      </c>
      <c r="AC16" s="1475">
        <v>1</v>
      </c>
    </row>
    <row r="17" spans="1:29" ht="98">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516"/>
      <c r="Q17" s="1474" t="str">
        <f>B17</f>
        <v>交通便捷度</v>
      </c>
      <c r="R17" s="702" t="s">
        <v>17</v>
      </c>
      <c r="S17" s="703">
        <f>F17</f>
        <v>100</v>
      </c>
      <c r="T17" s="702" t="s">
        <v>17</v>
      </c>
      <c r="U17" s="703">
        <f>H17</f>
        <v>100</v>
      </c>
      <c r="V17" s="702" t="s">
        <v>17</v>
      </c>
      <c r="W17" s="703">
        <f>J17</f>
        <v>100</v>
      </c>
      <c r="X17" s="1477"/>
      <c r="Y17" s="3516"/>
      <c r="Z17" s="1478" t="str">
        <f>Q17</f>
        <v>交通便捷度</v>
      </c>
      <c r="AA17" s="1475">
        <f t="shared" si="3"/>
        <v>1</v>
      </c>
      <c r="AB17" s="1475">
        <f t="shared" si="4"/>
        <v>1</v>
      </c>
      <c r="AC17" s="1475">
        <f t="shared" si="5"/>
        <v>1</v>
      </c>
    </row>
    <row r="18" spans="1:29" ht="15.5">
      <c r="A18" s="377"/>
      <c r="B18" s="405"/>
      <c r="C18" s="2025"/>
      <c r="D18" s="399"/>
      <c r="E18" s="2027"/>
      <c r="F18" s="402"/>
      <c r="G18" s="2026"/>
      <c r="H18" s="397"/>
      <c r="I18" s="2027"/>
      <c r="J18" s="397"/>
      <c r="K18" s="562"/>
      <c r="L18" s="1023"/>
      <c r="M18" s="1014"/>
      <c r="N18" s="1014"/>
      <c r="O18" s="1022"/>
      <c r="P18" s="3516"/>
      <c r="Q18" s="1474"/>
      <c r="R18" s="702"/>
      <c r="S18" s="703"/>
      <c r="T18" s="702"/>
      <c r="U18" s="703"/>
      <c r="V18" s="702"/>
      <c r="W18" s="703"/>
      <c r="X18" s="1477"/>
      <c r="Y18" s="3516"/>
      <c r="Z18" s="1478"/>
      <c r="AA18" s="1475">
        <v>1</v>
      </c>
      <c r="AB18" s="1475">
        <v>1</v>
      </c>
      <c r="AC18" s="1475">
        <v>1</v>
      </c>
    </row>
    <row r="19" spans="1:29" ht="42">
      <c r="A19" s="377"/>
      <c r="B19" s="400" t="s">
        <v>2268</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516"/>
      <c r="Q19" s="1474" t="str">
        <f>B19</f>
        <v>公共配套设施</v>
      </c>
      <c r="R19" s="702" t="s">
        <v>17</v>
      </c>
      <c r="S19" s="703">
        <f>F19</f>
        <v>100</v>
      </c>
      <c r="T19" s="702" t="s">
        <v>17</v>
      </c>
      <c r="U19" s="703">
        <f>H19</f>
        <v>100</v>
      </c>
      <c r="V19" s="702" t="s">
        <v>17</v>
      </c>
      <c r="W19" s="703">
        <f>J19</f>
        <v>100</v>
      </c>
      <c r="X19" s="1477"/>
      <c r="Y19" s="3516"/>
      <c r="Z19" s="1478" t="str">
        <f>Q19</f>
        <v>公共配套设施</v>
      </c>
      <c r="AA19" s="1475">
        <f t="shared" si="3"/>
        <v>1</v>
      </c>
      <c r="AB19" s="1475">
        <f t="shared" si="4"/>
        <v>1</v>
      </c>
      <c r="AC19" s="1475">
        <f t="shared" si="5"/>
        <v>1</v>
      </c>
    </row>
    <row r="20" spans="1:29" ht="15.5">
      <c r="A20" s="377"/>
      <c r="B20" s="405"/>
      <c r="C20" s="396"/>
      <c r="D20" s="397"/>
      <c r="E20" s="2022"/>
      <c r="F20" s="398"/>
      <c r="G20" s="2021"/>
      <c r="H20" s="397"/>
      <c r="I20" s="2022"/>
      <c r="J20" s="397"/>
      <c r="K20" s="562"/>
      <c r="L20" s="1023"/>
      <c r="M20" s="1014"/>
      <c r="N20" s="1014"/>
      <c r="O20" s="1022"/>
      <c r="P20" s="3516"/>
      <c r="Q20" s="1474"/>
      <c r="R20" s="702"/>
      <c r="S20" s="703"/>
      <c r="T20" s="702"/>
      <c r="U20" s="703"/>
      <c r="V20" s="702"/>
      <c r="W20" s="703"/>
      <c r="X20" s="1477"/>
      <c r="Y20" s="3516"/>
      <c r="Z20" s="1478"/>
      <c r="AA20" s="1475">
        <v>1</v>
      </c>
      <c r="AB20" s="1475">
        <v>1</v>
      </c>
      <c r="AC20" s="1475">
        <v>1</v>
      </c>
    </row>
    <row r="21" spans="1:29" ht="42">
      <c r="A21" s="377"/>
      <c r="B21" s="1234" t="s">
        <v>2269</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516"/>
      <c r="Q21" s="1474" t="str">
        <f>B21</f>
        <v>基础设施水平</v>
      </c>
      <c r="R21" s="702" t="s">
        <v>17</v>
      </c>
      <c r="S21" s="703">
        <f>F21</f>
        <v>100</v>
      </c>
      <c r="T21" s="702" t="s">
        <v>17</v>
      </c>
      <c r="U21" s="703">
        <f>H21</f>
        <v>100</v>
      </c>
      <c r="V21" s="702" t="s">
        <v>17</v>
      </c>
      <c r="W21" s="703">
        <f>J21</f>
        <v>100</v>
      </c>
      <c r="X21" s="1477"/>
      <c r="Y21" s="3516"/>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8"/>
      <c r="G22" s="396"/>
      <c r="H22" s="397"/>
      <c r="I22" s="396"/>
      <c r="J22" s="397"/>
      <c r="K22" s="1233"/>
      <c r="L22" s="1023"/>
      <c r="M22" s="1014"/>
      <c r="N22" s="1014"/>
      <c r="O22" s="1022"/>
      <c r="P22" s="3516"/>
      <c r="Q22" s="1474"/>
      <c r="R22" s="702"/>
      <c r="S22" s="703"/>
      <c r="T22" s="702"/>
      <c r="U22" s="703"/>
      <c r="V22" s="702"/>
      <c r="W22" s="703"/>
      <c r="X22" s="1477"/>
      <c r="Y22" s="3516"/>
      <c r="Z22" s="1478"/>
      <c r="AA22" s="1475">
        <v>1</v>
      </c>
      <c r="AB22" s="1475">
        <v>1</v>
      </c>
      <c r="AC22" s="1475">
        <v>1</v>
      </c>
    </row>
    <row r="23" spans="1:29" ht="84">
      <c r="A23" s="377"/>
      <c r="B23" s="400" t="s">
        <v>2270</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516"/>
      <c r="Q23" s="1474" t="str">
        <f>B23</f>
        <v>环境质量</v>
      </c>
      <c r="R23" s="702" t="s">
        <v>17</v>
      </c>
      <c r="S23" s="703">
        <f>F23</f>
        <v>100</v>
      </c>
      <c r="T23" s="702" t="s">
        <v>17</v>
      </c>
      <c r="U23" s="703">
        <f>H23</f>
        <v>100</v>
      </c>
      <c r="V23" s="702" t="s">
        <v>17</v>
      </c>
      <c r="W23" s="703">
        <f>J23</f>
        <v>100</v>
      </c>
      <c r="X23" s="1477"/>
      <c r="Y23" s="3516"/>
      <c r="Z23" s="1478" t="str">
        <f>Q23</f>
        <v>环境质量</v>
      </c>
      <c r="AA23" s="1475">
        <f t="shared" si="3"/>
        <v>1</v>
      </c>
      <c r="AB23" s="1475">
        <f t="shared" si="4"/>
        <v>1</v>
      </c>
      <c r="AC23" s="1475">
        <f t="shared" si="5"/>
        <v>1</v>
      </c>
    </row>
    <row r="24" spans="1:29" ht="15.5">
      <c r="A24" s="377"/>
      <c r="B24" s="1234"/>
      <c r="C24" s="396"/>
      <c r="D24" s="397"/>
      <c r="E24" s="2022"/>
      <c r="F24" s="398"/>
      <c r="G24" s="2021"/>
      <c r="H24" s="397"/>
      <c r="I24" s="2022"/>
      <c r="J24" s="397"/>
      <c r="K24" s="562"/>
      <c r="L24" s="1023"/>
      <c r="M24" s="1014"/>
      <c r="N24" s="1014"/>
      <c r="O24" s="1022"/>
      <c r="P24" s="3516"/>
      <c r="Q24" s="1474"/>
      <c r="R24" s="702"/>
      <c r="S24" s="703"/>
      <c r="T24" s="702"/>
      <c r="U24" s="703"/>
      <c r="V24" s="702"/>
      <c r="W24" s="703"/>
      <c r="X24" s="1477"/>
      <c r="Y24" s="3516"/>
      <c r="Z24" s="1478"/>
      <c r="AA24" s="1475">
        <v>1</v>
      </c>
      <c r="AB24" s="1475">
        <v>1</v>
      </c>
      <c r="AC24" s="1475">
        <v>1</v>
      </c>
    </row>
    <row r="25" spans="1:29" ht="15.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516"/>
      <c r="Q25" s="1474">
        <f>B25</f>
        <v>111</v>
      </c>
      <c r="R25" s="702" t="s">
        <v>17</v>
      </c>
      <c r="S25" s="703">
        <f>F25</f>
        <v>100</v>
      </c>
      <c r="T25" s="702" t="s">
        <v>17</v>
      </c>
      <c r="U25" s="703">
        <f>H25</f>
        <v>100</v>
      </c>
      <c r="V25" s="702" t="s">
        <v>17</v>
      </c>
      <c r="W25" s="703">
        <f>J25</f>
        <v>100</v>
      </c>
      <c r="X25" s="1477"/>
      <c r="Y25" s="3516"/>
      <c r="Z25" s="1478">
        <f>Q25</f>
        <v>111</v>
      </c>
      <c r="AA25" s="1475">
        <f t="shared" si="3"/>
        <v>1</v>
      </c>
      <c r="AB25" s="1475">
        <f t="shared" si="4"/>
        <v>1</v>
      </c>
      <c r="AC25" s="1475">
        <f t="shared" si="5"/>
        <v>1</v>
      </c>
    </row>
    <row r="26" spans="1:29" ht="15.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516"/>
      <c r="Q26" s="1474">
        <f t="shared" ref="Q26:Q40" si="11">B26</f>
        <v>111</v>
      </c>
      <c r="R26" s="702" t="s">
        <v>17</v>
      </c>
      <c r="S26" s="703">
        <f>F26</f>
        <v>100</v>
      </c>
      <c r="T26" s="702" t="s">
        <v>17</v>
      </c>
      <c r="U26" s="703">
        <f>H26</f>
        <v>100</v>
      </c>
      <c r="V26" s="702" t="s">
        <v>17</v>
      </c>
      <c r="W26" s="703">
        <f>J26</f>
        <v>100</v>
      </c>
      <c r="X26" s="1477"/>
      <c r="Y26" s="3516"/>
      <c r="Z26" s="1478">
        <f>Q26</f>
        <v>111</v>
      </c>
      <c r="AA26" s="1475">
        <f t="shared" si="3"/>
        <v>1</v>
      </c>
      <c r="AB26" s="1475">
        <f t="shared" si="4"/>
        <v>1</v>
      </c>
      <c r="AC26" s="1475">
        <f t="shared" si="5"/>
        <v>1</v>
      </c>
    </row>
    <row r="27" spans="1:29" s="110" customFormat="1" ht="15.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516"/>
      <c r="Q27" s="1465">
        <f t="shared" si="11"/>
        <v>111</v>
      </c>
      <c r="R27" s="698" t="s">
        <v>17</v>
      </c>
      <c r="S27" s="699">
        <f>F27</f>
        <v>100</v>
      </c>
      <c r="T27" s="698" t="s">
        <v>17</v>
      </c>
      <c r="U27" s="699">
        <f>H27</f>
        <v>100</v>
      </c>
      <c r="V27" s="698" t="s">
        <v>17</v>
      </c>
      <c r="W27" s="699">
        <f>J27</f>
        <v>100</v>
      </c>
      <c r="X27" s="700"/>
      <c r="Y27" s="3516"/>
      <c r="Z27" s="55">
        <f>Q27</f>
        <v>111</v>
      </c>
      <c r="AA27" s="1475">
        <f>D27/F27</f>
        <v>1</v>
      </c>
      <c r="AB27" s="1475">
        <f>D27/H27</f>
        <v>1</v>
      </c>
      <c r="AC27" s="1475">
        <f>D27/J27</f>
        <v>1</v>
      </c>
    </row>
    <row r="28" spans="1:29" ht="16"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516"/>
      <c r="Q28" s="1474">
        <f t="shared" si="11"/>
        <v>111</v>
      </c>
      <c r="R28" s="702" t="s">
        <v>17</v>
      </c>
      <c r="S28" s="703">
        <f t="shared" ref="S28:S40" si="12">F28</f>
        <v>100</v>
      </c>
      <c r="T28" s="702" t="s">
        <v>17</v>
      </c>
      <c r="U28" s="703">
        <f t="shared" ref="U28:U40" si="13">H28</f>
        <v>100</v>
      </c>
      <c r="V28" s="702" t="s">
        <v>17</v>
      </c>
      <c r="W28" s="703">
        <f t="shared" ref="W28:W40" si="14">J28</f>
        <v>100</v>
      </c>
      <c r="X28" s="1477"/>
      <c r="Y28" s="3516"/>
      <c r="Z28" s="1478">
        <f t="shared" ref="Z28:Z40" si="15">Q28</f>
        <v>111</v>
      </c>
      <c r="AA28" s="1475">
        <f t="shared" si="3"/>
        <v>1</v>
      </c>
      <c r="AB28" s="1475">
        <f t="shared" si="4"/>
        <v>1</v>
      </c>
      <c r="AC28" s="1475">
        <f t="shared" si="5"/>
        <v>1</v>
      </c>
    </row>
    <row r="29" spans="1:29" ht="29">
      <c r="A29" s="415" t="s">
        <v>2143</v>
      </c>
      <c r="B29" s="67" t="s">
        <v>2273</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517" t="s">
        <v>2145</v>
      </c>
      <c r="Q29" s="1474" t="str">
        <f t="shared" si="11"/>
        <v>建筑类型</v>
      </c>
      <c r="R29" s="702" t="s">
        <v>17</v>
      </c>
      <c r="S29" s="703">
        <f t="shared" si="12"/>
        <v>100</v>
      </c>
      <c r="T29" s="702" t="s">
        <v>17</v>
      </c>
      <c r="U29" s="703">
        <f t="shared" si="13"/>
        <v>100</v>
      </c>
      <c r="V29" s="702" t="s">
        <v>17</v>
      </c>
      <c r="W29" s="703">
        <f t="shared" si="14"/>
        <v>100</v>
      </c>
      <c r="X29" s="1477"/>
      <c r="Y29" s="3518" t="s">
        <v>2145</v>
      </c>
      <c r="Z29" s="1478" t="str">
        <f t="shared" si="15"/>
        <v>建筑类型</v>
      </c>
      <c r="AA29" s="1475">
        <f t="shared" si="3"/>
        <v>1</v>
      </c>
      <c r="AB29" s="1475">
        <f t="shared" si="4"/>
        <v>1</v>
      </c>
      <c r="AC29" s="1475">
        <f t="shared" si="5"/>
        <v>1</v>
      </c>
    </row>
    <row r="30" spans="1:29" s="420" customFormat="1" ht="15.5">
      <c r="A30" s="417"/>
      <c r="B30" s="371" t="s">
        <v>2146</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518"/>
      <c r="Q30" s="704" t="str">
        <f t="shared" si="11"/>
        <v>项目建筑规模</v>
      </c>
      <c r="R30" s="705" t="s">
        <v>17</v>
      </c>
      <c r="S30" s="706" t="e">
        <f t="shared" si="12"/>
        <v>#N/A</v>
      </c>
      <c r="T30" s="705" t="s">
        <v>17</v>
      </c>
      <c r="U30" s="706" t="e">
        <f t="shared" si="13"/>
        <v>#N/A</v>
      </c>
      <c r="V30" s="705" t="s">
        <v>17</v>
      </c>
      <c r="W30" s="706" t="e">
        <f t="shared" si="14"/>
        <v>#N/A</v>
      </c>
      <c r="X30" s="707"/>
      <c r="Y30" s="3518"/>
      <c r="Z30" s="708" t="str">
        <f t="shared" si="15"/>
        <v>项目建筑规模</v>
      </c>
      <c r="AA30" s="1475" t="e">
        <f t="shared" si="3"/>
        <v>#N/A</v>
      </c>
      <c r="AB30" s="1475" t="e">
        <f t="shared" si="4"/>
        <v>#N/A</v>
      </c>
      <c r="AC30" s="1475" t="e">
        <f t="shared" si="5"/>
        <v>#N/A</v>
      </c>
    </row>
    <row r="31" spans="1:29" ht="15.5">
      <c r="A31" s="421"/>
      <c r="B31" s="371" t="s">
        <v>2147</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518"/>
      <c r="Q31" s="1474" t="str">
        <f t="shared" si="11"/>
        <v>建筑结构</v>
      </c>
      <c r="R31" s="702" t="s">
        <v>17</v>
      </c>
      <c r="S31" s="703">
        <f t="shared" si="12"/>
        <v>100</v>
      </c>
      <c r="T31" s="702" t="s">
        <v>17</v>
      </c>
      <c r="U31" s="703">
        <f t="shared" si="13"/>
        <v>100</v>
      </c>
      <c r="V31" s="702" t="s">
        <v>17</v>
      </c>
      <c r="W31" s="703">
        <f t="shared" si="14"/>
        <v>100</v>
      </c>
      <c r="X31" s="1477"/>
      <c r="Y31" s="3518"/>
      <c r="Z31" s="1478" t="str">
        <f t="shared" si="15"/>
        <v>建筑结构</v>
      </c>
      <c r="AA31" s="1475">
        <f t="shared" si="3"/>
        <v>1</v>
      </c>
      <c r="AB31" s="1475">
        <f t="shared" si="4"/>
        <v>1</v>
      </c>
      <c r="AC31" s="1475">
        <f t="shared" si="5"/>
        <v>1</v>
      </c>
    </row>
    <row r="32" spans="1:29" ht="15.5">
      <c r="A32" s="421"/>
      <c r="B32" s="371" t="s">
        <v>2241</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518"/>
      <c r="Q32" s="1474" t="str">
        <f t="shared" si="11"/>
        <v>公共部分装修</v>
      </c>
      <c r="R32" s="702" t="s">
        <v>17</v>
      </c>
      <c r="S32" s="703">
        <f t="shared" si="12"/>
        <v>100</v>
      </c>
      <c r="T32" s="702" t="s">
        <v>17</v>
      </c>
      <c r="U32" s="703">
        <f t="shared" si="13"/>
        <v>100</v>
      </c>
      <c r="V32" s="702" t="s">
        <v>17</v>
      </c>
      <c r="W32" s="703">
        <f t="shared" si="14"/>
        <v>100</v>
      </c>
      <c r="X32" s="1477"/>
      <c r="Y32" s="3518"/>
      <c r="Z32" s="1478" t="str">
        <f t="shared" si="15"/>
        <v>公共部分装修</v>
      </c>
      <c r="AA32" s="1475">
        <f t="shared" si="3"/>
        <v>1</v>
      </c>
      <c r="AB32" s="1475">
        <f t="shared" si="4"/>
        <v>1</v>
      </c>
      <c r="AC32" s="1475">
        <f t="shared" si="5"/>
        <v>1</v>
      </c>
    </row>
    <row r="33" spans="1:29" ht="15.5">
      <c r="A33" s="421"/>
      <c r="B33" s="371" t="s">
        <v>2242</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518"/>
      <c r="Q33" s="1474" t="str">
        <f t="shared" si="11"/>
        <v>成新度</v>
      </c>
      <c r="R33" s="702" t="s">
        <v>17</v>
      </c>
      <c r="S33" s="703" t="e">
        <f t="shared" si="12"/>
        <v>#N/A</v>
      </c>
      <c r="T33" s="702" t="s">
        <v>17</v>
      </c>
      <c r="U33" s="703" t="e">
        <f t="shared" si="13"/>
        <v>#N/A</v>
      </c>
      <c r="V33" s="702" t="s">
        <v>17</v>
      </c>
      <c r="W33" s="703" t="e">
        <f t="shared" si="14"/>
        <v>#N/A</v>
      </c>
      <c r="X33" s="1477"/>
      <c r="Y33" s="3518"/>
      <c r="Z33" s="1478" t="str">
        <f t="shared" si="15"/>
        <v>成新度</v>
      </c>
      <c r="AA33" s="1475" t="e">
        <f t="shared" si="3"/>
        <v>#N/A</v>
      </c>
      <c r="AB33" s="1475" t="e">
        <f t="shared" si="4"/>
        <v>#N/A</v>
      </c>
      <c r="AC33" s="1475" t="e">
        <f t="shared" si="5"/>
        <v>#N/A</v>
      </c>
    </row>
    <row r="34" spans="1:29" s="110" customFormat="1" ht="15.5">
      <c r="A34" s="422"/>
      <c r="B34" s="371" t="s">
        <v>2275</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518"/>
      <c r="Q34" s="1465" t="str">
        <f t="shared" si="11"/>
        <v>物业管理</v>
      </c>
      <c r="R34" s="698" t="s">
        <v>17</v>
      </c>
      <c r="S34" s="699">
        <f t="shared" si="12"/>
        <v>100</v>
      </c>
      <c r="T34" s="698" t="s">
        <v>17</v>
      </c>
      <c r="U34" s="699">
        <f t="shared" si="13"/>
        <v>100</v>
      </c>
      <c r="V34" s="698" t="s">
        <v>17</v>
      </c>
      <c r="W34" s="699">
        <f t="shared" si="14"/>
        <v>100</v>
      </c>
      <c r="X34" s="700"/>
      <c r="Y34" s="3518"/>
      <c r="Z34" s="55" t="str">
        <f t="shared" si="15"/>
        <v>物业管理</v>
      </c>
      <c r="AA34" s="701">
        <f t="shared" si="3"/>
        <v>1</v>
      </c>
      <c r="AB34" s="701">
        <f t="shared" si="4"/>
        <v>1</v>
      </c>
      <c r="AC34" s="701">
        <f t="shared" si="5"/>
        <v>1</v>
      </c>
    </row>
    <row r="35" spans="1:29" ht="15.5">
      <c r="A35" s="421"/>
      <c r="B35" s="371" t="s">
        <v>2243</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518" t="s">
        <v>2145</v>
      </c>
      <c r="Q35" s="1474" t="str">
        <f t="shared" si="11"/>
        <v>市政基础设施</v>
      </c>
      <c r="R35" s="702" t="s">
        <v>17</v>
      </c>
      <c r="S35" s="703">
        <f t="shared" si="12"/>
        <v>100</v>
      </c>
      <c r="T35" s="702" t="s">
        <v>17</v>
      </c>
      <c r="U35" s="703">
        <f t="shared" si="13"/>
        <v>100</v>
      </c>
      <c r="V35" s="702" t="s">
        <v>17</v>
      </c>
      <c r="W35" s="703">
        <f t="shared" si="14"/>
        <v>100</v>
      </c>
      <c r="X35" s="1477"/>
      <c r="Y35" s="3518" t="s">
        <v>2145</v>
      </c>
      <c r="Z35" s="1478" t="str">
        <f t="shared" si="15"/>
        <v>市政基础设施</v>
      </c>
      <c r="AA35" s="1475">
        <f t="shared" si="3"/>
        <v>1</v>
      </c>
      <c r="AB35" s="1475">
        <f t="shared" si="4"/>
        <v>1</v>
      </c>
      <c r="AC35" s="1475">
        <f t="shared" si="5"/>
        <v>1</v>
      </c>
    </row>
    <row r="36" spans="1:29" ht="15.5">
      <c r="A36" s="421"/>
      <c r="B36" s="371" t="s">
        <v>2248</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518"/>
      <c r="Q36" s="1474" t="str">
        <f t="shared" si="11"/>
        <v>内部装修</v>
      </c>
      <c r="R36" s="702" t="s">
        <v>17</v>
      </c>
      <c r="S36" s="703">
        <f t="shared" si="12"/>
        <v>100</v>
      </c>
      <c r="T36" s="702" t="s">
        <v>17</v>
      </c>
      <c r="U36" s="703">
        <f t="shared" si="13"/>
        <v>100</v>
      </c>
      <c r="V36" s="702" t="s">
        <v>17</v>
      </c>
      <c r="W36" s="703">
        <f t="shared" si="14"/>
        <v>100</v>
      </c>
      <c r="X36" s="1477"/>
      <c r="Y36" s="3518"/>
      <c r="Z36" s="1478" t="str">
        <f t="shared" si="15"/>
        <v>内部装修</v>
      </c>
      <c r="AA36" s="1475">
        <f t="shared" si="3"/>
        <v>1</v>
      </c>
      <c r="AB36" s="1475">
        <f t="shared" si="4"/>
        <v>1</v>
      </c>
      <c r="AC36" s="1475">
        <f t="shared" si="5"/>
        <v>1</v>
      </c>
    </row>
    <row r="37" spans="1:29" ht="15.5">
      <c r="A37" s="421"/>
      <c r="B37" s="371" t="s">
        <v>2284</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518"/>
      <c r="Q37" s="1474" t="str">
        <f t="shared" si="11"/>
        <v>内部装修状况</v>
      </c>
      <c r="R37" s="702" t="s">
        <v>17</v>
      </c>
      <c r="S37" s="703">
        <f t="shared" si="12"/>
        <v>100</v>
      </c>
      <c r="T37" s="702" t="s">
        <v>17</v>
      </c>
      <c r="U37" s="703">
        <f t="shared" si="13"/>
        <v>100</v>
      </c>
      <c r="V37" s="702" t="s">
        <v>17</v>
      </c>
      <c r="W37" s="703">
        <f t="shared" si="14"/>
        <v>100</v>
      </c>
      <c r="X37" s="1477"/>
      <c r="Y37" s="3518"/>
      <c r="Z37" s="1478" t="str">
        <f t="shared" si="15"/>
        <v>内部装修状况</v>
      </c>
      <c r="AA37" s="1475">
        <f t="shared" si="3"/>
        <v>1</v>
      </c>
      <c r="AB37" s="1475">
        <f t="shared" si="4"/>
        <v>1</v>
      </c>
      <c r="AC37" s="1475">
        <f t="shared" si="5"/>
        <v>1</v>
      </c>
    </row>
    <row r="38" spans="1:29" s="420" customFormat="1" ht="15.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518"/>
      <c r="Q38" s="704">
        <f t="shared" si="11"/>
        <v>111</v>
      </c>
      <c r="R38" s="705" t="s">
        <v>17</v>
      </c>
      <c r="S38" s="706">
        <f t="shared" si="12"/>
        <v>100</v>
      </c>
      <c r="T38" s="705" t="s">
        <v>17</v>
      </c>
      <c r="U38" s="706">
        <f t="shared" si="13"/>
        <v>100</v>
      </c>
      <c r="V38" s="705" t="s">
        <v>17</v>
      </c>
      <c r="W38" s="706">
        <f t="shared" si="14"/>
        <v>100</v>
      </c>
      <c r="X38" s="707"/>
      <c r="Y38" s="3518"/>
      <c r="Z38" s="708">
        <f t="shared" si="15"/>
        <v>111</v>
      </c>
      <c r="AA38" s="1475">
        <f t="shared" si="3"/>
        <v>1</v>
      </c>
      <c r="AB38" s="1475">
        <f t="shared" si="4"/>
        <v>1</v>
      </c>
      <c r="AC38" s="1475">
        <f t="shared" si="5"/>
        <v>1</v>
      </c>
    </row>
    <row r="39" spans="1:29" ht="15.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518"/>
      <c r="Q39" s="1474">
        <f t="shared" si="11"/>
        <v>111</v>
      </c>
      <c r="R39" s="702" t="s">
        <v>17</v>
      </c>
      <c r="S39" s="703">
        <f t="shared" si="12"/>
        <v>100</v>
      </c>
      <c r="T39" s="702" t="s">
        <v>17</v>
      </c>
      <c r="U39" s="703">
        <f t="shared" si="13"/>
        <v>100</v>
      </c>
      <c r="V39" s="702" t="s">
        <v>17</v>
      </c>
      <c r="W39" s="703">
        <f t="shared" si="14"/>
        <v>100</v>
      </c>
      <c r="X39" s="1477"/>
      <c r="Y39" s="3518"/>
      <c r="Z39" s="1478">
        <f t="shared" si="15"/>
        <v>111</v>
      </c>
      <c r="AA39" s="1475">
        <f t="shared" si="3"/>
        <v>1</v>
      </c>
      <c r="AB39" s="1475">
        <f t="shared" si="4"/>
        <v>1</v>
      </c>
      <c r="AC39" s="1475">
        <f t="shared" si="5"/>
        <v>1</v>
      </c>
    </row>
    <row r="40" spans="1:29" ht="16"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9"/>
      <c r="Q40" s="1474">
        <f t="shared" si="11"/>
        <v>111</v>
      </c>
      <c r="R40" s="702" t="s">
        <v>17</v>
      </c>
      <c r="S40" s="703">
        <f t="shared" si="12"/>
        <v>100</v>
      </c>
      <c r="T40" s="702" t="s">
        <v>17</v>
      </c>
      <c r="U40" s="703">
        <f t="shared" si="13"/>
        <v>100</v>
      </c>
      <c r="V40" s="702" t="s">
        <v>17</v>
      </c>
      <c r="W40" s="703">
        <f t="shared" si="14"/>
        <v>100</v>
      </c>
      <c r="X40" s="1477"/>
      <c r="Y40" s="3559"/>
      <c r="Z40" s="1478">
        <f t="shared" si="15"/>
        <v>111</v>
      </c>
      <c r="AA40" s="1475">
        <f t="shared" si="3"/>
        <v>1</v>
      </c>
      <c r="AB40" s="1475">
        <f t="shared" si="4"/>
        <v>1</v>
      </c>
      <c r="AC40" s="1475">
        <f t="shared" si="5"/>
        <v>1</v>
      </c>
    </row>
    <row r="41" spans="1:29">
      <c r="A41" s="428" t="s">
        <v>2157</v>
      </c>
      <c r="B41" s="429"/>
      <c r="C41" s="1257" t="s">
        <v>1</v>
      </c>
      <c r="D41" s="1258"/>
      <c r="E41" s="1259"/>
      <c r="F41" s="1260"/>
      <c r="G41" s="1261"/>
      <c r="H41" s="1262"/>
      <c r="I41" s="1259"/>
      <c r="J41" s="1262"/>
      <c r="K41" s="711"/>
      <c r="L41" s="1026"/>
      <c r="M41" s="1027"/>
      <c r="N41" s="1014"/>
      <c r="O41" s="1027"/>
      <c r="P41" s="3500" t="str">
        <f>A41</f>
        <v>成交单价（元/平方米）</v>
      </c>
      <c r="Q41" s="3500"/>
      <c r="R41" s="3555">
        <f>E41</f>
        <v>0</v>
      </c>
      <c r="S41" s="3555"/>
      <c r="T41" s="3555">
        <f>G41</f>
        <v>0</v>
      </c>
      <c r="U41" s="3555"/>
      <c r="V41" s="3555">
        <f>I41</f>
        <v>0</v>
      </c>
      <c r="W41" s="3555"/>
      <c r="X41" s="687"/>
      <c r="Y41" s="709"/>
      <c r="Z41" s="687"/>
      <c r="AA41" s="687"/>
      <c r="AB41" s="687"/>
      <c r="AC41" s="687"/>
    </row>
    <row r="42" spans="1:29" ht="14.5" thickBot="1">
      <c r="A42" s="435" t="s">
        <v>2249</v>
      </c>
      <c r="B42" s="436"/>
      <c r="C42" s="1263" t="e">
        <f>R43</f>
        <v>#DIV/0!</v>
      </c>
      <c r="D42" s="2476" t="s">
        <v>2639</v>
      </c>
      <c r="E42" s="1264" t="e">
        <f>R42</f>
        <v>#DIV/0!</v>
      </c>
      <c r="F42" s="2477"/>
      <c r="G42" s="1263" t="e">
        <f>T42</f>
        <v>#DIV/0!</v>
      </c>
      <c r="H42" s="2477"/>
      <c r="I42" s="1264" t="e">
        <f>V42</f>
        <v>#DIV/0!</v>
      </c>
      <c r="J42" s="2477"/>
      <c r="K42" s="2479">
        <f>F42+H42+J42</f>
        <v>0</v>
      </c>
      <c r="L42" s="1026"/>
      <c r="M42" s="1027"/>
      <c r="N42" s="1014"/>
      <c r="O42" s="1027"/>
      <c r="P42" s="3500" t="str">
        <f>A42</f>
        <v>比较价值（元/平方米）</v>
      </c>
      <c r="Q42" s="3500"/>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687"/>
      <c r="Y42" s="687"/>
      <c r="Z42" s="687"/>
      <c r="AA42" s="687"/>
      <c r="AB42" s="687"/>
      <c r="AC42" s="687"/>
    </row>
    <row r="43" spans="1:29" ht="14.5" thickBot="1">
      <c r="A43" s="439" t="s">
        <v>2250</v>
      </c>
      <c r="B43" s="440"/>
      <c r="C43" s="1266" t="e">
        <f>R43</f>
        <v>#DIV/0!</v>
      </c>
      <c r="D43" s="1266"/>
      <c r="E43" s="1266"/>
      <c r="F43" s="1266"/>
      <c r="G43" s="1266"/>
      <c r="H43" s="1266"/>
      <c r="I43" s="1266"/>
      <c r="J43" s="1266"/>
      <c r="K43" s="712"/>
      <c r="L43" s="1026"/>
      <c r="M43" s="1027"/>
      <c r="N43" s="1027"/>
      <c r="O43" s="1027"/>
      <c r="P43" s="3520" t="str">
        <f>A43</f>
        <v>估价对象XX用房的比较价值（楼面单价，元/平方米）</v>
      </c>
      <c r="Q43" s="3521"/>
      <c r="R43" s="3554" t="e">
        <f>IF(F1="售价",ROUND(IF(D42="简单平均",AVERAGE(R42:V42),R42*F42+T42*H42+V42*J42),0),ROUND(IF(D42="简单平均",AVERAGE(R42:V42),R42*F42+T42*H42+V42*J42),1))</f>
        <v>#DIV/0!</v>
      </c>
      <c r="S43" s="3554"/>
      <c r="T43" s="3554"/>
      <c r="U43" s="3554"/>
      <c r="V43" s="3554"/>
      <c r="W43" s="3554"/>
      <c r="X43" s="687"/>
      <c r="Y43" s="687"/>
      <c r="Z43" s="687"/>
      <c r="AA43" s="687"/>
      <c r="AB43" s="687"/>
      <c r="AC43" s="687"/>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989"/>
      <c r="M46" s="1027"/>
      <c r="N46" s="1027"/>
      <c r="O46" s="1027"/>
    </row>
    <row r="47" spans="1:29"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989"/>
      <c r="M47" s="1027"/>
      <c r="N47" s="1027"/>
      <c r="O47" s="1027"/>
    </row>
    <row r="48" spans="1:29"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1030"/>
      <c r="M48" s="1028"/>
      <c r="N48" s="1028"/>
      <c r="O48" s="1028"/>
    </row>
    <row r="49" spans="1:17" s="449"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1.5" thickBot="1">
      <c r="A51" s="691" t="s">
        <v>2254</v>
      </c>
      <c r="B51" s="687"/>
      <c r="C51" s="692"/>
      <c r="D51" s="692"/>
      <c r="E51" s="692"/>
      <c r="F51" s="693"/>
      <c r="G51" s="693"/>
      <c r="H51" s="692"/>
      <c r="I51" s="692"/>
      <c r="J51" s="692"/>
      <c r="K51" s="1041"/>
      <c r="L51" s="1042"/>
      <c r="M51" s="1040"/>
      <c r="N51" s="1040"/>
      <c r="O51" s="1040"/>
      <c r="P51" s="450"/>
      <c r="Q51" s="451"/>
    </row>
    <row r="52" spans="1:17" s="455" customFormat="1">
      <c r="A52" s="452" t="s">
        <v>2128</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c r="A53" s="456"/>
      <c r="B53" s="457"/>
      <c r="C53" s="1285">
        <v>100</v>
      </c>
      <c r="D53" s="459"/>
      <c r="E53" s="459"/>
      <c r="F53" s="459"/>
      <c r="G53" s="459"/>
      <c r="H53" s="459"/>
      <c r="I53" s="459"/>
      <c r="J53" s="459"/>
      <c r="K53" s="459"/>
      <c r="L53" s="459"/>
      <c r="M53" s="460"/>
      <c r="N53" s="459"/>
      <c r="O53" s="461"/>
      <c r="P53" s="451"/>
    </row>
    <row r="54" spans="1:17" s="110" customFormat="1" ht="14.5" thickBot="1">
      <c r="A54" s="462" t="s">
        <v>2165</v>
      </c>
      <c r="B54" s="463"/>
      <c r="C54" s="464"/>
      <c r="D54" s="465"/>
      <c r="E54" s="465"/>
      <c r="F54" s="465"/>
      <c r="G54" s="465"/>
      <c r="H54" s="465"/>
      <c r="I54" s="465"/>
      <c r="J54" s="465"/>
      <c r="K54" s="465"/>
      <c r="L54" s="465"/>
      <c r="M54" s="466"/>
      <c r="N54" s="2931"/>
      <c r="O54" s="2932"/>
      <c r="P54" s="451"/>
      <c r="Q54" s="451"/>
    </row>
    <row r="55" spans="1:17" s="110" customFormat="1">
      <c r="A55" s="468" t="s">
        <v>2130</v>
      </c>
      <c r="B55" s="457"/>
      <c r="C55" s="469" t="s">
        <v>2232</v>
      </c>
      <c r="D55" s="470"/>
      <c r="E55" s="470"/>
      <c r="F55" s="470"/>
      <c r="G55" s="470"/>
      <c r="H55" s="470"/>
      <c r="I55" s="470"/>
      <c r="J55" s="470"/>
      <c r="K55" s="470"/>
      <c r="L55" s="471"/>
      <c r="M55" s="472"/>
      <c r="N55" s="1032"/>
      <c r="O55" s="1032"/>
      <c r="P55" s="473"/>
      <c r="Q55" s="451"/>
    </row>
    <row r="56" spans="1:17" s="110" customFormat="1" ht="14.5" thickBot="1">
      <c r="A56" s="468"/>
      <c r="B56" s="457"/>
      <c r="C56" s="585">
        <v>100</v>
      </c>
      <c r="D56" s="459"/>
      <c r="E56" s="459"/>
      <c r="F56" s="459"/>
      <c r="G56" s="459"/>
      <c r="H56" s="459"/>
      <c r="I56" s="459"/>
      <c r="J56" s="459"/>
      <c r="K56" s="459"/>
      <c r="L56" s="459"/>
      <c r="M56" s="461"/>
      <c r="N56" s="1032"/>
      <c r="O56" s="1032"/>
      <c r="P56" s="451"/>
      <c r="Q56" s="451"/>
    </row>
    <row r="57" spans="1:17">
      <c r="A57" s="474" t="s">
        <v>2168</v>
      </c>
      <c r="B57" s="475" t="s">
        <v>2134</v>
      </c>
      <c r="C57" s="476">
        <f>C9</f>
        <v>0</v>
      </c>
      <c r="D57" s="477"/>
      <c r="E57" s="477"/>
      <c r="F57" s="477"/>
      <c r="G57" s="477"/>
      <c r="H57" s="477"/>
      <c r="I57" s="477"/>
      <c r="J57" s="477"/>
      <c r="K57" s="478"/>
      <c r="L57" s="479"/>
      <c r="M57" s="480"/>
      <c r="N57" s="1033"/>
      <c r="O57" s="1033"/>
      <c r="P57" s="45"/>
      <c r="Q57" s="451"/>
    </row>
    <row r="58" spans="1:17" ht="14.5" thickBot="1">
      <c r="A58" s="481"/>
      <c r="B58" s="482"/>
      <c r="C58" s="483">
        <v>100</v>
      </c>
      <c r="D58" s="483"/>
      <c r="E58" s="483"/>
      <c r="F58" s="483"/>
      <c r="G58" s="483"/>
      <c r="H58" s="483"/>
      <c r="I58" s="483"/>
      <c r="J58" s="483"/>
      <c r="K58" s="483"/>
      <c r="L58" s="483"/>
      <c r="M58" s="484"/>
      <c r="N58" s="1034"/>
      <c r="O58" s="1034"/>
      <c r="P58" s="45"/>
      <c r="Q58" s="451"/>
    </row>
    <row r="59" spans="1:17" ht="28.5" thickTop="1">
      <c r="A59" s="481"/>
      <c r="B59" s="485" t="s">
        <v>2137</v>
      </c>
      <c r="C59" s="486" t="s">
        <v>2169</v>
      </c>
      <c r="D59" s="486" t="s">
        <v>2170</v>
      </c>
      <c r="E59" s="486" t="s">
        <v>2171</v>
      </c>
      <c r="F59" s="486" t="s">
        <v>2172</v>
      </c>
      <c r="G59" s="486" t="s">
        <v>2173</v>
      </c>
      <c r="H59" s="486" t="s">
        <v>2174</v>
      </c>
      <c r="I59" s="486" t="s">
        <v>2175</v>
      </c>
      <c r="J59" s="486"/>
      <c r="K59" s="487"/>
      <c r="L59" s="488"/>
      <c r="M59" s="489"/>
      <c r="N59" s="1033"/>
      <c r="O59" s="1033"/>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4.5" thickTop="1">
      <c r="A61" s="481"/>
      <c r="B61" s="493" t="s">
        <v>2138</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c r="A62" s="481"/>
      <c r="B62" s="495"/>
      <c r="C62" s="496"/>
      <c r="D62" s="496"/>
      <c r="E62" s="496"/>
      <c r="F62" s="496"/>
      <c r="G62" s="496"/>
      <c r="H62" s="496"/>
      <c r="I62" s="496"/>
      <c r="J62" s="496"/>
      <c r="K62" s="497"/>
      <c r="L62" s="498"/>
      <c r="M62" s="499"/>
      <c r="N62" s="1033"/>
      <c r="O62" s="1033"/>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4.5" thickTop="1">
      <c r="A64" s="500"/>
      <c r="B64" s="485">
        <f>B12</f>
        <v>111</v>
      </c>
      <c r="C64" s="501"/>
      <c r="D64" s="501"/>
      <c r="E64" s="501"/>
      <c r="F64" s="501"/>
      <c r="G64" s="501"/>
      <c r="H64" s="502"/>
      <c r="I64" s="502"/>
      <c r="J64" s="502"/>
      <c r="K64" s="502"/>
      <c r="L64" s="503"/>
      <c r="M64" s="504"/>
      <c r="N64" s="1035"/>
      <c r="O64" s="1035"/>
      <c r="P64" s="505"/>
      <c r="Q64" s="506"/>
    </row>
    <row r="65" spans="1:17" s="420" customFormat="1" ht="14.5" thickBot="1">
      <c r="A65" s="500"/>
      <c r="B65" s="490"/>
      <c r="C65" s="507"/>
      <c r="D65" s="483"/>
      <c r="E65" s="483"/>
      <c r="F65" s="483"/>
      <c r="G65" s="483"/>
      <c r="H65" s="483"/>
      <c r="I65" s="483"/>
      <c r="J65" s="483"/>
      <c r="K65" s="483"/>
      <c r="L65" s="483"/>
      <c r="M65" s="484"/>
      <c r="N65" s="1034"/>
      <c r="O65" s="1034"/>
      <c r="P65" s="505"/>
      <c r="Q65" s="506"/>
    </row>
    <row r="66" spans="1:17" s="420" customFormat="1" ht="14.5" thickTop="1">
      <c r="A66" s="500"/>
      <c r="B66" s="485">
        <f>B13</f>
        <v>111</v>
      </c>
      <c r="C66" s="501"/>
      <c r="D66" s="501"/>
      <c r="E66" s="501"/>
      <c r="F66" s="501"/>
      <c r="G66" s="501"/>
      <c r="H66" s="502"/>
      <c r="I66" s="502"/>
      <c r="J66" s="502"/>
      <c r="K66" s="502"/>
      <c r="L66" s="503"/>
      <c r="M66" s="504"/>
      <c r="N66" s="1035"/>
      <c r="O66" s="1035"/>
      <c r="P66" s="419"/>
      <c r="Q66" s="508"/>
    </row>
    <row r="67" spans="1:17" s="420" customFormat="1" ht="14.5" thickBot="1">
      <c r="A67" s="500"/>
      <c r="B67" s="490"/>
      <c r="C67" s="507"/>
      <c r="D67" s="483"/>
      <c r="E67" s="483"/>
      <c r="F67" s="483"/>
      <c r="G67" s="507"/>
      <c r="H67" s="509"/>
      <c r="I67" s="509"/>
      <c r="J67" s="509"/>
      <c r="K67" s="509"/>
      <c r="L67" s="509"/>
      <c r="M67" s="510"/>
      <c r="N67" s="1035"/>
      <c r="O67" s="1035"/>
      <c r="P67" s="505"/>
      <c r="Q67" s="506"/>
    </row>
    <row r="68" spans="1:17" s="420" customFormat="1" ht="14.5" thickTop="1">
      <c r="A68" s="500"/>
      <c r="B68" s="493">
        <f>B14</f>
        <v>111</v>
      </c>
      <c r="C68" s="470"/>
      <c r="D68" s="470"/>
      <c r="E68" s="470"/>
      <c r="F68" s="470"/>
      <c r="G68" s="470"/>
      <c r="H68" s="511"/>
      <c r="I68" s="511"/>
      <c r="J68" s="511"/>
      <c r="K68" s="511"/>
      <c r="L68" s="512"/>
      <c r="M68" s="513"/>
      <c r="N68" s="1035"/>
      <c r="O68" s="1035"/>
      <c r="P68" s="514"/>
      <c r="Q68" s="506"/>
    </row>
    <row r="69" spans="1:17" s="420" customFormat="1" ht="14.5" thickBot="1">
      <c r="A69" s="515"/>
      <c r="B69" s="516"/>
      <c r="C69" s="517"/>
      <c r="D69" s="517"/>
      <c r="E69" s="517"/>
      <c r="F69" s="517"/>
      <c r="G69" s="517"/>
      <c r="H69" s="518"/>
      <c r="I69" s="518"/>
      <c r="J69" s="518"/>
      <c r="K69" s="518"/>
      <c r="L69" s="518"/>
      <c r="M69" s="519"/>
      <c r="N69" s="1035"/>
      <c r="O69" s="1035"/>
      <c r="P69" s="505"/>
      <c r="Q69" s="506"/>
    </row>
    <row r="70" spans="1:17">
      <c r="A70" s="474" t="s">
        <v>2139</v>
      </c>
      <c r="B70" s="475" t="s">
        <v>2285</v>
      </c>
      <c r="C70" s="520" t="s">
        <v>2177</v>
      </c>
      <c r="D70" s="520" t="s">
        <v>2178</v>
      </c>
      <c r="E70" s="520" t="s">
        <v>2179</v>
      </c>
      <c r="F70" s="520" t="s">
        <v>2180</v>
      </c>
      <c r="G70" s="520" t="s">
        <v>2181</v>
      </c>
      <c r="H70" s="476"/>
      <c r="I70" s="476"/>
      <c r="J70" s="476"/>
      <c r="K70" s="521"/>
      <c r="L70" s="522"/>
      <c r="M70" s="523"/>
      <c r="N70" s="1033"/>
      <c r="O70" s="1033"/>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4.5" thickTop="1">
      <c r="A72" s="481"/>
      <c r="B72" s="485" t="s">
        <v>2182</v>
      </c>
      <c r="C72" s="525" t="s">
        <v>2177</v>
      </c>
      <c r="D72" s="525" t="s">
        <v>2178</v>
      </c>
      <c r="E72" s="525" t="s">
        <v>2179</v>
      </c>
      <c r="F72" s="525" t="s">
        <v>2180</v>
      </c>
      <c r="G72" s="525" t="s">
        <v>2181</v>
      </c>
      <c r="H72" s="486"/>
      <c r="I72" s="486"/>
      <c r="J72" s="486"/>
      <c r="K72" s="487"/>
      <c r="L72" s="488"/>
      <c r="M72" s="489"/>
      <c r="N72" s="1033"/>
      <c r="O72" s="1033"/>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4.5" thickTop="1">
      <c r="A74" s="481"/>
      <c r="B74" s="485" t="s">
        <v>2183</v>
      </c>
      <c r="C74" s="525" t="s">
        <v>2177</v>
      </c>
      <c r="D74" s="525" t="s">
        <v>2178</v>
      </c>
      <c r="E74" s="525" t="s">
        <v>2179</v>
      </c>
      <c r="F74" s="525" t="s">
        <v>2180</v>
      </c>
      <c r="G74" s="525" t="s">
        <v>2181</v>
      </c>
      <c r="H74" s="486"/>
      <c r="I74" s="486"/>
      <c r="J74" s="486"/>
      <c r="K74" s="487"/>
      <c r="L74" s="488"/>
      <c r="M74" s="489"/>
      <c r="N74" s="1033"/>
      <c r="O74" s="1033"/>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4.5" thickTop="1">
      <c r="A76" s="481"/>
      <c r="B76" s="493" t="s">
        <v>2269</v>
      </c>
      <c r="C76" s="606" t="s">
        <v>2255</v>
      </c>
      <c r="D76" s="606" t="s">
        <v>2256</v>
      </c>
      <c r="E76" s="606" t="s">
        <v>2257</v>
      </c>
      <c r="F76" s="606" t="s">
        <v>2258</v>
      </c>
      <c r="G76" s="606" t="s">
        <v>2259</v>
      </c>
      <c r="H76" s="486"/>
      <c r="I76" s="486"/>
      <c r="J76" s="486"/>
      <c r="K76" s="486"/>
      <c r="L76" s="486"/>
      <c r="M76" s="1232"/>
      <c r="N76" s="1034"/>
      <c r="O76" s="1034"/>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4.5" thickTop="1">
      <c r="A78" s="481"/>
      <c r="B78" s="485" t="s">
        <v>2278</v>
      </c>
      <c r="C78" s="525" t="s">
        <v>2177</v>
      </c>
      <c r="D78" s="525" t="s">
        <v>2178</v>
      </c>
      <c r="E78" s="525" t="s">
        <v>2179</v>
      </c>
      <c r="F78" s="525" t="s">
        <v>2180</v>
      </c>
      <c r="G78" s="525" t="s">
        <v>2181</v>
      </c>
      <c r="H78" s="486"/>
      <c r="I78" s="486"/>
      <c r="J78" s="486"/>
      <c r="K78" s="487"/>
      <c r="L78" s="488"/>
      <c r="M78" s="489"/>
      <c r="N78" s="1033"/>
      <c r="O78" s="1033"/>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4.5" thickTop="1">
      <c r="A80" s="526"/>
      <c r="B80" s="485">
        <f>B25</f>
        <v>111</v>
      </c>
      <c r="C80" s="501"/>
      <c r="D80" s="501"/>
      <c r="E80" s="501"/>
      <c r="F80" s="501"/>
      <c r="G80" s="501"/>
      <c r="H80" s="501"/>
      <c r="I80" s="501"/>
      <c r="J80" s="501"/>
      <c r="K80" s="501"/>
      <c r="L80" s="527"/>
      <c r="M80" s="528"/>
      <c r="N80" s="1032"/>
      <c r="O80" s="1032"/>
      <c r="P80" s="45"/>
      <c r="Q80" s="451"/>
    </row>
    <row r="81" spans="1:17" s="110" customFormat="1" ht="14.5" thickBot="1">
      <c r="A81" s="526"/>
      <c r="B81" s="490"/>
      <c r="C81" s="507"/>
      <c r="D81" s="483"/>
      <c r="E81" s="483"/>
      <c r="F81" s="483"/>
      <c r="G81" s="483"/>
      <c r="H81" s="483"/>
      <c r="I81" s="483"/>
      <c r="J81" s="483"/>
      <c r="K81" s="483"/>
      <c r="L81" s="483"/>
      <c r="M81" s="484"/>
      <c r="N81" s="1034"/>
      <c r="O81" s="1034"/>
      <c r="P81" s="45"/>
      <c r="Q81" s="451"/>
    </row>
    <row r="82" spans="1:17" s="110" customFormat="1" ht="14.5" thickTop="1">
      <c r="A82" s="526"/>
      <c r="B82" s="485">
        <f>B26</f>
        <v>111</v>
      </c>
      <c r="C82" s="501"/>
      <c r="D82" s="501"/>
      <c r="E82" s="501"/>
      <c r="F82" s="501"/>
      <c r="G82" s="501"/>
      <c r="H82" s="501"/>
      <c r="I82" s="501"/>
      <c r="J82" s="501"/>
      <c r="K82" s="501"/>
      <c r="L82" s="527"/>
      <c r="M82" s="528"/>
      <c r="N82" s="1032"/>
      <c r="O82" s="1032"/>
      <c r="P82" s="45"/>
      <c r="Q82" s="451"/>
    </row>
    <row r="83" spans="1:17" s="110" customFormat="1" ht="14.5" thickBot="1">
      <c r="A83" s="526"/>
      <c r="B83" s="490"/>
      <c r="C83" s="507"/>
      <c r="D83" s="483"/>
      <c r="E83" s="483"/>
      <c r="F83" s="483"/>
      <c r="G83" s="483"/>
      <c r="H83" s="483"/>
      <c r="I83" s="483"/>
      <c r="J83" s="483"/>
      <c r="K83" s="483"/>
      <c r="L83" s="483"/>
      <c r="M83" s="484"/>
      <c r="N83" s="1034"/>
      <c r="O83" s="1034"/>
      <c r="P83" s="45"/>
      <c r="Q83" s="451"/>
    </row>
    <row r="84" spans="1:17" s="420" customFormat="1" ht="14.5" thickTop="1">
      <c r="A84" s="500"/>
      <c r="B84" s="485">
        <f>B27</f>
        <v>111</v>
      </c>
      <c r="C84" s="501"/>
      <c r="D84" s="501"/>
      <c r="E84" s="501"/>
      <c r="F84" s="501"/>
      <c r="G84" s="501"/>
      <c r="H84" s="501"/>
      <c r="I84" s="501"/>
      <c r="J84" s="501"/>
      <c r="K84" s="501"/>
      <c r="L84" s="527"/>
      <c r="M84" s="528"/>
      <c r="N84" s="1035"/>
      <c r="O84" s="1035"/>
      <c r="P84" s="505"/>
      <c r="Q84" s="506"/>
    </row>
    <row r="85" spans="1:17" s="420" customFormat="1" ht="14.5" thickBot="1">
      <c r="A85" s="500"/>
      <c r="B85" s="490"/>
      <c r="C85" s="507"/>
      <c r="D85" s="483"/>
      <c r="E85" s="483"/>
      <c r="F85" s="483"/>
      <c r="G85" s="483"/>
      <c r="H85" s="483"/>
      <c r="I85" s="483"/>
      <c r="J85" s="483"/>
      <c r="K85" s="483"/>
      <c r="L85" s="483"/>
      <c r="M85" s="484"/>
      <c r="N85" s="1035"/>
      <c r="O85" s="1035"/>
      <c r="P85" s="505"/>
      <c r="Q85" s="506"/>
    </row>
    <row r="86" spans="1:17" ht="14.5" thickTop="1">
      <c r="A86" s="481"/>
      <c r="B86" s="493">
        <f>B28</f>
        <v>111</v>
      </c>
      <c r="C86" s="470"/>
      <c r="D86" s="470"/>
      <c r="E86" s="470"/>
      <c r="F86" s="470"/>
      <c r="G86" s="534"/>
      <c r="H86" s="534"/>
      <c r="I86" s="534"/>
      <c r="J86" s="534"/>
      <c r="K86" s="535"/>
      <c r="L86" s="536"/>
      <c r="M86" s="537"/>
      <c r="N86" s="1033"/>
      <c r="O86" s="1033"/>
      <c r="P86" s="45"/>
      <c r="Q86" s="451"/>
    </row>
    <row r="87" spans="1:17" ht="14.5" thickBot="1">
      <c r="A87" s="2052"/>
      <c r="B87" s="516"/>
      <c r="C87" s="517"/>
      <c r="D87" s="517"/>
      <c r="E87" s="517"/>
      <c r="F87" s="517"/>
      <c r="G87" s="538"/>
      <c r="H87" s="538"/>
      <c r="I87" s="538"/>
      <c r="J87" s="538"/>
      <c r="K87" s="538"/>
      <c r="L87" s="538"/>
      <c r="M87" s="539"/>
      <c r="N87" s="1034"/>
      <c r="O87" s="1034"/>
      <c r="P87" s="45"/>
      <c r="Q87" s="451"/>
    </row>
    <row r="88" spans="1:17">
      <c r="A88" s="474" t="s">
        <v>2143</v>
      </c>
      <c r="B88" s="475" t="s">
        <v>2192</v>
      </c>
      <c r="C88" s="477"/>
      <c r="D88" s="477"/>
      <c r="E88" s="477"/>
      <c r="F88" s="477"/>
      <c r="G88" s="477"/>
      <c r="H88" s="477"/>
      <c r="I88" s="477"/>
      <c r="J88" s="477"/>
      <c r="K88" s="478"/>
      <c r="L88" s="479"/>
      <c r="M88" s="480"/>
      <c r="N88" s="1033"/>
      <c r="O88" s="1033"/>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4.5" thickTop="1">
      <c r="A90" s="481"/>
      <c r="B90" s="485" t="s">
        <v>2193</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4.5" thickBot="1">
      <c r="A92" s="500"/>
      <c r="B92" s="490"/>
      <c r="C92" s="507"/>
      <c r="D92" s="483"/>
      <c r="E92" s="483"/>
      <c r="F92" s="483"/>
      <c r="G92" s="483"/>
      <c r="H92" s="483"/>
      <c r="I92" s="483"/>
      <c r="J92" s="483"/>
      <c r="K92" s="483"/>
      <c r="L92" s="483"/>
      <c r="M92" s="484"/>
      <c r="N92" s="1034"/>
      <c r="O92" s="1034"/>
      <c r="P92" s="505"/>
      <c r="Q92" s="506"/>
    </row>
    <row r="93" spans="1:17" ht="14.5" thickTop="1">
      <c r="A93" s="546"/>
      <c r="B93" s="485" t="s">
        <v>2194</v>
      </c>
      <c r="C93" s="501"/>
      <c r="D93" s="501"/>
      <c r="E93" s="530"/>
      <c r="F93" s="530"/>
      <c r="G93" s="530"/>
      <c r="H93" s="530"/>
      <c r="I93" s="530"/>
      <c r="J93" s="530"/>
      <c r="K93" s="531"/>
      <c r="L93" s="532"/>
      <c r="M93" s="533"/>
      <c r="N93" s="1033"/>
      <c r="O93" s="1033"/>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4.5" thickTop="1">
      <c r="A95" s="546"/>
      <c r="B95" s="485" t="s">
        <v>2196</v>
      </c>
      <c r="C95" s="501"/>
      <c r="D95" s="501"/>
      <c r="E95" s="501"/>
      <c r="F95" s="530"/>
      <c r="G95" s="530"/>
      <c r="H95" s="530"/>
      <c r="I95" s="530"/>
      <c r="J95" s="530"/>
      <c r="K95" s="531"/>
      <c r="L95" s="532"/>
      <c r="M95" s="533"/>
      <c r="N95" s="1033"/>
      <c r="O95" s="1033"/>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4.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4.5" thickTop="1">
      <c r="A100" s="540"/>
      <c r="B100" s="485" t="s">
        <v>2197</v>
      </c>
      <c r="C100" s="501"/>
      <c r="D100" s="501"/>
      <c r="E100" s="501"/>
      <c r="F100" s="501"/>
      <c r="G100" s="501"/>
      <c r="H100" s="530"/>
      <c r="I100" s="530"/>
      <c r="J100" s="530"/>
      <c r="K100" s="531"/>
      <c r="L100" s="532"/>
      <c r="M100" s="533"/>
      <c r="N100" s="1035"/>
      <c r="O100" s="1035"/>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4.5" thickTop="1">
      <c r="A102" s="546"/>
      <c r="B102" s="485" t="s">
        <v>2198</v>
      </c>
      <c r="C102" s="501"/>
      <c r="D102" s="501"/>
      <c r="E102" s="501"/>
      <c r="F102" s="501"/>
      <c r="G102" s="501"/>
      <c r="H102" s="530"/>
      <c r="I102" s="530"/>
      <c r="J102" s="530"/>
      <c r="K102" s="531"/>
      <c r="L102" s="532"/>
      <c r="M102" s="533"/>
      <c r="N102" s="1033"/>
      <c r="O102" s="1033"/>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4.5" thickTop="1">
      <c r="A104" s="546"/>
      <c r="B104" s="485" t="s">
        <v>2200</v>
      </c>
      <c r="C104" s="501"/>
      <c r="D104" s="501"/>
      <c r="E104" s="501"/>
      <c r="F104" s="501"/>
      <c r="G104" s="501"/>
      <c r="H104" s="530"/>
      <c r="I104" s="530"/>
      <c r="J104" s="530"/>
      <c r="K104" s="531"/>
      <c r="L104" s="532"/>
      <c r="M104" s="533"/>
      <c r="N104" s="1033"/>
      <c r="O104" s="1033"/>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28.5" thickTop="1">
      <c r="A106" s="546"/>
      <c r="B106" s="582" t="s">
        <v>2286</v>
      </c>
      <c r="C106" s="525" t="s">
        <v>2177</v>
      </c>
      <c r="D106" s="525" t="s">
        <v>2178</v>
      </c>
      <c r="E106" s="525" t="s">
        <v>2179</v>
      </c>
      <c r="F106" s="525" t="s">
        <v>2180</v>
      </c>
      <c r="G106" s="525" t="s">
        <v>2181</v>
      </c>
      <c r="H106" s="486"/>
      <c r="I106" s="486"/>
      <c r="J106" s="486"/>
      <c r="K106" s="487"/>
      <c r="L106" s="488"/>
      <c r="M106" s="489"/>
      <c r="N106" s="1034"/>
      <c r="O106" s="1034"/>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4.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4.5" thickBot="1">
      <c r="A109" s="500"/>
      <c r="B109" s="482"/>
      <c r="C109" s="507"/>
      <c r="D109" s="483"/>
      <c r="E109" s="483"/>
      <c r="F109" s="483"/>
      <c r="G109" s="507"/>
      <c r="H109" s="509"/>
      <c r="I109" s="509"/>
      <c r="J109" s="509"/>
      <c r="K109" s="509"/>
      <c r="L109" s="509"/>
      <c r="M109" s="510"/>
      <c r="N109" s="1035"/>
      <c r="O109" s="1035"/>
      <c r="P109" s="505"/>
      <c r="Q109" s="506"/>
    </row>
    <row r="110" spans="1:17" ht="14.5" thickTop="1">
      <c r="A110" s="546"/>
      <c r="B110" s="485">
        <f>B39</f>
        <v>111</v>
      </c>
      <c r="C110" s="501"/>
      <c r="D110" s="501"/>
      <c r="E110" s="501"/>
      <c r="F110" s="501"/>
      <c r="G110" s="501"/>
      <c r="H110" s="502"/>
      <c r="I110" s="502"/>
      <c r="J110" s="502"/>
      <c r="K110" s="502"/>
      <c r="L110" s="503"/>
      <c r="M110" s="504"/>
      <c r="N110" s="1033"/>
      <c r="O110" s="1033"/>
      <c r="P110" s="45"/>
      <c r="Q110" s="451"/>
    </row>
    <row r="111" spans="1:17" ht="14.5" thickBot="1">
      <c r="A111" s="481"/>
      <c r="B111" s="490"/>
      <c r="C111" s="507"/>
      <c r="D111" s="483"/>
      <c r="E111" s="483"/>
      <c r="F111" s="483"/>
      <c r="G111" s="507"/>
      <c r="H111" s="509"/>
      <c r="I111" s="509"/>
      <c r="J111" s="509"/>
      <c r="K111" s="509"/>
      <c r="L111" s="509"/>
      <c r="M111" s="510"/>
      <c r="N111" s="1034"/>
      <c r="O111" s="1034"/>
      <c r="P111" s="45"/>
      <c r="Q111" s="451"/>
    </row>
    <row r="112" spans="1:17" ht="14.5" thickTop="1">
      <c r="A112" s="546"/>
      <c r="B112" s="493">
        <f>B40</f>
        <v>111</v>
      </c>
      <c r="C112" s="470"/>
      <c r="D112" s="470"/>
      <c r="E112" s="470"/>
      <c r="F112" s="470"/>
      <c r="G112" s="534"/>
      <c r="H112" s="534"/>
      <c r="I112" s="534"/>
      <c r="J112" s="534"/>
      <c r="K112" s="470"/>
      <c r="L112" s="471"/>
      <c r="M112" s="537"/>
      <c r="N112" s="1033"/>
      <c r="O112" s="1033"/>
      <c r="P112" s="45"/>
      <c r="Q112" s="451"/>
    </row>
    <row r="113" spans="1:17" ht="14.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1006"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2287</v>
      </c>
      <c r="B1" s="1331"/>
      <c r="C1" s="1332" t="s">
        <v>2110</v>
      </c>
      <c r="D1" s="1333"/>
      <c r="E1" s="1334"/>
      <c r="F1" s="2003"/>
      <c r="G1" s="1335" t="s">
        <v>2223</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1907</v>
      </c>
      <c r="B2" s="1267" t="e">
        <f ca="1">IF(C2="——",IF(B37="元/平方米",ROUND(C39*D3/10000,0),ROUND(F3*C39/10000,0)),IF(B37="元/平方米",ROUND(C39*D3/10000,0),ROUND(F3*C39/10000,0))-D2)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1268"/>
      <c r="Q2" s="696"/>
      <c r="R2" s="696"/>
      <c r="S2" s="696"/>
      <c r="T2" s="696"/>
      <c r="U2" s="696"/>
      <c r="V2" s="696"/>
      <c r="W2" s="696"/>
      <c r="X2" s="696"/>
      <c r="Y2" s="696"/>
      <c r="Z2" s="696"/>
      <c r="AA2" s="696"/>
      <c r="AB2" s="696"/>
      <c r="AC2" s="697"/>
    </row>
    <row r="3" spans="1:29" s="348" customFormat="1" ht="28.5" customHeight="1" thickBot="1">
      <c r="A3" s="199" t="s">
        <v>1909</v>
      </c>
      <c r="B3" s="556" t="e">
        <f ca="1">IF(AND(C2="——",B37="元/平方米"),C39,ROUND(B2*10000/D3,0))</f>
        <v>#DIV/0!</v>
      </c>
      <c r="C3" s="350" t="s">
        <v>2224</v>
      </c>
      <c r="D3" s="349">
        <f>SUMIF('数据-汇总表'!$C19:$C33,D1,'数据-汇总表'!$E19:$E33)</f>
        <v>0</v>
      </c>
      <c r="E3" s="350" t="s">
        <v>2288</v>
      </c>
      <c r="F3" s="349">
        <f>SUMIF('数据-取费表'!A5:A15,D1,'数据-取费表'!AH5:AH15)</f>
        <v>0</v>
      </c>
      <c r="G3" s="1008"/>
      <c r="H3" s="1008"/>
      <c r="I3" s="1008"/>
      <c r="J3" s="1008"/>
      <c r="K3" s="1010"/>
      <c r="L3" s="2895"/>
      <c r="M3" s="2896"/>
      <c r="N3" s="2896"/>
      <c r="O3" s="2896"/>
      <c r="P3" s="1268"/>
      <c r="Q3" s="696"/>
      <c r="R3" s="696"/>
      <c r="S3" s="696"/>
      <c r="T3" s="696"/>
      <c r="U3" s="696"/>
      <c r="V3" s="696"/>
      <c r="W3" s="696"/>
      <c r="X3" s="696"/>
      <c r="Y3" s="696"/>
      <c r="Z3" s="696"/>
      <c r="AA3" s="696"/>
      <c r="AB3" s="713"/>
      <c r="AC3" s="710"/>
    </row>
    <row r="4" spans="1:29">
      <c r="A4" s="351" t="s">
        <v>2225</v>
      </c>
      <c r="B4" s="352"/>
      <c r="C4" s="3501" t="s">
        <v>2226</v>
      </c>
      <c r="D4" s="3502"/>
      <c r="E4" s="3503" t="s">
        <v>2227</v>
      </c>
      <c r="F4" s="3504"/>
      <c r="G4" s="3501" t="s">
        <v>2228</v>
      </c>
      <c r="H4" s="3502"/>
      <c r="I4" s="3501" t="s">
        <v>2229</v>
      </c>
      <c r="J4" s="3502"/>
      <c r="K4" s="557" t="s">
        <v>2230</v>
      </c>
      <c r="L4" s="2876"/>
      <c r="M4" s="2877"/>
      <c r="N4" s="2877"/>
      <c r="O4" s="2877"/>
      <c r="P4" s="3505" t="s">
        <v>2231</v>
      </c>
      <c r="Q4" s="3506"/>
      <c r="R4" s="3488" t="s">
        <v>2227</v>
      </c>
      <c r="S4" s="3489"/>
      <c r="T4" s="3488" t="s">
        <v>2228</v>
      </c>
      <c r="U4" s="3489"/>
      <c r="V4" s="3513" t="s">
        <v>2229</v>
      </c>
      <c r="W4" s="3513"/>
      <c r="X4" s="1477"/>
      <c r="Y4" s="3488" t="s">
        <v>2231</v>
      </c>
      <c r="Z4" s="3489"/>
      <c r="AA4" s="3483" t="s">
        <v>2227</v>
      </c>
      <c r="AB4" s="3484" t="s">
        <v>2228</v>
      </c>
      <c r="AC4" s="3483" t="s">
        <v>2229</v>
      </c>
    </row>
    <row r="5" spans="1:29">
      <c r="A5" s="354"/>
      <c r="B5" s="355"/>
      <c r="C5" s="3494" t="s">
        <v>2122</v>
      </c>
      <c r="D5" s="3495"/>
      <c r="E5" s="3492" t="s">
        <v>2123</v>
      </c>
      <c r="F5" s="3493"/>
      <c r="G5" s="3494" t="s">
        <v>2124</v>
      </c>
      <c r="H5" s="3495"/>
      <c r="I5" s="3494" t="s">
        <v>2125</v>
      </c>
      <c r="J5" s="3495"/>
      <c r="K5" s="557"/>
      <c r="L5" s="2876"/>
      <c r="M5" s="2877"/>
      <c r="N5" s="2877"/>
      <c r="O5" s="2877"/>
      <c r="P5" s="3507"/>
      <c r="Q5" s="3508"/>
      <c r="R5" s="3490"/>
      <c r="S5" s="3491"/>
      <c r="T5" s="3490"/>
      <c r="U5" s="3491"/>
      <c r="V5" s="3513"/>
      <c r="W5" s="3513"/>
      <c r="X5" s="1477"/>
      <c r="Y5" s="3490"/>
      <c r="Z5" s="3491"/>
      <c r="AA5" s="3484"/>
      <c r="AB5" s="3484"/>
      <c r="AC5" s="3484"/>
    </row>
    <row r="6" spans="1:29" ht="15" thickBot="1">
      <c r="A6" s="356"/>
      <c r="B6" s="357"/>
      <c r="C6" s="3496" t="s">
        <v>2126</v>
      </c>
      <c r="D6" s="3497"/>
      <c r="E6" s="3498" t="s">
        <v>2126</v>
      </c>
      <c r="F6" s="3499"/>
      <c r="G6" s="3496" t="s">
        <v>2126</v>
      </c>
      <c r="H6" s="3497"/>
      <c r="I6" s="3496" t="s">
        <v>2126</v>
      </c>
      <c r="J6" s="3497"/>
      <c r="K6" s="557" t="s">
        <v>2127</v>
      </c>
      <c r="L6" s="2876"/>
      <c r="M6" s="2877"/>
      <c r="N6" s="2877"/>
      <c r="O6" s="2877"/>
      <c r="P6" s="3509"/>
      <c r="Q6" s="3510"/>
      <c r="R6" s="3490"/>
      <c r="S6" s="3491"/>
      <c r="T6" s="3511"/>
      <c r="U6" s="3512"/>
      <c r="V6" s="3513"/>
      <c r="W6" s="3513"/>
      <c r="X6" s="1477"/>
      <c r="Y6" s="3511"/>
      <c r="Z6" s="3512"/>
      <c r="AA6" s="3485"/>
      <c r="AB6" s="3485"/>
      <c r="AC6" s="3485"/>
    </row>
    <row r="7" spans="1:29" s="110" customFormat="1" ht="14.5" thickBot="1">
      <c r="A7" s="358" t="s">
        <v>2128</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78"/>
      <c r="M7" s="2879"/>
      <c r="N7" s="2879"/>
      <c r="O7" s="2879"/>
      <c r="P7" s="3486" t="s">
        <v>2129</v>
      </c>
      <c r="Q7" s="3514"/>
      <c r="R7" s="698" t="s">
        <v>17</v>
      </c>
      <c r="S7" s="699">
        <f t="shared" ref="S7:S14" si="0">F7</f>
        <v>0</v>
      </c>
      <c r="T7" s="698" t="s">
        <v>17</v>
      </c>
      <c r="U7" s="699">
        <f t="shared" ref="U7:U14" si="1">H7</f>
        <v>0</v>
      </c>
      <c r="V7" s="698" t="s">
        <v>17</v>
      </c>
      <c r="W7" s="699">
        <f t="shared" ref="W7:W14" si="2">J7</f>
        <v>0</v>
      </c>
      <c r="X7" s="700"/>
      <c r="Y7" s="3486" t="s">
        <v>2129</v>
      </c>
      <c r="Z7" s="3487"/>
      <c r="AA7" s="701" t="e">
        <f>D7/F7</f>
        <v>#DIV/0!</v>
      </c>
      <c r="AB7" s="701" t="e">
        <f>D7/H7</f>
        <v>#DIV/0!</v>
      </c>
      <c r="AC7" s="701" t="e">
        <f>D7/J7</f>
        <v>#DIV/0!</v>
      </c>
    </row>
    <row r="8" spans="1:29" s="110" customFormat="1" ht="14.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558"/>
      <c r="L8" s="2878"/>
      <c r="M8" s="2879"/>
      <c r="N8" s="2879"/>
      <c r="O8" s="2879"/>
      <c r="P8" s="3486" t="s">
        <v>2132</v>
      </c>
      <c r="Q8" s="3487"/>
      <c r="R8" s="698" t="s">
        <v>17</v>
      </c>
      <c r="S8" s="699">
        <f t="shared" si="0"/>
        <v>0</v>
      </c>
      <c r="T8" s="698" t="s">
        <v>17</v>
      </c>
      <c r="U8" s="699">
        <f t="shared" si="1"/>
        <v>0</v>
      </c>
      <c r="V8" s="698" t="s">
        <v>17</v>
      </c>
      <c r="W8" s="699">
        <f t="shared" si="2"/>
        <v>0</v>
      </c>
      <c r="X8" s="700"/>
      <c r="Y8" s="3486" t="s">
        <v>2132</v>
      </c>
      <c r="Z8" s="3487"/>
      <c r="AA8" s="701" t="e">
        <f t="shared" ref="AA8:AA36" si="3">D8/F8</f>
        <v>#DIV/0!</v>
      </c>
      <c r="AB8" s="701" t="e">
        <f t="shared" ref="AB8:AB36" si="4">D8/H8</f>
        <v>#DIV/0!</v>
      </c>
      <c r="AC8" s="701" t="e">
        <f t="shared" ref="AC8:AC36" si="5">D8/J8</f>
        <v>#DIV/0!</v>
      </c>
    </row>
    <row r="9" spans="1:29" s="110" customFormat="1">
      <c r="A9" s="64" t="s">
        <v>2133</v>
      </c>
      <c r="B9" s="586" t="s">
        <v>2134</v>
      </c>
      <c r="C9" s="366"/>
      <c r="D9" s="121">
        <v>100</v>
      </c>
      <c r="E9" s="369"/>
      <c r="F9" s="121">
        <f>SUMIF(53:53,E9,54:54)-SUMIF(53:53,C9,54:54)+100</f>
        <v>100</v>
      </c>
      <c r="G9" s="367"/>
      <c r="H9" s="121">
        <f>SUMIF(53:53,G9,54:54)-SUMIF(53:53,C9,54:54)+100</f>
        <v>100</v>
      </c>
      <c r="I9" s="367"/>
      <c r="J9" s="121">
        <f>SUMIF(53:53,I9,54:54)-SUMIF(53:53,C9,54:54)+100</f>
        <v>100</v>
      </c>
      <c r="K9" s="558"/>
      <c r="L9" s="2878"/>
      <c r="M9" s="2879"/>
      <c r="N9" s="2879"/>
      <c r="O9" s="2879"/>
      <c r="P9" s="3500" t="s">
        <v>2135</v>
      </c>
      <c r="Q9" s="1465" t="str">
        <f t="shared" ref="Q9:Q14" si="6">B9</f>
        <v>用途</v>
      </c>
      <c r="R9" s="698" t="s">
        <v>17</v>
      </c>
      <c r="S9" s="699">
        <f t="shared" si="0"/>
        <v>100</v>
      </c>
      <c r="T9" s="698" t="s">
        <v>17</v>
      </c>
      <c r="U9" s="699">
        <f t="shared" si="1"/>
        <v>100</v>
      </c>
      <c r="V9" s="698" t="s">
        <v>17</v>
      </c>
      <c r="W9" s="699">
        <f t="shared" si="2"/>
        <v>100</v>
      </c>
      <c r="X9" s="700"/>
      <c r="Y9" s="3459" t="s">
        <v>2136</v>
      </c>
      <c r="Z9" s="55" t="str">
        <f t="shared" ref="Z9:Z14" si="7">Q9</f>
        <v>用途</v>
      </c>
      <c r="AA9" s="701">
        <f t="shared" si="3"/>
        <v>1</v>
      </c>
      <c r="AB9" s="701">
        <f t="shared" si="4"/>
        <v>1</v>
      </c>
      <c r="AC9" s="701">
        <f t="shared" si="5"/>
        <v>1</v>
      </c>
    </row>
    <row r="10" spans="1:29" s="376" customFormat="1" ht="28">
      <c r="A10" s="587"/>
      <c r="B10" s="588" t="s">
        <v>2137</v>
      </c>
      <c r="C10" s="372"/>
      <c r="D10" s="122">
        <v>100</v>
      </c>
      <c r="E10" s="372"/>
      <c r="F10" s="122">
        <f>SUMIF(55:55,E10,56:56)-SUMIF(55:55,C10,56:56)+100</f>
        <v>100</v>
      </c>
      <c r="G10" s="373"/>
      <c r="H10" s="122">
        <f>SUMIF(55:55,G10,56:56)-SUMIF(55:55,C10,56:56)+100</f>
        <v>100</v>
      </c>
      <c r="I10" s="372"/>
      <c r="J10" s="122">
        <f>SUMIF(55:55,I10,56:56)-SUMIF(55:55,C10,56:56)+100</f>
        <v>100</v>
      </c>
      <c r="K10" s="559"/>
      <c r="L10" s="2880"/>
      <c r="M10" s="2881"/>
      <c r="N10" s="2881"/>
      <c r="O10" s="2881"/>
      <c r="P10" s="3500"/>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701">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82"/>
      <c r="M11" s="2877"/>
      <c r="N11" s="2877"/>
      <c r="O11" s="2877"/>
      <c r="P11" s="3500"/>
      <c r="Q11" s="1465">
        <f t="shared" si="6"/>
        <v>111</v>
      </c>
      <c r="R11" s="698" t="s">
        <v>17</v>
      </c>
      <c r="S11" s="699">
        <f t="shared" si="0"/>
        <v>100</v>
      </c>
      <c r="T11" s="698" t="s">
        <v>17</v>
      </c>
      <c r="U11" s="699">
        <f t="shared" si="1"/>
        <v>100</v>
      </c>
      <c r="V11" s="698" t="s">
        <v>17</v>
      </c>
      <c r="W11" s="699">
        <f t="shared" si="2"/>
        <v>100</v>
      </c>
      <c r="X11" s="700"/>
      <c r="Y11" s="3459"/>
      <c r="Z11" s="55">
        <f t="shared" si="7"/>
        <v>111</v>
      </c>
      <c r="AA11" s="701">
        <f t="shared" si="3"/>
        <v>1</v>
      </c>
      <c r="AB11" s="701">
        <f t="shared" si="4"/>
        <v>1</v>
      </c>
      <c r="AC11" s="701">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78"/>
      <c r="M12" s="2879"/>
      <c r="N12" s="2879"/>
      <c r="O12" s="2879"/>
      <c r="P12" s="3500"/>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701">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83"/>
      <c r="M13" s="2877"/>
      <c r="N13" s="2877"/>
      <c r="O13" s="2877"/>
      <c r="P13" s="3500"/>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701">
        <f t="shared" si="5"/>
        <v>1</v>
      </c>
    </row>
    <row r="14" spans="1:29" ht="98">
      <c r="A14" s="351" t="s">
        <v>2139</v>
      </c>
      <c r="B14" s="575" t="s">
        <v>2289</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83"/>
      <c r="M14" s="2877"/>
      <c r="N14" s="2877"/>
      <c r="O14" s="2877"/>
      <c r="P14" s="3515" t="s">
        <v>2140</v>
      </c>
      <c r="Q14" s="1474" t="str">
        <f t="shared" si="6"/>
        <v>交通便捷度</v>
      </c>
      <c r="R14" s="702" t="s">
        <v>17</v>
      </c>
      <c r="S14" s="703">
        <f t="shared" si="0"/>
        <v>100</v>
      </c>
      <c r="T14" s="702" t="s">
        <v>17</v>
      </c>
      <c r="U14" s="703">
        <f t="shared" si="1"/>
        <v>100</v>
      </c>
      <c r="V14" s="702" t="s">
        <v>17</v>
      </c>
      <c r="W14" s="703">
        <f t="shared" si="2"/>
        <v>100</v>
      </c>
      <c r="X14" s="1477"/>
      <c r="Y14" s="3515" t="s">
        <v>2140</v>
      </c>
      <c r="Z14" s="1478" t="str">
        <f t="shared" si="7"/>
        <v>交通便捷度</v>
      </c>
      <c r="AA14" s="1475">
        <f t="shared" si="3"/>
        <v>1</v>
      </c>
      <c r="AB14" s="1475">
        <f t="shared" si="4"/>
        <v>1</v>
      </c>
      <c r="AC14" s="1475">
        <f t="shared" si="5"/>
        <v>1</v>
      </c>
    </row>
    <row r="15" spans="1:29" ht="15.5">
      <c r="A15" s="354"/>
      <c r="B15" s="593"/>
      <c r="C15" s="396"/>
      <c r="D15" s="397"/>
      <c r="E15" s="396"/>
      <c r="F15" s="398"/>
      <c r="G15" s="396"/>
      <c r="H15" s="399"/>
      <c r="I15" s="396"/>
      <c r="J15" s="397"/>
      <c r="K15" s="562"/>
      <c r="L15" s="2883"/>
      <c r="M15" s="2877"/>
      <c r="N15" s="2877"/>
      <c r="O15" s="2877"/>
      <c r="P15" s="3516"/>
      <c r="Q15" s="1474"/>
      <c r="R15" s="702"/>
      <c r="S15" s="703"/>
      <c r="T15" s="702"/>
      <c r="U15" s="703"/>
      <c r="V15" s="702"/>
      <c r="W15" s="703"/>
      <c r="X15" s="1477"/>
      <c r="Y15" s="3516"/>
      <c r="Z15" s="1478"/>
      <c r="AA15" s="1475">
        <v>1</v>
      </c>
      <c r="AB15" s="1475">
        <v>1</v>
      </c>
      <c r="AC15" s="1475">
        <v>1</v>
      </c>
    </row>
    <row r="16" spans="1:29" ht="56">
      <c r="A16" s="354"/>
      <c r="B16" s="577" t="s">
        <v>2268</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83"/>
      <c r="M16" s="2877"/>
      <c r="N16" s="2877"/>
      <c r="O16" s="2877"/>
      <c r="P16" s="3516"/>
      <c r="Q16" s="1474" t="str">
        <f>B16</f>
        <v>公共配套设施</v>
      </c>
      <c r="R16" s="702" t="s">
        <v>17</v>
      </c>
      <c r="S16" s="703">
        <f>F16</f>
        <v>100</v>
      </c>
      <c r="T16" s="702" t="s">
        <v>17</v>
      </c>
      <c r="U16" s="703">
        <f>H16</f>
        <v>100</v>
      </c>
      <c r="V16" s="702" t="s">
        <v>17</v>
      </c>
      <c r="W16" s="703">
        <f>J16</f>
        <v>100</v>
      </c>
      <c r="X16" s="1477"/>
      <c r="Y16" s="3516"/>
      <c r="Z16" s="1478" t="str">
        <f>Q16</f>
        <v>公共配套设施</v>
      </c>
      <c r="AA16" s="1475">
        <f t="shared" si="3"/>
        <v>1</v>
      </c>
      <c r="AB16" s="1475">
        <f t="shared" si="4"/>
        <v>1</v>
      </c>
      <c r="AC16" s="1475">
        <f t="shared" si="5"/>
        <v>1</v>
      </c>
    </row>
    <row r="17" spans="1:29" ht="15.5">
      <c r="A17" s="354"/>
      <c r="B17" s="578"/>
      <c r="C17" s="2025"/>
      <c r="D17" s="397"/>
      <c r="E17" s="396"/>
      <c r="F17" s="398"/>
      <c r="G17" s="396"/>
      <c r="H17" s="397"/>
      <c r="I17" s="396"/>
      <c r="J17" s="397"/>
      <c r="K17" s="562"/>
      <c r="L17" s="2883"/>
      <c r="M17" s="2877"/>
      <c r="N17" s="2877"/>
      <c r="O17" s="2877"/>
      <c r="P17" s="3516"/>
      <c r="Q17" s="1474"/>
      <c r="R17" s="702"/>
      <c r="S17" s="703"/>
      <c r="T17" s="702"/>
      <c r="U17" s="703"/>
      <c r="V17" s="702"/>
      <c r="W17" s="703"/>
      <c r="X17" s="1477"/>
      <c r="Y17" s="3516"/>
      <c r="Z17" s="1478"/>
      <c r="AA17" s="1475">
        <v>1</v>
      </c>
      <c r="AB17" s="1475">
        <v>1</v>
      </c>
      <c r="AC17" s="1475">
        <v>1</v>
      </c>
    </row>
    <row r="18" spans="1:29" ht="15.5">
      <c r="A18" s="354"/>
      <c r="B18" s="579" t="s">
        <v>2269</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83"/>
      <c r="M18" s="2877"/>
      <c r="N18" s="2877"/>
      <c r="O18" s="2877"/>
      <c r="P18" s="3516"/>
      <c r="Q18" s="1474" t="str">
        <f>B18</f>
        <v>基础设施水平</v>
      </c>
      <c r="R18" s="702" t="s">
        <v>17</v>
      </c>
      <c r="S18" s="703">
        <f>F18</f>
        <v>100</v>
      </c>
      <c r="T18" s="702" t="s">
        <v>17</v>
      </c>
      <c r="U18" s="703">
        <f>H18</f>
        <v>100</v>
      </c>
      <c r="V18" s="702" t="s">
        <v>17</v>
      </c>
      <c r="W18" s="703">
        <f>J18</f>
        <v>100</v>
      </c>
      <c r="X18" s="1477"/>
      <c r="Y18" s="3516"/>
      <c r="Z18" s="1478" t="str">
        <f>Q18</f>
        <v>基础设施水平</v>
      </c>
      <c r="AA18" s="1475">
        <f t="shared" ref="AA18" si="8">D18/F18</f>
        <v>1</v>
      </c>
      <c r="AB18" s="1475">
        <f t="shared" ref="AB18" si="9">D18/H18</f>
        <v>1</v>
      </c>
      <c r="AC18" s="1475">
        <f t="shared" ref="AC18" si="10">D18/J18</f>
        <v>1</v>
      </c>
    </row>
    <row r="19" spans="1:29" ht="15.5">
      <c r="A19" s="354"/>
      <c r="B19" s="579"/>
      <c r="C19" s="2025"/>
      <c r="D19" s="399"/>
      <c r="E19" s="2025"/>
      <c r="F19" s="402"/>
      <c r="G19" s="2025"/>
      <c r="H19" s="397"/>
      <c r="I19" s="396"/>
      <c r="J19" s="397"/>
      <c r="K19" s="1233"/>
      <c r="L19" s="2883"/>
      <c r="M19" s="2877"/>
      <c r="N19" s="2877"/>
      <c r="O19" s="2877"/>
      <c r="P19" s="3516"/>
      <c r="Q19" s="1474"/>
      <c r="R19" s="702"/>
      <c r="S19" s="703"/>
      <c r="T19" s="702"/>
      <c r="U19" s="703"/>
      <c r="V19" s="702"/>
      <c r="W19" s="703"/>
      <c r="X19" s="1477"/>
      <c r="Y19" s="3516"/>
      <c r="Z19" s="1478"/>
      <c r="AA19" s="1475">
        <v>1</v>
      </c>
      <c r="AB19" s="1475">
        <v>1</v>
      </c>
      <c r="AC19" s="1475">
        <v>1</v>
      </c>
    </row>
    <row r="20" spans="1:29" ht="98">
      <c r="A20" s="354"/>
      <c r="B20" s="577" t="s">
        <v>2290</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83"/>
      <c r="M20" s="2877"/>
      <c r="N20" s="2877"/>
      <c r="O20" s="2877"/>
      <c r="P20" s="3516"/>
      <c r="Q20" s="1474" t="str">
        <f>B20</f>
        <v>自然及人文环境</v>
      </c>
      <c r="R20" s="702" t="s">
        <v>17</v>
      </c>
      <c r="S20" s="703">
        <f>F20</f>
        <v>100</v>
      </c>
      <c r="T20" s="702" t="s">
        <v>17</v>
      </c>
      <c r="U20" s="703">
        <f>H20</f>
        <v>100</v>
      </c>
      <c r="V20" s="702" t="s">
        <v>17</v>
      </c>
      <c r="W20" s="703">
        <f>J20</f>
        <v>100</v>
      </c>
      <c r="X20" s="1477"/>
      <c r="Y20" s="3516"/>
      <c r="Z20" s="1478" t="str">
        <f>Q20</f>
        <v>自然及人文环境</v>
      </c>
      <c r="AA20" s="1475">
        <f t="shared" si="3"/>
        <v>1</v>
      </c>
      <c r="AB20" s="1475">
        <f t="shared" si="4"/>
        <v>1</v>
      </c>
      <c r="AC20" s="1475">
        <f t="shared" si="5"/>
        <v>1</v>
      </c>
    </row>
    <row r="21" spans="1:29" ht="15.5">
      <c r="A21" s="354"/>
      <c r="B21" s="578"/>
      <c r="C21" s="396"/>
      <c r="D21" s="397"/>
      <c r="E21" s="396"/>
      <c r="F21" s="398"/>
      <c r="G21" s="396"/>
      <c r="H21" s="397"/>
      <c r="I21" s="396"/>
      <c r="J21" s="397"/>
      <c r="K21" s="562"/>
      <c r="L21" s="2883"/>
      <c r="M21" s="2877"/>
      <c r="N21" s="2877"/>
      <c r="O21" s="2877"/>
      <c r="P21" s="3516"/>
      <c r="Q21" s="1474"/>
      <c r="R21" s="702"/>
      <c r="S21" s="703"/>
      <c r="T21" s="702"/>
      <c r="U21" s="703"/>
      <c r="V21" s="702"/>
      <c r="W21" s="703"/>
      <c r="X21" s="1477"/>
      <c r="Y21" s="3516"/>
      <c r="Z21" s="1478"/>
      <c r="AA21" s="1475">
        <v>1</v>
      </c>
      <c r="AB21" s="1475">
        <v>1</v>
      </c>
      <c r="AC21" s="1475">
        <v>1</v>
      </c>
    </row>
    <row r="22" spans="1:29" ht="15.5">
      <c r="A22" s="354"/>
      <c r="B22" s="577" t="s">
        <v>2291</v>
      </c>
      <c r="C22" s="563"/>
      <c r="D22" s="399">
        <v>100</v>
      </c>
      <c r="E22" s="563"/>
      <c r="F22" s="410">
        <f>SUMIF(71:71,E22,72:72)-SUMIF(71:71,C22,72:72)+100</f>
        <v>100</v>
      </c>
      <c r="G22" s="563"/>
      <c r="H22" s="384">
        <f>SUMIF(71:71,G22,72:72)-SUMIF(71:71,C22,72:72)+100</f>
        <v>100</v>
      </c>
      <c r="I22" s="563"/>
      <c r="J22" s="384">
        <f>SUMIF(71:71,I22,72:72)-SUMIF(71:71,C22,72:72)+100</f>
        <v>100</v>
      </c>
      <c r="K22" s="559"/>
      <c r="L22" s="2883"/>
      <c r="M22" s="2877"/>
      <c r="N22" s="2877"/>
      <c r="O22" s="2877"/>
      <c r="P22" s="3516"/>
      <c r="Q22" s="1474" t="str">
        <f>B22</f>
        <v>楼层</v>
      </c>
      <c r="R22" s="702" t="s">
        <v>17</v>
      </c>
      <c r="S22" s="703">
        <f>F22</f>
        <v>100</v>
      </c>
      <c r="T22" s="702" t="s">
        <v>17</v>
      </c>
      <c r="U22" s="703">
        <f>H22</f>
        <v>100</v>
      </c>
      <c r="V22" s="702" t="s">
        <v>17</v>
      </c>
      <c r="W22" s="703">
        <f>J22</f>
        <v>100</v>
      </c>
      <c r="X22" s="1477"/>
      <c r="Y22" s="3516"/>
      <c r="Z22" s="1478" t="str">
        <f>Q22</f>
        <v>楼层</v>
      </c>
      <c r="AA22" s="1475">
        <f t="shared" si="3"/>
        <v>1</v>
      </c>
      <c r="AB22" s="1475">
        <f t="shared" si="4"/>
        <v>1</v>
      </c>
      <c r="AC22" s="1475">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83"/>
      <c r="M23" s="2877"/>
      <c r="N23" s="2877"/>
      <c r="O23" s="2877"/>
      <c r="P23" s="3516"/>
      <c r="Q23" s="1474">
        <f>B23</f>
        <v>111</v>
      </c>
      <c r="R23" s="702" t="s">
        <v>17</v>
      </c>
      <c r="S23" s="703">
        <f>F23</f>
        <v>100</v>
      </c>
      <c r="T23" s="702" t="s">
        <v>17</v>
      </c>
      <c r="U23" s="703">
        <f>H23</f>
        <v>100</v>
      </c>
      <c r="V23" s="702" t="s">
        <v>17</v>
      </c>
      <c r="W23" s="703">
        <f>J23</f>
        <v>100</v>
      </c>
      <c r="X23" s="1477"/>
      <c r="Y23" s="3516"/>
      <c r="Z23" s="1478">
        <f>Q23</f>
        <v>111</v>
      </c>
      <c r="AA23" s="1475">
        <f t="shared" si="3"/>
        <v>1</v>
      </c>
      <c r="AB23" s="1475">
        <f t="shared" si="4"/>
        <v>1</v>
      </c>
      <c r="AC23" s="1475">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83"/>
      <c r="M24" s="2877"/>
      <c r="N24" s="2877"/>
      <c r="O24" s="2877"/>
      <c r="P24" s="3516"/>
      <c r="Q24" s="1474">
        <f t="shared" ref="Q24:Q36" si="11">B24</f>
        <v>111</v>
      </c>
      <c r="R24" s="702" t="s">
        <v>17</v>
      </c>
      <c r="S24" s="703">
        <f>F24</f>
        <v>100</v>
      </c>
      <c r="T24" s="702" t="s">
        <v>17</v>
      </c>
      <c r="U24" s="703">
        <f>H24</f>
        <v>100</v>
      </c>
      <c r="V24" s="702" t="s">
        <v>17</v>
      </c>
      <c r="W24" s="703">
        <f>J24</f>
        <v>100</v>
      </c>
      <c r="X24" s="1477"/>
      <c r="Y24" s="3516"/>
      <c r="Z24" s="1478">
        <f>Q24</f>
        <v>111</v>
      </c>
      <c r="AA24" s="1475">
        <f t="shared" si="3"/>
        <v>1</v>
      </c>
      <c r="AB24" s="1475">
        <f t="shared" si="4"/>
        <v>1</v>
      </c>
      <c r="AC24" s="1475">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78"/>
      <c r="M25" s="2879"/>
      <c r="N25" s="2879"/>
      <c r="O25" s="2879"/>
      <c r="P25" s="3516"/>
      <c r="Q25" s="1465">
        <f t="shared" si="11"/>
        <v>111</v>
      </c>
      <c r="R25" s="698" t="s">
        <v>17</v>
      </c>
      <c r="S25" s="699">
        <f>F25</f>
        <v>100</v>
      </c>
      <c r="T25" s="698" t="s">
        <v>17</v>
      </c>
      <c r="U25" s="699">
        <f>H25</f>
        <v>100</v>
      </c>
      <c r="V25" s="698" t="s">
        <v>17</v>
      </c>
      <c r="W25" s="699">
        <f>J25</f>
        <v>100</v>
      </c>
      <c r="X25" s="700"/>
      <c r="Y25" s="3516"/>
      <c r="Z25" s="55">
        <f>Q25</f>
        <v>111</v>
      </c>
      <c r="AA25" s="1475">
        <f>D25/F25</f>
        <v>1</v>
      </c>
      <c r="AB25" s="1475">
        <f>D25/H25</f>
        <v>1</v>
      </c>
      <c r="AC25" s="1475">
        <f>D25/J25</f>
        <v>1</v>
      </c>
    </row>
    <row r="26" spans="1:29" ht="29">
      <c r="A26" s="598" t="s">
        <v>2143</v>
      </c>
      <c r="B26" s="66" t="s">
        <v>2292</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83"/>
      <c r="M26" s="2877"/>
      <c r="N26" s="2877"/>
      <c r="O26" s="2877"/>
      <c r="P26" s="3517" t="s">
        <v>2145</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518" t="s">
        <v>2145</v>
      </c>
      <c r="Z26" s="1478" t="str">
        <f t="shared" ref="Z26:Z36" si="15">Q26</f>
        <v>配套类型</v>
      </c>
      <c r="AA26" s="1475">
        <f t="shared" si="3"/>
        <v>1</v>
      </c>
      <c r="AB26" s="1475">
        <f t="shared" si="4"/>
        <v>1</v>
      </c>
      <c r="AC26" s="1475">
        <f t="shared" si="5"/>
        <v>1</v>
      </c>
    </row>
    <row r="27" spans="1:29" s="420" customFormat="1" ht="15.5">
      <c r="A27" s="599"/>
      <c r="B27" s="600" t="s">
        <v>2293</v>
      </c>
      <c r="C27" s="601"/>
      <c r="D27" s="122">
        <v>100</v>
      </c>
      <c r="E27" s="601"/>
      <c r="F27" s="410">
        <f>SUMIF(81:81,E27,82:82)-SUMIF(81:81,C27,82:82)+100</f>
        <v>100</v>
      </c>
      <c r="G27" s="601"/>
      <c r="H27" s="384">
        <f>SUMIF(81:81,G27,82:82)-SUMIF(81:81,C27,82:82)+100</f>
        <v>100</v>
      </c>
      <c r="I27" s="601"/>
      <c r="J27" s="384">
        <f>SUMIF(81:81,I27,82:82)-SUMIF(81:81,C27,82:82)+100</f>
        <v>100</v>
      </c>
      <c r="K27" s="560"/>
      <c r="L27" s="2882"/>
      <c r="M27" s="2884"/>
      <c r="N27" s="2884"/>
      <c r="O27" s="2884"/>
      <c r="P27" s="3518"/>
      <c r="Q27" s="704" t="str">
        <f t="shared" si="11"/>
        <v>项目停车位配比</v>
      </c>
      <c r="R27" s="705" t="s">
        <v>17</v>
      </c>
      <c r="S27" s="706">
        <f t="shared" si="12"/>
        <v>100</v>
      </c>
      <c r="T27" s="705" t="s">
        <v>17</v>
      </c>
      <c r="U27" s="706">
        <f t="shared" si="13"/>
        <v>100</v>
      </c>
      <c r="V27" s="705" t="s">
        <v>17</v>
      </c>
      <c r="W27" s="706">
        <f t="shared" si="14"/>
        <v>100</v>
      </c>
      <c r="X27" s="707"/>
      <c r="Y27" s="3518"/>
      <c r="Z27" s="708" t="str">
        <f t="shared" si="15"/>
        <v>项目停车位配比</v>
      </c>
      <c r="AA27" s="1475">
        <f t="shared" si="3"/>
        <v>1</v>
      </c>
      <c r="AB27" s="1475">
        <f t="shared" si="4"/>
        <v>1</v>
      </c>
      <c r="AC27" s="1475">
        <f t="shared" si="5"/>
        <v>1</v>
      </c>
    </row>
    <row r="28" spans="1:29" ht="15.5">
      <c r="A28" s="602"/>
      <c r="B28" s="600" t="s">
        <v>2294</v>
      </c>
      <c r="C28" s="409"/>
      <c r="D28" s="384">
        <v>100</v>
      </c>
      <c r="E28" s="409"/>
      <c r="F28" s="410">
        <f>SUMIF(83:83,E28,84:84)-SUMIF(83:83,C28,84:84)+100</f>
        <v>100</v>
      </c>
      <c r="G28" s="409"/>
      <c r="H28" s="384">
        <f>SUMIF(83:83,G28,84:84)-SUMIF(83:83,C28,84:84)+100</f>
        <v>100</v>
      </c>
      <c r="I28" s="409"/>
      <c r="J28" s="384">
        <f>SUMIF(83:83,I28,84:84)-SUMIF(83:83,C28,84:84)+100</f>
        <v>100</v>
      </c>
      <c r="K28" s="559"/>
      <c r="L28" s="2883"/>
      <c r="M28" s="2877"/>
      <c r="N28" s="2877"/>
      <c r="O28" s="2877"/>
      <c r="P28" s="3518"/>
      <c r="Q28" s="1474" t="str">
        <f t="shared" si="11"/>
        <v>公共部分装修</v>
      </c>
      <c r="R28" s="702" t="s">
        <v>17</v>
      </c>
      <c r="S28" s="703">
        <f t="shared" si="12"/>
        <v>100</v>
      </c>
      <c r="T28" s="702" t="s">
        <v>17</v>
      </c>
      <c r="U28" s="703">
        <f t="shared" si="13"/>
        <v>100</v>
      </c>
      <c r="V28" s="702" t="s">
        <v>17</v>
      </c>
      <c r="W28" s="703">
        <f t="shared" si="14"/>
        <v>100</v>
      </c>
      <c r="X28" s="1477"/>
      <c r="Y28" s="3518"/>
      <c r="Z28" s="1478" t="str">
        <f t="shared" si="15"/>
        <v>公共部分装修</v>
      </c>
      <c r="AA28" s="1475">
        <f t="shared" si="3"/>
        <v>1</v>
      </c>
      <c r="AB28" s="1475">
        <f t="shared" si="4"/>
        <v>1</v>
      </c>
      <c r="AC28" s="1475">
        <f t="shared" si="5"/>
        <v>1</v>
      </c>
    </row>
    <row r="29" spans="1:29" ht="15.5">
      <c r="A29" s="602"/>
      <c r="B29" s="600" t="s">
        <v>2295</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83"/>
      <c r="M29" s="2877"/>
      <c r="N29" s="2877"/>
      <c r="O29" s="2877"/>
      <c r="P29" s="3518"/>
      <c r="Q29" s="1474" t="str">
        <f t="shared" si="11"/>
        <v>成新率</v>
      </c>
      <c r="R29" s="702" t="s">
        <v>17</v>
      </c>
      <c r="S29" s="703" t="e">
        <f t="shared" si="12"/>
        <v>#N/A</v>
      </c>
      <c r="T29" s="702" t="s">
        <v>17</v>
      </c>
      <c r="U29" s="703" t="e">
        <f t="shared" si="13"/>
        <v>#N/A</v>
      </c>
      <c r="V29" s="702" t="s">
        <v>17</v>
      </c>
      <c r="W29" s="703" t="e">
        <f t="shared" si="14"/>
        <v>#N/A</v>
      </c>
      <c r="X29" s="1477"/>
      <c r="Y29" s="3518"/>
      <c r="Z29" s="1478" t="str">
        <f t="shared" si="15"/>
        <v>成新率</v>
      </c>
      <c r="AA29" s="1475" t="e">
        <f t="shared" si="3"/>
        <v>#N/A</v>
      </c>
      <c r="AB29" s="1475" t="e">
        <f t="shared" si="4"/>
        <v>#N/A</v>
      </c>
      <c r="AC29" s="1475" t="e">
        <f t="shared" si="5"/>
        <v>#N/A</v>
      </c>
    </row>
    <row r="30" spans="1:29" ht="15.5">
      <c r="A30" s="602"/>
      <c r="B30" s="600" t="s">
        <v>2296</v>
      </c>
      <c r="C30" s="603"/>
      <c r="D30" s="384">
        <v>100</v>
      </c>
      <c r="E30" s="603"/>
      <c r="F30" s="410">
        <f>SUMIF(88:88,E30,89:89)-SUMIF(88:88,C30,89:89)+100</f>
        <v>100</v>
      </c>
      <c r="G30" s="603"/>
      <c r="H30" s="384">
        <f>SUMIF(88:88,E30,89:89)-SUMIF(88:88,C30,89:89)+100</f>
        <v>100</v>
      </c>
      <c r="I30" s="603"/>
      <c r="J30" s="384">
        <f>SUMIF(88:88,E30,89:89)-SUMIF(88:88,C30,89:89)+100</f>
        <v>100</v>
      </c>
      <c r="K30" s="559"/>
      <c r="L30" s="2883"/>
      <c r="M30" s="2877"/>
      <c r="N30" s="2877"/>
      <c r="O30" s="2877"/>
      <c r="P30" s="3518"/>
      <c r="Q30" s="1474" t="str">
        <f t="shared" si="11"/>
        <v>物业等级</v>
      </c>
      <c r="R30" s="702" t="s">
        <v>17</v>
      </c>
      <c r="S30" s="703">
        <f t="shared" si="12"/>
        <v>100</v>
      </c>
      <c r="T30" s="702" t="s">
        <v>17</v>
      </c>
      <c r="U30" s="703">
        <f t="shared" si="13"/>
        <v>100</v>
      </c>
      <c r="V30" s="702" t="s">
        <v>17</v>
      </c>
      <c r="W30" s="703">
        <f t="shared" si="14"/>
        <v>100</v>
      </c>
      <c r="X30" s="1477"/>
      <c r="Y30" s="3518"/>
      <c r="Z30" s="1478" t="str">
        <f t="shared" si="15"/>
        <v>物业等级</v>
      </c>
      <c r="AA30" s="1475">
        <f t="shared" si="3"/>
        <v>1</v>
      </c>
      <c r="AB30" s="1475">
        <f t="shared" si="4"/>
        <v>1</v>
      </c>
      <c r="AC30" s="1475">
        <f t="shared" si="5"/>
        <v>1</v>
      </c>
    </row>
    <row r="31" spans="1:29" s="110" customFormat="1" ht="15.5">
      <c r="A31" s="604"/>
      <c r="B31" s="600" t="s">
        <v>2297</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78"/>
      <c r="M31" s="2879"/>
      <c r="N31" s="2879"/>
      <c r="O31" s="2879"/>
      <c r="P31" s="3518"/>
      <c r="Q31" s="1465" t="str">
        <f t="shared" si="11"/>
        <v>停车位面积</v>
      </c>
      <c r="R31" s="698" t="s">
        <v>17</v>
      </c>
      <c r="S31" s="699" t="e">
        <f t="shared" si="12"/>
        <v>#N/A</v>
      </c>
      <c r="T31" s="698" t="s">
        <v>17</v>
      </c>
      <c r="U31" s="699" t="e">
        <f t="shared" si="13"/>
        <v>#N/A</v>
      </c>
      <c r="V31" s="698" t="s">
        <v>17</v>
      </c>
      <c r="W31" s="699" t="e">
        <f t="shared" si="14"/>
        <v>#N/A</v>
      </c>
      <c r="X31" s="700"/>
      <c r="Y31" s="3518"/>
      <c r="Z31" s="55" t="str">
        <f t="shared" si="15"/>
        <v>停车位面积</v>
      </c>
      <c r="AA31" s="701" t="e">
        <f t="shared" si="3"/>
        <v>#N/A</v>
      </c>
      <c r="AB31" s="701" t="e">
        <f t="shared" si="4"/>
        <v>#N/A</v>
      </c>
      <c r="AC31" s="701" t="e">
        <f t="shared" si="5"/>
        <v>#N/A</v>
      </c>
    </row>
    <row r="32" spans="1:29" ht="15.5">
      <c r="A32" s="602"/>
      <c r="B32" s="600" t="s">
        <v>2298</v>
      </c>
      <c r="C32" s="409"/>
      <c r="D32" s="384">
        <v>100</v>
      </c>
      <c r="E32" s="409"/>
      <c r="F32" s="410">
        <f>SUMIF(93:93,E32,94:94)-SUMIF(93:93,C32,94:94)+100</f>
        <v>100</v>
      </c>
      <c r="G32" s="409"/>
      <c r="H32" s="384">
        <f>SUMIF(93:93,G32,94:94)-SUMIF(93:93,C32,94:94)+100</f>
        <v>100</v>
      </c>
      <c r="I32" s="409"/>
      <c r="J32" s="384">
        <f>SUMIF(93:93,I32,94:94)-SUMIF(93:93,C32,94:94)+100</f>
        <v>100</v>
      </c>
      <c r="K32" s="559"/>
      <c r="L32" s="2883"/>
      <c r="M32" s="2877"/>
      <c r="N32" s="2877"/>
      <c r="O32" s="2877"/>
      <c r="P32" s="3518" t="s">
        <v>2145</v>
      </c>
      <c r="Q32" s="1474" t="str">
        <f t="shared" si="11"/>
        <v>车位类型</v>
      </c>
      <c r="R32" s="702" t="s">
        <v>17</v>
      </c>
      <c r="S32" s="703">
        <f t="shared" si="12"/>
        <v>100</v>
      </c>
      <c r="T32" s="702" t="s">
        <v>17</v>
      </c>
      <c r="U32" s="703">
        <f t="shared" si="13"/>
        <v>100</v>
      </c>
      <c r="V32" s="702" t="s">
        <v>17</v>
      </c>
      <c r="W32" s="703">
        <f t="shared" si="14"/>
        <v>100</v>
      </c>
      <c r="X32" s="1477"/>
      <c r="Y32" s="3518" t="s">
        <v>2145</v>
      </c>
      <c r="Z32" s="1478" t="str">
        <f t="shared" si="15"/>
        <v>车位类型</v>
      </c>
      <c r="AA32" s="1475">
        <f t="shared" si="3"/>
        <v>1</v>
      </c>
      <c r="AB32" s="1475">
        <f t="shared" si="4"/>
        <v>1</v>
      </c>
      <c r="AC32" s="1475">
        <f t="shared" si="5"/>
        <v>1</v>
      </c>
    </row>
    <row r="33" spans="1:29" ht="15.5">
      <c r="A33" s="602"/>
      <c r="B33" s="600" t="s">
        <v>2299</v>
      </c>
      <c r="C33" s="409"/>
      <c r="D33" s="384">
        <v>100</v>
      </c>
      <c r="E33" s="409"/>
      <c r="F33" s="410">
        <f>SUMIF(95:95,E33,96:96)-SUMIF(95:95,C33,96:96)+100</f>
        <v>100</v>
      </c>
      <c r="G33" s="409"/>
      <c r="H33" s="384">
        <f>SUMIF(95:95,G33,96:96)-SUMIF(95:95,C33,96:96)+100</f>
        <v>100</v>
      </c>
      <c r="I33" s="409"/>
      <c r="J33" s="384">
        <f>SUMIF(95:95,I33,96:96)-SUMIF(95:95,C33,96:96)+100</f>
        <v>100</v>
      </c>
      <c r="K33" s="559"/>
      <c r="L33" s="2883"/>
      <c r="M33" s="2877"/>
      <c r="N33" s="2877"/>
      <c r="O33" s="2877"/>
      <c r="P33" s="3518"/>
      <c r="Q33" s="1474" t="str">
        <f t="shared" si="11"/>
        <v>是否直接入户</v>
      </c>
      <c r="R33" s="702" t="s">
        <v>17</v>
      </c>
      <c r="S33" s="703">
        <f t="shared" si="12"/>
        <v>100</v>
      </c>
      <c r="T33" s="702" t="s">
        <v>17</v>
      </c>
      <c r="U33" s="703">
        <f t="shared" si="13"/>
        <v>100</v>
      </c>
      <c r="V33" s="702" t="s">
        <v>17</v>
      </c>
      <c r="W33" s="703">
        <f t="shared" si="14"/>
        <v>100</v>
      </c>
      <c r="X33" s="1477"/>
      <c r="Y33" s="3518"/>
      <c r="Z33" s="1478" t="str">
        <f t="shared" si="15"/>
        <v>是否直接入户</v>
      </c>
      <c r="AA33" s="1475">
        <f t="shared" si="3"/>
        <v>1</v>
      </c>
      <c r="AB33" s="1475">
        <f t="shared" si="4"/>
        <v>1</v>
      </c>
      <c r="AC33" s="1475">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83"/>
      <c r="M34" s="2877"/>
      <c r="N34" s="2877"/>
      <c r="O34" s="2877"/>
      <c r="P34" s="3518"/>
      <c r="Q34" s="1474">
        <f t="shared" si="11"/>
        <v>111</v>
      </c>
      <c r="R34" s="702" t="s">
        <v>17</v>
      </c>
      <c r="S34" s="703">
        <f t="shared" si="12"/>
        <v>100</v>
      </c>
      <c r="T34" s="702" t="s">
        <v>17</v>
      </c>
      <c r="U34" s="703">
        <f t="shared" si="13"/>
        <v>100</v>
      </c>
      <c r="V34" s="702" t="s">
        <v>17</v>
      </c>
      <c r="W34" s="703">
        <f t="shared" si="14"/>
        <v>100</v>
      </c>
      <c r="X34" s="1477"/>
      <c r="Y34" s="3518"/>
      <c r="Z34" s="1478">
        <f t="shared" si="15"/>
        <v>111</v>
      </c>
      <c r="AA34" s="1475">
        <f t="shared" si="3"/>
        <v>1</v>
      </c>
      <c r="AB34" s="1475">
        <f t="shared" si="4"/>
        <v>1</v>
      </c>
      <c r="AC34" s="1475">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82"/>
      <c r="M35" s="2884"/>
      <c r="N35" s="2884"/>
      <c r="O35" s="2884"/>
      <c r="P35" s="3518"/>
      <c r="Q35" s="704">
        <f t="shared" si="11"/>
        <v>111</v>
      </c>
      <c r="R35" s="705" t="s">
        <v>17</v>
      </c>
      <c r="S35" s="706">
        <f t="shared" si="12"/>
        <v>100</v>
      </c>
      <c r="T35" s="705" t="s">
        <v>17</v>
      </c>
      <c r="U35" s="706">
        <f t="shared" si="13"/>
        <v>100</v>
      </c>
      <c r="V35" s="705" t="s">
        <v>17</v>
      </c>
      <c r="W35" s="706">
        <f t="shared" si="14"/>
        <v>100</v>
      </c>
      <c r="X35" s="707"/>
      <c r="Y35" s="3518"/>
      <c r="Z35" s="708">
        <f t="shared" si="15"/>
        <v>111</v>
      </c>
      <c r="AA35" s="1475">
        <f t="shared" si="3"/>
        <v>1</v>
      </c>
      <c r="AB35" s="1475">
        <f t="shared" si="4"/>
        <v>1</v>
      </c>
      <c r="AC35" s="1475">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83"/>
      <c r="M36" s="2877"/>
      <c r="N36" s="2877"/>
      <c r="O36" s="2877"/>
      <c r="P36" s="3518"/>
      <c r="Q36" s="1474">
        <f t="shared" si="11"/>
        <v>111</v>
      </c>
      <c r="R36" s="702" t="s">
        <v>17</v>
      </c>
      <c r="S36" s="703">
        <f t="shared" si="12"/>
        <v>100</v>
      </c>
      <c r="T36" s="702" t="s">
        <v>17</v>
      </c>
      <c r="U36" s="703">
        <f t="shared" si="13"/>
        <v>100</v>
      </c>
      <c r="V36" s="702" t="s">
        <v>17</v>
      </c>
      <c r="W36" s="703">
        <f t="shared" si="14"/>
        <v>100</v>
      </c>
      <c r="X36" s="1477"/>
      <c r="Y36" s="3518"/>
      <c r="Z36" s="1478">
        <f t="shared" si="15"/>
        <v>111</v>
      </c>
      <c r="AA36" s="1475">
        <f t="shared" si="3"/>
        <v>1</v>
      </c>
      <c r="AB36" s="1475">
        <f t="shared" si="4"/>
        <v>1</v>
      </c>
      <c r="AC36" s="1475">
        <f t="shared" si="5"/>
        <v>1</v>
      </c>
    </row>
    <row r="37" spans="1:29">
      <c r="A37" s="428" t="s">
        <v>2300</v>
      </c>
      <c r="B37" s="2097" t="s">
        <v>2301</v>
      </c>
      <c r="C37" s="1257" t="s">
        <v>1</v>
      </c>
      <c r="D37" s="1258"/>
      <c r="E37" s="1259"/>
      <c r="F37" s="1260"/>
      <c r="G37" s="1261"/>
      <c r="H37" s="1262"/>
      <c r="I37" s="1259"/>
      <c r="J37" s="1262"/>
      <c r="K37" s="566"/>
      <c r="L37" s="2885"/>
      <c r="M37" s="2886"/>
      <c r="N37" s="2877"/>
      <c r="O37" s="2886"/>
      <c r="P37" s="3500" t="str">
        <f>A37</f>
        <v>成交单价</v>
      </c>
      <c r="Q37" s="3500"/>
      <c r="R37" s="3555">
        <f>E37</f>
        <v>0</v>
      </c>
      <c r="S37" s="3555"/>
      <c r="T37" s="3555">
        <f>G37</f>
        <v>0</v>
      </c>
      <c r="U37" s="3555"/>
      <c r="V37" s="3555">
        <f>I37</f>
        <v>0</v>
      </c>
      <c r="W37" s="3555"/>
      <c r="X37" s="687"/>
      <c r="Y37" s="709"/>
      <c r="Z37" s="687"/>
      <c r="AA37" s="687"/>
      <c r="AB37" s="687"/>
      <c r="AC37" s="687"/>
    </row>
    <row r="38" spans="1:29" ht="14.5" thickBot="1">
      <c r="A38" s="435" t="s">
        <v>2302</v>
      </c>
      <c r="B38" s="436" t="str">
        <f>B37</f>
        <v>元/车位</v>
      </c>
      <c r="C38" s="1263" t="e">
        <f>R39</f>
        <v>#DIV/0!</v>
      </c>
      <c r="D38" s="2476" t="s">
        <v>2639</v>
      </c>
      <c r="E38" s="1264" t="e">
        <f>R38</f>
        <v>#DIV/0!</v>
      </c>
      <c r="F38" s="2477"/>
      <c r="G38" s="1263" t="e">
        <f>T38</f>
        <v>#DIV/0!</v>
      </c>
      <c r="H38" s="2477"/>
      <c r="I38" s="1264" t="e">
        <f>V38</f>
        <v>#DIV/0!</v>
      </c>
      <c r="J38" s="2477"/>
      <c r="K38" s="2479">
        <f>F38+H38+J38</f>
        <v>0</v>
      </c>
      <c r="L38" s="2885"/>
      <c r="M38" s="2886"/>
      <c r="N38" s="2886"/>
      <c r="O38" s="2886"/>
      <c r="P38" s="3500" t="str">
        <f>A38</f>
        <v>比较价值（元/平方米）</v>
      </c>
      <c r="Q38" s="3500"/>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687"/>
      <c r="Y38" s="687"/>
      <c r="Z38" s="687"/>
      <c r="AA38" s="687"/>
      <c r="AB38" s="687"/>
      <c r="AC38" s="687"/>
    </row>
    <row r="39" spans="1:29" ht="14.5" thickBot="1">
      <c r="A39" s="439" t="s">
        <v>2303</v>
      </c>
      <c r="B39" s="440"/>
      <c r="C39" s="1266" t="e">
        <f>R39</f>
        <v>#DIV/0!</v>
      </c>
      <c r="D39" s="1266"/>
      <c r="E39" s="1266"/>
      <c r="F39" s="1266"/>
      <c r="G39" s="1266"/>
      <c r="H39" s="1266"/>
      <c r="I39" s="1266"/>
      <c r="J39" s="1266"/>
      <c r="K39" s="567"/>
      <c r="L39" s="2885"/>
      <c r="M39" s="2886"/>
      <c r="N39" s="2886"/>
      <c r="O39" s="2886"/>
      <c r="P39" s="3520" t="str">
        <f>A39</f>
        <v>估价对象XX用房的比较价值（楼面单价，元/平方米）</v>
      </c>
      <c r="Q39" s="3521"/>
      <c r="R39" s="3577" t="e">
        <f>IF(F1="售价",ROUND(IF(D38="简单平均",AVERAGE(R38:W38),R38*F38+T38*H38+V38*J38),0),ROUND(IF(D38="简单平均",AVERAGE(R38:V38),R38*F38+T38*H38+V38*J38),1))</f>
        <v>#DIV/0!</v>
      </c>
      <c r="S39" s="3577"/>
      <c r="T39" s="3577"/>
      <c r="U39" s="3577"/>
      <c r="V39" s="3577"/>
      <c r="W39" s="3577"/>
      <c r="X39" s="687"/>
      <c r="Y39" s="687"/>
      <c r="Z39" s="687"/>
      <c r="AA39" s="687"/>
      <c r="AB39" s="687"/>
      <c r="AC39" s="687"/>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4" t="s">
        <v>2304</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4" t="s">
        <v>2305</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91"/>
      <c r="L43" s="2887"/>
      <c r="M43" s="2886"/>
      <c r="N43" s="2886"/>
      <c r="O43" s="2886"/>
      <c r="P43" s="2917"/>
      <c r="Q43" s="2886"/>
      <c r="R43" s="2886"/>
      <c r="S43" s="2886"/>
      <c r="T43" s="2886"/>
      <c r="U43" s="2886"/>
      <c r="V43" s="2886"/>
      <c r="W43" s="2886"/>
      <c r="X43" s="2886"/>
      <c r="Y43" s="2886"/>
      <c r="Z43" s="2886"/>
      <c r="AA43" s="2886"/>
      <c r="AB43" s="2886"/>
      <c r="AC43" s="2886"/>
    </row>
    <row r="44" spans="1:29" s="449" customFormat="1" ht="13.5" customHeight="1">
      <c r="A44" s="2889"/>
      <c r="B44" s="2889"/>
      <c r="C44" s="444" t="s">
        <v>2306</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94"/>
      <c r="L44" s="2888"/>
      <c r="M44" s="2889"/>
      <c r="N44" s="2889"/>
      <c r="O44" s="2889"/>
      <c r="P44" s="2918"/>
      <c r="Q44" s="2889"/>
      <c r="R44" s="2889"/>
      <c r="S44" s="2889"/>
      <c r="T44" s="2889"/>
      <c r="U44" s="2889"/>
      <c r="V44" s="2889"/>
      <c r="W44" s="2889"/>
      <c r="X44" s="2889"/>
      <c r="Y44" s="2889"/>
      <c r="Z44" s="2889"/>
      <c r="AA44" s="2889"/>
      <c r="AB44" s="2889"/>
      <c r="AC44" s="2889"/>
    </row>
    <row r="45" spans="1:29" s="449"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1.5" thickBot="1">
      <c r="A47" s="1269" t="s">
        <v>2307</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5" customFormat="1">
      <c r="A48" s="452" t="s">
        <v>2308</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20"/>
      <c r="Q48" s="2902"/>
      <c r="R48" s="2902"/>
      <c r="S48" s="2902"/>
      <c r="T48" s="2902"/>
      <c r="U48" s="2902"/>
      <c r="V48" s="2902"/>
      <c r="W48" s="2902"/>
      <c r="X48" s="2902"/>
      <c r="Y48" s="2902"/>
      <c r="Z48" s="2902"/>
      <c r="AA48" s="2902"/>
      <c r="AB48" s="2902"/>
      <c r="AC48" s="2902"/>
    </row>
    <row r="49" spans="1:29" s="110" customFormat="1">
      <c r="A49" s="456"/>
      <c r="B49" s="457"/>
      <c r="C49" s="1280">
        <v>100</v>
      </c>
      <c r="D49" s="459"/>
      <c r="E49" s="459"/>
      <c r="F49" s="459"/>
      <c r="G49" s="459"/>
      <c r="H49" s="459"/>
      <c r="I49" s="459"/>
      <c r="J49" s="459"/>
      <c r="K49" s="459"/>
      <c r="L49" s="459"/>
      <c r="M49" s="460"/>
      <c r="N49" s="459"/>
      <c r="O49" s="460"/>
      <c r="P49" s="2921"/>
      <c r="Q49" s="2821"/>
      <c r="R49" s="2821"/>
      <c r="S49" s="2821"/>
      <c r="T49" s="2821"/>
      <c r="U49" s="2821"/>
      <c r="V49" s="2821"/>
      <c r="W49" s="2821"/>
      <c r="X49" s="2821"/>
      <c r="Y49" s="2821"/>
      <c r="Z49" s="2821"/>
      <c r="AA49" s="2821"/>
      <c r="AB49" s="2821"/>
      <c r="AC49" s="2821"/>
    </row>
    <row r="50" spans="1:29" s="110" customFormat="1" ht="14.5" thickBot="1">
      <c r="A50" s="462" t="s">
        <v>2165</v>
      </c>
      <c r="B50" s="463"/>
      <c r="C50" s="464"/>
      <c r="D50" s="465"/>
      <c r="E50" s="465"/>
      <c r="F50" s="465"/>
      <c r="G50" s="465"/>
      <c r="H50" s="465"/>
      <c r="I50" s="465"/>
      <c r="J50" s="465"/>
      <c r="K50" s="465"/>
      <c r="L50" s="465"/>
      <c r="M50" s="466"/>
      <c r="N50" s="465"/>
      <c r="O50" s="466"/>
      <c r="P50" s="2921"/>
      <c r="Q50" s="2900"/>
      <c r="R50" s="2821"/>
      <c r="S50" s="2821"/>
      <c r="T50" s="2821"/>
      <c r="U50" s="2821"/>
      <c r="V50" s="2821"/>
      <c r="W50" s="2821"/>
      <c r="X50" s="2821"/>
      <c r="Y50" s="2821"/>
      <c r="Z50" s="2821"/>
      <c r="AA50" s="2821"/>
      <c r="AB50" s="2821"/>
      <c r="AC50" s="2821"/>
    </row>
    <row r="51" spans="1:29" s="110" customFormat="1">
      <c r="A51" s="468" t="s">
        <v>2130</v>
      </c>
      <c r="B51" s="457"/>
      <c r="C51" s="469" t="s">
        <v>2232</v>
      </c>
      <c r="D51" s="470"/>
      <c r="E51" s="470"/>
      <c r="F51" s="470"/>
      <c r="G51" s="470"/>
      <c r="H51" s="470"/>
      <c r="I51" s="470"/>
      <c r="J51" s="470"/>
      <c r="K51" s="470"/>
      <c r="L51" s="471"/>
      <c r="M51" s="472"/>
      <c r="N51" s="2913"/>
      <c r="O51" s="2913"/>
      <c r="P51" s="2922"/>
      <c r="Q51" s="2900"/>
      <c r="R51" s="2821"/>
      <c r="S51" s="2821"/>
      <c r="T51" s="2821"/>
      <c r="U51" s="2821"/>
      <c r="V51" s="2821"/>
      <c r="W51" s="2821"/>
      <c r="X51" s="2821"/>
      <c r="Y51" s="2821"/>
      <c r="Z51" s="2821"/>
      <c r="AA51" s="2821"/>
      <c r="AB51" s="2821"/>
      <c r="AC51" s="2821"/>
    </row>
    <row r="52" spans="1:29" s="110" customFormat="1" ht="14.5" thickBot="1">
      <c r="A52" s="468"/>
      <c r="B52" s="457"/>
      <c r="C52" s="585">
        <v>100</v>
      </c>
      <c r="D52" s="459"/>
      <c r="E52" s="459"/>
      <c r="F52" s="459"/>
      <c r="G52" s="459"/>
      <c r="H52" s="459"/>
      <c r="I52" s="459"/>
      <c r="J52" s="459"/>
      <c r="K52" s="459"/>
      <c r="L52" s="459"/>
      <c r="M52" s="461"/>
      <c r="N52" s="2913"/>
      <c r="O52" s="2913"/>
      <c r="P52" s="2921"/>
      <c r="Q52" s="2900"/>
      <c r="R52" s="2821"/>
      <c r="S52" s="2821"/>
      <c r="T52" s="2821"/>
      <c r="U52" s="2821"/>
      <c r="V52" s="2821"/>
      <c r="W52" s="2821"/>
      <c r="X52" s="2821"/>
      <c r="Y52" s="2821"/>
      <c r="Z52" s="2821"/>
      <c r="AA52" s="2821"/>
      <c r="AB52" s="2821"/>
      <c r="AC52" s="2821"/>
    </row>
    <row r="53" spans="1:29">
      <c r="A53" s="474" t="s">
        <v>2168</v>
      </c>
      <c r="B53" s="475" t="s">
        <v>2134</v>
      </c>
      <c r="C53" s="476">
        <f>C9</f>
        <v>0</v>
      </c>
      <c r="D53" s="477"/>
      <c r="E53" s="477"/>
      <c r="F53" s="477"/>
      <c r="G53" s="477"/>
      <c r="H53" s="477"/>
      <c r="I53" s="477"/>
      <c r="J53" s="477"/>
      <c r="K53" s="478"/>
      <c r="L53" s="479"/>
      <c r="M53" s="480"/>
      <c r="N53" s="2914"/>
      <c r="O53" s="2914"/>
      <c r="P53" s="2923"/>
      <c r="Q53" s="2900"/>
      <c r="R53" s="2886"/>
      <c r="S53" s="2886"/>
      <c r="T53" s="2886"/>
      <c r="U53" s="2886"/>
      <c r="V53" s="2886"/>
      <c r="W53" s="2886"/>
      <c r="X53" s="2886"/>
      <c r="Y53" s="2886"/>
      <c r="Z53" s="2886"/>
      <c r="AA53" s="2886"/>
      <c r="AB53" s="2886"/>
      <c r="AC53" s="2886"/>
    </row>
    <row r="54" spans="1:29" ht="14.5" thickBot="1">
      <c r="A54" s="481"/>
      <c r="B54" s="482"/>
      <c r="C54" s="483">
        <v>100</v>
      </c>
      <c r="D54" s="483"/>
      <c r="E54" s="483"/>
      <c r="F54" s="483"/>
      <c r="G54" s="483"/>
      <c r="H54" s="483"/>
      <c r="I54" s="483"/>
      <c r="J54" s="483"/>
      <c r="K54" s="483"/>
      <c r="L54" s="483"/>
      <c r="M54" s="484"/>
      <c r="N54" s="2915"/>
      <c r="O54" s="2915"/>
      <c r="P54" s="2923"/>
      <c r="Q54" s="2900"/>
      <c r="R54" s="2886"/>
      <c r="S54" s="2886"/>
      <c r="T54" s="2886"/>
      <c r="U54" s="2886"/>
      <c r="V54" s="2886"/>
      <c r="W54" s="2886"/>
      <c r="X54" s="2886"/>
      <c r="Y54" s="2886"/>
      <c r="Z54" s="2886"/>
      <c r="AA54" s="2886"/>
      <c r="AB54" s="2886"/>
      <c r="AC54" s="2886"/>
    </row>
    <row r="55" spans="1:29" ht="28.5" thickTop="1">
      <c r="A55" s="481"/>
      <c r="B55" s="485" t="s">
        <v>2137</v>
      </c>
      <c r="C55" s="486" t="s">
        <v>2169</v>
      </c>
      <c r="D55" s="486" t="s">
        <v>2170</v>
      </c>
      <c r="E55" s="486" t="s">
        <v>2171</v>
      </c>
      <c r="F55" s="486" t="s">
        <v>2172</v>
      </c>
      <c r="G55" s="486" t="s">
        <v>2173</v>
      </c>
      <c r="H55" s="486" t="s">
        <v>2174</v>
      </c>
      <c r="I55" s="486" t="s">
        <v>2175</v>
      </c>
      <c r="J55" s="486"/>
      <c r="K55" s="487"/>
      <c r="L55" s="488"/>
      <c r="M55" s="489"/>
      <c r="N55" s="2914"/>
      <c r="O55" s="2914"/>
      <c r="P55" s="2923"/>
      <c r="Q55" s="2900"/>
      <c r="R55" s="2886"/>
      <c r="S55" s="2886"/>
      <c r="T55" s="2886"/>
      <c r="U55" s="2886"/>
      <c r="V55" s="2886"/>
      <c r="W55" s="2886"/>
      <c r="X55" s="2886"/>
      <c r="Y55" s="2886"/>
      <c r="Z55" s="2886"/>
      <c r="AA55" s="2886"/>
      <c r="AB55" s="2886"/>
      <c r="AC55" s="288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15"/>
      <c r="O56" s="2915"/>
      <c r="P56" s="2923"/>
      <c r="Q56" s="2900"/>
      <c r="R56" s="2886"/>
      <c r="S56" s="2886"/>
      <c r="T56" s="2886"/>
      <c r="U56" s="2886"/>
      <c r="V56" s="2886"/>
      <c r="W56" s="2886"/>
      <c r="X56" s="2886"/>
      <c r="Y56" s="2886"/>
      <c r="Z56" s="2886"/>
      <c r="AA56" s="2886"/>
      <c r="AB56" s="2886"/>
      <c r="AC56" s="2886"/>
    </row>
    <row r="57" spans="1:29" ht="14.5" thickTop="1">
      <c r="A57" s="481"/>
      <c r="B57" s="606">
        <f>B11</f>
        <v>111</v>
      </c>
      <c r="C57" s="496"/>
      <c r="D57" s="496"/>
      <c r="E57" s="496"/>
      <c r="F57" s="496"/>
      <c r="G57" s="496"/>
      <c r="H57" s="496"/>
      <c r="I57" s="496"/>
      <c r="J57" s="496"/>
      <c r="K57" s="497"/>
      <c r="L57" s="498"/>
      <c r="M57" s="499"/>
      <c r="N57" s="2914"/>
      <c r="O57" s="2914"/>
      <c r="P57" s="2923"/>
      <c r="Q57" s="2900"/>
      <c r="R57" s="2886"/>
      <c r="S57" s="2886"/>
      <c r="T57" s="2886"/>
      <c r="U57" s="2886"/>
      <c r="V57" s="2886"/>
      <c r="W57" s="2886"/>
      <c r="X57" s="2886"/>
      <c r="Y57" s="2886"/>
      <c r="Z57" s="2886"/>
      <c r="AA57" s="2886"/>
      <c r="AB57" s="2886"/>
      <c r="AC57" s="2886"/>
    </row>
    <row r="58" spans="1:29" ht="14.5" thickBot="1">
      <c r="A58" s="481"/>
      <c r="B58" s="482"/>
      <c r="C58" s="507"/>
      <c r="D58" s="483"/>
      <c r="E58" s="483"/>
      <c r="F58" s="483"/>
      <c r="G58" s="483"/>
      <c r="H58" s="483"/>
      <c r="I58" s="483"/>
      <c r="J58" s="483"/>
      <c r="K58" s="483"/>
      <c r="L58" s="483"/>
      <c r="M58" s="484"/>
      <c r="N58" s="2915"/>
      <c r="O58" s="2915"/>
      <c r="P58" s="2923"/>
      <c r="Q58" s="2900"/>
      <c r="R58" s="2886"/>
      <c r="S58" s="2886"/>
      <c r="T58" s="2886"/>
      <c r="U58" s="2886"/>
      <c r="V58" s="2886"/>
      <c r="W58" s="2886"/>
      <c r="X58" s="2886"/>
      <c r="Y58" s="2886"/>
      <c r="Z58" s="2886"/>
      <c r="AA58" s="2886"/>
      <c r="AB58" s="2886"/>
      <c r="AC58" s="2886"/>
    </row>
    <row r="59" spans="1:29" s="420" customFormat="1" ht="14.5" thickTop="1">
      <c r="A59" s="500"/>
      <c r="B59" s="485">
        <f>B12</f>
        <v>111</v>
      </c>
      <c r="C59" s="496"/>
      <c r="D59" s="496"/>
      <c r="E59" s="496"/>
      <c r="F59" s="496"/>
      <c r="G59" s="501"/>
      <c r="H59" s="502"/>
      <c r="I59" s="502"/>
      <c r="J59" s="502"/>
      <c r="K59" s="502"/>
      <c r="L59" s="503"/>
      <c r="M59" s="504"/>
      <c r="N59" s="2916"/>
      <c r="O59" s="2916"/>
      <c r="P59" s="2924"/>
      <c r="Q59" s="2907"/>
      <c r="R59" s="2908"/>
      <c r="S59" s="2908"/>
      <c r="T59" s="2908"/>
      <c r="U59" s="2908"/>
      <c r="V59" s="2908"/>
      <c r="W59" s="2908"/>
      <c r="X59" s="2908"/>
      <c r="Y59" s="2908"/>
      <c r="Z59" s="2908"/>
      <c r="AA59" s="2908"/>
      <c r="AB59" s="2908"/>
      <c r="AC59" s="2908"/>
    </row>
    <row r="60" spans="1:29" s="420" customFormat="1" ht="14.5" thickBot="1">
      <c r="A60" s="500"/>
      <c r="B60" s="490"/>
      <c r="C60" s="507"/>
      <c r="D60" s="483"/>
      <c r="E60" s="483"/>
      <c r="F60" s="483"/>
      <c r="G60" s="483"/>
      <c r="H60" s="483"/>
      <c r="I60" s="483"/>
      <c r="J60" s="483"/>
      <c r="K60" s="483"/>
      <c r="L60" s="483"/>
      <c r="M60" s="484"/>
      <c r="N60" s="2915"/>
      <c r="O60" s="2915"/>
      <c r="P60" s="2924"/>
      <c r="Q60" s="2907"/>
      <c r="R60" s="2908"/>
      <c r="S60" s="2908"/>
      <c r="T60" s="2908"/>
      <c r="U60" s="2908"/>
      <c r="V60" s="2908"/>
      <c r="W60" s="2908"/>
      <c r="X60" s="2908"/>
      <c r="Y60" s="2908"/>
      <c r="Z60" s="2908"/>
      <c r="AA60" s="2908"/>
      <c r="AB60" s="2908"/>
      <c r="AC60" s="2908"/>
    </row>
    <row r="61" spans="1:29" s="420" customFormat="1" ht="14.5" thickTop="1">
      <c r="A61" s="500"/>
      <c r="B61" s="485">
        <f>B13</f>
        <v>111</v>
      </c>
      <c r="C61" s="501"/>
      <c r="D61" s="501"/>
      <c r="E61" s="501"/>
      <c r="F61" s="501"/>
      <c r="G61" s="501"/>
      <c r="H61" s="502"/>
      <c r="I61" s="502"/>
      <c r="J61" s="502"/>
      <c r="K61" s="502"/>
      <c r="L61" s="503"/>
      <c r="M61" s="504"/>
      <c r="N61" s="2916"/>
      <c r="O61" s="2916"/>
      <c r="P61" s="2925"/>
      <c r="Q61" s="2910"/>
      <c r="R61" s="2908"/>
      <c r="S61" s="2908"/>
      <c r="T61" s="2908"/>
      <c r="U61" s="2908"/>
      <c r="V61" s="2908"/>
      <c r="W61" s="2908"/>
      <c r="X61" s="2908"/>
      <c r="Y61" s="2908"/>
      <c r="Z61" s="2908"/>
      <c r="AA61" s="2908"/>
      <c r="AB61" s="2908"/>
      <c r="AC61" s="2908"/>
    </row>
    <row r="62" spans="1:29" s="420" customFormat="1" ht="14.5" thickBot="1">
      <c r="A62" s="500"/>
      <c r="B62" s="490"/>
      <c r="C62" s="507"/>
      <c r="D62" s="507"/>
      <c r="E62" s="507"/>
      <c r="F62" s="507"/>
      <c r="G62" s="507"/>
      <c r="H62" s="509"/>
      <c r="I62" s="509"/>
      <c r="J62" s="509"/>
      <c r="K62" s="509"/>
      <c r="L62" s="509"/>
      <c r="M62" s="510"/>
      <c r="N62" s="2916"/>
      <c r="O62" s="2916"/>
      <c r="P62" s="2924"/>
      <c r="Q62" s="2907"/>
      <c r="R62" s="2908"/>
      <c r="S62" s="2908"/>
      <c r="T62" s="2908"/>
      <c r="U62" s="2908"/>
      <c r="V62" s="2908"/>
      <c r="W62" s="2908"/>
      <c r="X62" s="2908"/>
      <c r="Y62" s="2908"/>
      <c r="Z62" s="2908"/>
      <c r="AA62" s="2908"/>
      <c r="AB62" s="2908"/>
      <c r="AC62" s="2908"/>
    </row>
    <row r="63" spans="1:29" ht="14.5" thickTop="1">
      <c r="A63" s="474" t="s">
        <v>2139</v>
      </c>
      <c r="B63" s="475" t="s">
        <v>2182</v>
      </c>
      <c r="C63" s="520" t="s">
        <v>2177</v>
      </c>
      <c r="D63" s="520" t="s">
        <v>2178</v>
      </c>
      <c r="E63" s="520" t="s">
        <v>2179</v>
      </c>
      <c r="F63" s="520" t="s">
        <v>2180</v>
      </c>
      <c r="G63" s="520" t="s">
        <v>2181</v>
      </c>
      <c r="H63" s="476"/>
      <c r="I63" s="476"/>
      <c r="J63" s="476"/>
      <c r="K63" s="521"/>
      <c r="L63" s="522"/>
      <c r="M63" s="523"/>
      <c r="N63" s="2914"/>
      <c r="O63" s="2914"/>
      <c r="P63" s="2927"/>
      <c r="Q63" s="2900"/>
      <c r="R63" s="2886"/>
      <c r="S63" s="2886"/>
      <c r="T63" s="2886"/>
      <c r="U63" s="2886"/>
      <c r="V63" s="2886"/>
      <c r="W63" s="2886"/>
      <c r="X63" s="2886"/>
      <c r="Y63" s="2886"/>
      <c r="Z63" s="2886"/>
      <c r="AA63" s="2886"/>
      <c r="AB63" s="2886"/>
      <c r="AC63" s="288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15"/>
      <c r="O64" s="2915"/>
      <c r="P64" s="2923"/>
      <c r="Q64" s="2900"/>
      <c r="R64" s="2886"/>
      <c r="S64" s="2886"/>
      <c r="T64" s="2886"/>
      <c r="U64" s="2886"/>
      <c r="V64" s="2886"/>
      <c r="W64" s="2886"/>
      <c r="X64" s="2886"/>
      <c r="Y64" s="2886"/>
      <c r="Z64" s="2886"/>
      <c r="AA64" s="2886"/>
      <c r="AB64" s="2886"/>
      <c r="AC64" s="2886"/>
    </row>
    <row r="65" spans="1:29" ht="14.5" thickTop="1">
      <c r="A65" s="481"/>
      <c r="B65" s="485" t="s">
        <v>2183</v>
      </c>
      <c r="C65" s="525" t="s">
        <v>2177</v>
      </c>
      <c r="D65" s="525" t="s">
        <v>2178</v>
      </c>
      <c r="E65" s="525" t="s">
        <v>2179</v>
      </c>
      <c r="F65" s="525" t="s">
        <v>2180</v>
      </c>
      <c r="G65" s="525" t="s">
        <v>2181</v>
      </c>
      <c r="H65" s="486"/>
      <c r="I65" s="486"/>
      <c r="J65" s="486"/>
      <c r="K65" s="487"/>
      <c r="L65" s="488"/>
      <c r="M65" s="489"/>
      <c r="N65" s="2914"/>
      <c r="O65" s="2914"/>
      <c r="P65" s="2923"/>
      <c r="Q65" s="2900"/>
      <c r="R65" s="2886"/>
      <c r="S65" s="2886"/>
      <c r="T65" s="2886"/>
      <c r="U65" s="2886"/>
      <c r="V65" s="2886"/>
      <c r="W65" s="2886"/>
      <c r="X65" s="2886"/>
      <c r="Y65" s="2886"/>
      <c r="Z65" s="2886"/>
      <c r="AA65" s="2886"/>
      <c r="AB65" s="2886"/>
      <c r="AC65" s="288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15"/>
      <c r="O66" s="2915"/>
      <c r="P66" s="2923"/>
      <c r="Q66" s="2900"/>
      <c r="R66" s="2886"/>
      <c r="S66" s="2886"/>
      <c r="T66" s="2886"/>
      <c r="U66" s="2886"/>
      <c r="V66" s="2886"/>
      <c r="W66" s="2886"/>
      <c r="X66" s="2886"/>
      <c r="Y66" s="2886"/>
      <c r="Z66" s="2886"/>
      <c r="AA66" s="2886"/>
      <c r="AB66" s="2886"/>
      <c r="AC66" s="2886"/>
    </row>
    <row r="67" spans="1:29" ht="14.5" thickTop="1">
      <c r="A67" s="481"/>
      <c r="B67" s="493" t="s">
        <v>2269</v>
      </c>
      <c r="C67" s="606" t="s">
        <v>2255</v>
      </c>
      <c r="D67" s="606" t="s">
        <v>2256</v>
      </c>
      <c r="E67" s="606" t="s">
        <v>2257</v>
      </c>
      <c r="F67" s="606" t="s">
        <v>2258</v>
      </c>
      <c r="G67" s="606" t="s">
        <v>2259</v>
      </c>
      <c r="H67" s="486"/>
      <c r="I67" s="486"/>
      <c r="J67" s="486"/>
      <c r="K67" s="486"/>
      <c r="L67" s="486"/>
      <c r="M67" s="1232"/>
      <c r="N67" s="2915"/>
      <c r="O67" s="2915"/>
      <c r="P67" s="2923"/>
      <c r="Q67" s="2900"/>
      <c r="R67" s="2886"/>
      <c r="S67" s="2886"/>
      <c r="T67" s="2886"/>
      <c r="U67" s="2886"/>
      <c r="V67" s="2886"/>
      <c r="W67" s="2886"/>
      <c r="X67" s="2886"/>
      <c r="Y67" s="2886"/>
      <c r="Z67" s="2886"/>
      <c r="AA67" s="2886"/>
      <c r="AB67" s="2886"/>
      <c r="AC67" s="288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15"/>
      <c r="O68" s="2915"/>
      <c r="P68" s="2923"/>
      <c r="Q68" s="2900"/>
      <c r="R68" s="2886"/>
      <c r="S68" s="2886"/>
      <c r="T68" s="2886"/>
      <c r="U68" s="2886"/>
      <c r="V68" s="2886"/>
      <c r="W68" s="2886"/>
      <c r="X68" s="2886"/>
      <c r="Y68" s="2886"/>
      <c r="Z68" s="2886"/>
      <c r="AA68" s="2886"/>
      <c r="AB68" s="2886"/>
      <c r="AC68" s="2886"/>
    </row>
    <row r="69" spans="1:29" ht="14.5" thickTop="1">
      <c r="A69" s="481"/>
      <c r="B69" s="485" t="s">
        <v>2189</v>
      </c>
      <c r="C69" s="525" t="s">
        <v>2177</v>
      </c>
      <c r="D69" s="525" t="s">
        <v>2178</v>
      </c>
      <c r="E69" s="525" t="s">
        <v>2179</v>
      </c>
      <c r="F69" s="525" t="s">
        <v>2180</v>
      </c>
      <c r="G69" s="525" t="s">
        <v>2181</v>
      </c>
      <c r="H69" s="486"/>
      <c r="I69" s="486"/>
      <c r="J69" s="486"/>
      <c r="K69" s="487"/>
      <c r="L69" s="488"/>
      <c r="M69" s="489"/>
      <c r="N69" s="2914"/>
      <c r="O69" s="2914"/>
      <c r="P69" s="2923"/>
      <c r="Q69" s="2900"/>
      <c r="R69" s="2886"/>
      <c r="S69" s="2886"/>
      <c r="T69" s="2886"/>
      <c r="U69" s="2886"/>
      <c r="V69" s="2886"/>
      <c r="W69" s="2886"/>
      <c r="X69" s="2886"/>
      <c r="Y69" s="2886"/>
      <c r="Z69" s="2886"/>
      <c r="AA69" s="2886"/>
      <c r="AB69" s="2886"/>
      <c r="AC69" s="288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15"/>
      <c r="O70" s="2915"/>
      <c r="P70" s="2923"/>
      <c r="Q70" s="2900"/>
      <c r="R70" s="2886"/>
      <c r="S70" s="2886"/>
      <c r="T70" s="2886"/>
      <c r="U70" s="2886"/>
      <c r="V70" s="2886"/>
      <c r="W70" s="2886"/>
      <c r="X70" s="2886"/>
      <c r="Y70" s="2886"/>
      <c r="Z70" s="2886"/>
      <c r="AA70" s="2886"/>
      <c r="AB70" s="2886"/>
      <c r="AC70" s="2886"/>
    </row>
    <row r="71" spans="1:29" ht="14.5" thickTop="1">
      <c r="A71" s="481"/>
      <c r="B71" s="485" t="s">
        <v>2309</v>
      </c>
      <c r="C71" s="501"/>
      <c r="D71" s="501"/>
      <c r="E71" s="501"/>
      <c r="F71" s="501"/>
      <c r="G71" s="501"/>
      <c r="H71" s="530"/>
      <c r="I71" s="530"/>
      <c r="J71" s="530"/>
      <c r="K71" s="531"/>
      <c r="L71" s="532"/>
      <c r="M71" s="533"/>
      <c r="N71" s="2914"/>
      <c r="O71" s="2914"/>
      <c r="P71" s="2923"/>
      <c r="Q71" s="2900"/>
      <c r="R71" s="2886"/>
      <c r="S71" s="2886"/>
      <c r="T71" s="2886"/>
      <c r="U71" s="2886"/>
      <c r="V71" s="2886"/>
      <c r="W71" s="2886"/>
      <c r="X71" s="2886"/>
      <c r="Y71" s="2886"/>
      <c r="Z71" s="2886"/>
      <c r="AA71" s="2886"/>
      <c r="AB71" s="2886"/>
      <c r="AC71" s="288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15"/>
      <c r="O72" s="2915"/>
      <c r="P72" s="2923"/>
      <c r="Q72" s="2900"/>
      <c r="R72" s="2886"/>
      <c r="S72" s="2886"/>
      <c r="T72" s="2886"/>
      <c r="U72" s="2886"/>
      <c r="V72" s="2886"/>
      <c r="W72" s="2886"/>
      <c r="X72" s="2886"/>
      <c r="Y72" s="2886"/>
      <c r="Z72" s="2886"/>
      <c r="AA72" s="2886"/>
      <c r="AB72" s="2886"/>
      <c r="AC72" s="2886"/>
    </row>
    <row r="73" spans="1:29" s="110" customFormat="1" ht="14.5" thickTop="1">
      <c r="A73" s="526"/>
      <c r="B73" s="485">
        <f>B23</f>
        <v>111</v>
      </c>
      <c r="C73" s="496"/>
      <c r="D73" s="496"/>
      <c r="E73" s="496"/>
      <c r="F73" s="496"/>
      <c r="G73" s="501"/>
      <c r="H73" s="501"/>
      <c r="I73" s="501"/>
      <c r="J73" s="501"/>
      <c r="K73" s="501"/>
      <c r="L73" s="527"/>
      <c r="M73" s="528"/>
      <c r="N73" s="2913"/>
      <c r="O73" s="2913"/>
      <c r="P73" s="2923"/>
      <c r="Q73" s="2900"/>
      <c r="R73" s="2821"/>
      <c r="S73" s="2821"/>
      <c r="T73" s="2821"/>
      <c r="U73" s="2821"/>
      <c r="V73" s="2821"/>
      <c r="W73" s="2821"/>
      <c r="X73" s="2821"/>
      <c r="Y73" s="2821"/>
      <c r="Z73" s="2821"/>
      <c r="AA73" s="2821"/>
      <c r="AB73" s="2821"/>
      <c r="AC73" s="2821"/>
    </row>
    <row r="74" spans="1:29" s="110" customFormat="1" ht="14.5" thickBot="1">
      <c r="A74" s="526"/>
      <c r="B74" s="490"/>
      <c r="C74" s="507"/>
      <c r="D74" s="483"/>
      <c r="E74" s="483"/>
      <c r="F74" s="483"/>
      <c r="G74" s="483"/>
      <c r="H74" s="483"/>
      <c r="I74" s="483"/>
      <c r="J74" s="483"/>
      <c r="K74" s="483"/>
      <c r="L74" s="483"/>
      <c r="M74" s="484"/>
      <c r="N74" s="2915"/>
      <c r="O74" s="2915"/>
      <c r="P74" s="2923"/>
      <c r="Q74" s="2900"/>
      <c r="R74" s="2821"/>
      <c r="S74" s="2821"/>
      <c r="T74" s="2821"/>
      <c r="U74" s="2821"/>
      <c r="V74" s="2821"/>
      <c r="W74" s="2821"/>
      <c r="X74" s="2821"/>
      <c r="Y74" s="2821"/>
      <c r="Z74" s="2821"/>
      <c r="AA74" s="2821"/>
      <c r="AB74" s="2821"/>
      <c r="AC74" s="2821"/>
    </row>
    <row r="75" spans="1:29" s="110" customFormat="1" ht="14.5" thickTop="1">
      <c r="A75" s="526"/>
      <c r="B75" s="485">
        <f>B24</f>
        <v>111</v>
      </c>
      <c r="C75" s="496"/>
      <c r="D75" s="496"/>
      <c r="E75" s="496"/>
      <c r="F75" s="496"/>
      <c r="G75" s="501"/>
      <c r="H75" s="501"/>
      <c r="I75" s="501"/>
      <c r="J75" s="501"/>
      <c r="K75" s="501"/>
      <c r="L75" s="501"/>
      <c r="M75" s="528"/>
      <c r="N75" s="2913"/>
      <c r="O75" s="2913"/>
      <c r="P75" s="2923"/>
      <c r="Q75" s="2900"/>
      <c r="R75" s="2821"/>
      <c r="S75" s="2821"/>
      <c r="T75" s="2821"/>
      <c r="U75" s="2821"/>
      <c r="V75" s="2821"/>
      <c r="W75" s="2821"/>
      <c r="X75" s="2821"/>
      <c r="Y75" s="2821"/>
      <c r="Z75" s="2821"/>
      <c r="AA75" s="2821"/>
      <c r="AB75" s="2821"/>
      <c r="AC75" s="2821"/>
    </row>
    <row r="76" spans="1:29" s="110" customFormat="1" ht="14.5" thickBot="1">
      <c r="A76" s="526"/>
      <c r="B76" s="490"/>
      <c r="C76" s="507"/>
      <c r="D76" s="483"/>
      <c r="E76" s="483"/>
      <c r="F76" s="483"/>
      <c r="G76" s="483"/>
      <c r="H76" s="483"/>
      <c r="I76" s="483"/>
      <c r="J76" s="483"/>
      <c r="K76" s="483"/>
      <c r="L76" s="483"/>
      <c r="M76" s="484"/>
      <c r="N76" s="2915"/>
      <c r="O76" s="2915"/>
      <c r="P76" s="2923"/>
      <c r="Q76" s="2900"/>
      <c r="R76" s="2821"/>
      <c r="S76" s="2821"/>
      <c r="T76" s="2821"/>
      <c r="U76" s="2821"/>
      <c r="V76" s="2821"/>
      <c r="W76" s="2821"/>
      <c r="X76" s="2821"/>
      <c r="Y76" s="2821"/>
      <c r="Z76" s="2821"/>
      <c r="AA76" s="2821"/>
      <c r="AB76" s="2821"/>
      <c r="AC76" s="2821"/>
    </row>
    <row r="77" spans="1:29" s="420" customFormat="1" ht="14.5" thickTop="1">
      <c r="A77" s="500"/>
      <c r="B77" s="485">
        <f>B25</f>
        <v>111</v>
      </c>
      <c r="C77" s="501"/>
      <c r="D77" s="501"/>
      <c r="E77" s="501"/>
      <c r="F77" s="501"/>
      <c r="G77" s="501"/>
      <c r="H77" s="502"/>
      <c r="I77" s="502"/>
      <c r="J77" s="502"/>
      <c r="K77" s="502"/>
      <c r="L77" s="503"/>
      <c r="M77" s="504"/>
      <c r="N77" s="2916"/>
      <c r="O77" s="2916"/>
      <c r="P77" s="2924"/>
      <c r="Q77" s="2907"/>
      <c r="R77" s="2908"/>
      <c r="S77" s="2908"/>
      <c r="T77" s="2908"/>
      <c r="U77" s="2908"/>
      <c r="V77" s="2908"/>
      <c r="W77" s="2908"/>
      <c r="X77" s="2908"/>
      <c r="Y77" s="2908"/>
      <c r="Z77" s="2908"/>
      <c r="AA77" s="2908"/>
      <c r="AB77" s="2908"/>
      <c r="AC77" s="2908"/>
    </row>
    <row r="78" spans="1:29" s="420" customFormat="1" ht="14.5" thickBot="1">
      <c r="A78" s="500"/>
      <c r="B78" s="490"/>
      <c r="C78" s="507"/>
      <c r="D78" s="507"/>
      <c r="E78" s="507"/>
      <c r="F78" s="507"/>
      <c r="G78" s="483"/>
      <c r="H78" s="483"/>
      <c r="I78" s="483"/>
      <c r="J78" s="483"/>
      <c r="K78" s="483"/>
      <c r="L78" s="483"/>
      <c r="M78" s="484"/>
      <c r="N78" s="2916"/>
      <c r="O78" s="2916"/>
      <c r="P78" s="2924"/>
      <c r="Q78" s="2907"/>
      <c r="R78" s="2908"/>
      <c r="S78" s="2908"/>
      <c r="T78" s="2908"/>
      <c r="U78" s="2908"/>
      <c r="V78" s="2908"/>
      <c r="W78" s="2908"/>
      <c r="X78" s="2908"/>
      <c r="Y78" s="2908"/>
      <c r="Z78" s="2908"/>
      <c r="AA78" s="2908"/>
      <c r="AB78" s="2908"/>
      <c r="AC78" s="2908"/>
    </row>
    <row r="79" spans="1:29" ht="28.5" thickTop="1">
      <c r="A79" s="474" t="s">
        <v>2143</v>
      </c>
      <c r="B79" s="475" t="s">
        <v>2310</v>
      </c>
      <c r="C79" s="476">
        <f>C26</f>
        <v>0</v>
      </c>
      <c r="D79" s="477"/>
      <c r="E79" s="477"/>
      <c r="F79" s="477"/>
      <c r="G79" s="477"/>
      <c r="H79" s="477"/>
      <c r="I79" s="477"/>
      <c r="J79" s="477"/>
      <c r="K79" s="478"/>
      <c r="L79" s="479"/>
      <c r="M79" s="480"/>
      <c r="N79" s="2914"/>
      <c r="O79" s="2914"/>
      <c r="P79" s="2923"/>
      <c r="Q79" s="2900"/>
      <c r="R79" s="2886"/>
      <c r="S79" s="2886"/>
      <c r="T79" s="2886"/>
      <c r="U79" s="2886"/>
      <c r="V79" s="2886"/>
      <c r="W79" s="2886"/>
      <c r="X79" s="2886"/>
      <c r="Y79" s="2886"/>
      <c r="Z79" s="2886"/>
      <c r="AA79" s="2886"/>
      <c r="AB79" s="2886"/>
      <c r="AC79" s="288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15"/>
      <c r="O80" s="2915"/>
      <c r="P80" s="2923"/>
      <c r="Q80" s="2900"/>
      <c r="R80" s="2886"/>
      <c r="S80" s="2886"/>
      <c r="T80" s="2886"/>
      <c r="U80" s="2886"/>
      <c r="V80" s="2886"/>
      <c r="W80" s="2886"/>
      <c r="X80" s="2886"/>
      <c r="Y80" s="2886"/>
      <c r="Z80" s="2886"/>
      <c r="AA80" s="2886"/>
      <c r="AB80" s="2886"/>
      <c r="AC80" s="2886"/>
    </row>
    <row r="81" spans="1:29" ht="14.5" thickTop="1">
      <c r="A81" s="481"/>
      <c r="B81" s="485" t="s">
        <v>2311</v>
      </c>
      <c r="C81" s="607"/>
      <c r="D81" s="607"/>
      <c r="E81" s="607"/>
      <c r="F81" s="607"/>
      <c r="G81" s="607"/>
      <c r="H81" s="607"/>
      <c r="I81" s="607"/>
      <c r="J81" s="607"/>
      <c r="K81" s="608"/>
      <c r="L81" s="609"/>
      <c r="M81" s="610"/>
      <c r="N81" s="2913"/>
      <c r="O81" s="2913"/>
      <c r="P81" s="2923"/>
      <c r="Q81" s="2900"/>
      <c r="R81" s="2886"/>
      <c r="S81" s="2886"/>
      <c r="T81" s="2886"/>
      <c r="U81" s="2886"/>
      <c r="V81" s="2886"/>
      <c r="W81" s="2886"/>
      <c r="X81" s="2886"/>
      <c r="Y81" s="2886"/>
      <c r="Z81" s="2886"/>
      <c r="AA81" s="2886"/>
      <c r="AB81" s="2886"/>
      <c r="AC81" s="2886"/>
    </row>
    <row r="82" spans="1:29" s="420" customFormat="1" ht="14.5" thickBot="1">
      <c r="A82" s="500"/>
      <c r="B82" s="490"/>
      <c r="C82" s="507"/>
      <c r="D82" s="483"/>
      <c r="E82" s="483"/>
      <c r="F82" s="483"/>
      <c r="G82" s="483"/>
      <c r="H82" s="483"/>
      <c r="I82" s="483"/>
      <c r="J82" s="483"/>
      <c r="K82" s="483"/>
      <c r="L82" s="483"/>
      <c r="M82" s="484"/>
      <c r="N82" s="2915"/>
      <c r="O82" s="2915"/>
      <c r="P82" s="2924"/>
      <c r="Q82" s="2907"/>
      <c r="R82" s="2908"/>
      <c r="S82" s="2908"/>
      <c r="T82" s="2908"/>
      <c r="U82" s="2908"/>
      <c r="V82" s="2908"/>
      <c r="W82" s="2908"/>
      <c r="X82" s="2908"/>
      <c r="Y82" s="2908"/>
      <c r="Z82" s="2908"/>
      <c r="AA82" s="2908"/>
      <c r="AB82" s="2908"/>
      <c r="AC82" s="2908"/>
    </row>
    <row r="83" spans="1:29" ht="14.5" thickTop="1">
      <c r="A83" s="546"/>
      <c r="B83" s="485" t="s">
        <v>2196</v>
      </c>
      <c r="C83" s="501"/>
      <c r="D83" s="501"/>
      <c r="E83" s="530"/>
      <c r="F83" s="530"/>
      <c r="G83" s="530"/>
      <c r="H83" s="530"/>
      <c r="I83" s="530"/>
      <c r="J83" s="530"/>
      <c r="K83" s="531"/>
      <c r="L83" s="532"/>
      <c r="M83" s="533"/>
      <c r="N83" s="2914"/>
      <c r="O83" s="2914"/>
      <c r="P83" s="2923"/>
      <c r="Q83" s="2900"/>
      <c r="R83" s="2886"/>
      <c r="S83" s="2886"/>
      <c r="T83" s="2886"/>
      <c r="U83" s="2886"/>
      <c r="V83" s="2886"/>
      <c r="W83" s="2886"/>
      <c r="X83" s="2886"/>
      <c r="Y83" s="2886"/>
      <c r="Z83" s="2886"/>
      <c r="AA83" s="2886"/>
      <c r="AB83" s="2886"/>
      <c r="AC83" s="288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15"/>
      <c r="O84" s="2915"/>
      <c r="P84" s="2923"/>
      <c r="Q84" s="2900"/>
      <c r="R84" s="2886"/>
      <c r="S84" s="2886"/>
      <c r="T84" s="2886"/>
      <c r="U84" s="2886"/>
      <c r="V84" s="2886"/>
      <c r="W84" s="2886"/>
      <c r="X84" s="2886"/>
      <c r="Y84" s="2886"/>
      <c r="Z84" s="2886"/>
      <c r="AA84" s="2886"/>
      <c r="AB84" s="2886"/>
      <c r="AC84" s="2886"/>
    </row>
    <row r="85" spans="1:29" ht="14.5" thickTop="1">
      <c r="A85" s="546"/>
      <c r="B85" s="485" t="s">
        <v>2312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14"/>
      <c r="O85" s="2914"/>
      <c r="P85" s="2923"/>
      <c r="Q85" s="2900"/>
      <c r="R85" s="2886"/>
      <c r="S85" s="2886"/>
      <c r="T85" s="2886"/>
      <c r="U85" s="2886"/>
      <c r="V85" s="2886"/>
      <c r="W85" s="2886"/>
      <c r="X85" s="2886"/>
      <c r="Y85" s="2886"/>
      <c r="Z85" s="2886"/>
      <c r="AA85" s="2886"/>
      <c r="AB85" s="2886"/>
      <c r="AC85" s="2886"/>
    </row>
    <row r="86" spans="1:29">
      <c r="A86" s="546"/>
      <c r="B86" s="493"/>
      <c r="C86" s="550">
        <v>0.5</v>
      </c>
      <c r="D86" s="550">
        <v>0.6</v>
      </c>
      <c r="E86" s="550">
        <v>0.7</v>
      </c>
      <c r="F86" s="550">
        <v>0.8</v>
      </c>
      <c r="G86" s="550">
        <v>0.9</v>
      </c>
      <c r="H86" s="550">
        <v>1.0001</v>
      </c>
      <c r="I86" s="569"/>
      <c r="J86" s="569"/>
      <c r="K86" s="570"/>
      <c r="L86" s="571"/>
      <c r="M86" s="572"/>
      <c r="N86" s="2914"/>
      <c r="O86" s="2914"/>
      <c r="P86" s="2923"/>
      <c r="Q86" s="2900"/>
      <c r="R86" s="2886"/>
      <c r="S86" s="2886"/>
      <c r="T86" s="2886"/>
      <c r="U86" s="2886"/>
      <c r="V86" s="2886"/>
      <c r="W86" s="2886"/>
      <c r="X86" s="2886"/>
      <c r="Y86" s="2886"/>
      <c r="Z86" s="2886"/>
      <c r="AA86" s="2886"/>
      <c r="AB86" s="2886"/>
      <c r="AC86" s="288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15"/>
      <c r="O87" s="2915"/>
      <c r="P87" s="2923"/>
      <c r="Q87" s="2900"/>
      <c r="R87" s="2886"/>
      <c r="S87" s="2886"/>
      <c r="T87" s="2886"/>
      <c r="U87" s="2886"/>
      <c r="V87" s="2886"/>
      <c r="W87" s="2886"/>
      <c r="X87" s="2886"/>
      <c r="Y87" s="2886"/>
      <c r="Z87" s="2886"/>
      <c r="AA87" s="2886"/>
      <c r="AB87" s="2886"/>
      <c r="AC87" s="2886"/>
    </row>
    <row r="88" spans="1:29" ht="14.5" thickTop="1">
      <c r="A88" s="546"/>
      <c r="B88" s="493" t="s">
        <v>2313</v>
      </c>
      <c r="C88" s="477"/>
      <c r="D88" s="477"/>
      <c r="E88" s="477"/>
      <c r="F88" s="477"/>
      <c r="G88" s="477"/>
      <c r="H88" s="477"/>
      <c r="I88" s="477"/>
      <c r="J88" s="477"/>
      <c r="K88" s="478"/>
      <c r="L88" s="479"/>
      <c r="M88" s="480"/>
      <c r="N88" s="2914"/>
      <c r="O88" s="2914"/>
      <c r="P88" s="2923"/>
      <c r="Q88" s="2900"/>
      <c r="R88" s="2886"/>
      <c r="S88" s="2886"/>
      <c r="T88" s="2886"/>
      <c r="U88" s="2886"/>
      <c r="V88" s="2886"/>
      <c r="W88" s="2886"/>
      <c r="X88" s="2886"/>
      <c r="Y88" s="2886"/>
      <c r="Z88" s="2886"/>
      <c r="AA88" s="2886"/>
      <c r="AB88" s="2886"/>
      <c r="AC88" s="288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15"/>
      <c r="O89" s="2915"/>
      <c r="P89" s="2923"/>
      <c r="Q89" s="2900"/>
      <c r="R89" s="2886"/>
      <c r="S89" s="2886"/>
      <c r="T89" s="2886"/>
      <c r="U89" s="2886"/>
      <c r="V89" s="2886"/>
      <c r="W89" s="2886"/>
      <c r="X89" s="2886"/>
      <c r="Y89" s="2886"/>
      <c r="Z89" s="2886"/>
      <c r="AA89" s="2886"/>
      <c r="AB89" s="2886"/>
      <c r="AC89" s="2886"/>
    </row>
    <row r="90" spans="1:29" s="420" customFormat="1" ht="14.5" thickTop="1">
      <c r="A90" s="540"/>
      <c r="B90" s="485" t="s">
        <v>2314</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16"/>
      <c r="O90" s="2916"/>
      <c r="P90" s="2924"/>
      <c r="Q90" s="2907"/>
      <c r="R90" s="2908"/>
      <c r="S90" s="2908"/>
      <c r="T90" s="2908"/>
      <c r="U90" s="2908"/>
      <c r="V90" s="2908"/>
      <c r="W90" s="2908"/>
      <c r="X90" s="2908"/>
      <c r="Y90" s="2908"/>
      <c r="Z90" s="2908"/>
      <c r="AA90" s="2908"/>
      <c r="AB90" s="2908"/>
      <c r="AC90" s="2908"/>
    </row>
    <row r="91" spans="1:29" s="420" customFormat="1">
      <c r="A91" s="540"/>
      <c r="B91" s="493"/>
      <c r="C91" s="542"/>
      <c r="D91" s="542"/>
      <c r="E91" s="542"/>
      <c r="F91" s="542"/>
      <c r="G91" s="542"/>
      <c r="H91" s="542"/>
      <c r="I91" s="542"/>
      <c r="J91" s="543"/>
      <c r="K91" s="543"/>
      <c r="L91" s="544"/>
      <c r="M91" s="545"/>
      <c r="N91" s="2916"/>
      <c r="O91" s="2916"/>
      <c r="P91" s="2924"/>
      <c r="Q91" s="2907"/>
      <c r="R91" s="2908"/>
      <c r="S91" s="2908"/>
      <c r="T91" s="2908"/>
      <c r="U91" s="2908"/>
      <c r="V91" s="2908"/>
      <c r="W91" s="2908"/>
      <c r="X91" s="2908"/>
      <c r="Y91" s="2908"/>
      <c r="Z91" s="2908"/>
      <c r="AA91" s="2908"/>
      <c r="AB91" s="2908"/>
      <c r="AC91" s="2908"/>
    </row>
    <row r="92" spans="1:29" s="420" customFormat="1" ht="14.5" thickBot="1">
      <c r="A92" s="500"/>
      <c r="B92" s="490"/>
      <c r="C92" s="507"/>
      <c r="D92" s="483"/>
      <c r="E92" s="483"/>
      <c r="F92" s="483"/>
      <c r="G92" s="483"/>
      <c r="H92" s="483"/>
      <c r="I92" s="483"/>
      <c r="J92" s="483"/>
      <c r="K92" s="483"/>
      <c r="L92" s="483"/>
      <c r="M92" s="484"/>
      <c r="N92" s="2916"/>
      <c r="O92" s="2916"/>
      <c r="P92" s="2924"/>
      <c r="Q92" s="2907"/>
      <c r="R92" s="2908"/>
      <c r="S92" s="2908"/>
      <c r="T92" s="2908"/>
      <c r="U92" s="2908"/>
      <c r="V92" s="2908"/>
      <c r="W92" s="2908"/>
      <c r="X92" s="2908"/>
      <c r="Y92" s="2908"/>
      <c r="Z92" s="2908"/>
      <c r="AA92" s="2908"/>
      <c r="AB92" s="2908"/>
      <c r="AC92" s="2908"/>
    </row>
    <row r="93" spans="1:29" ht="14.5" thickTop="1">
      <c r="A93" s="546"/>
      <c r="B93" s="485" t="s">
        <v>2315</v>
      </c>
      <c r="C93" s="501"/>
      <c r="D93" s="501"/>
      <c r="E93" s="530"/>
      <c r="F93" s="530"/>
      <c r="G93" s="530"/>
      <c r="H93" s="530"/>
      <c r="I93" s="530"/>
      <c r="J93" s="530"/>
      <c r="K93" s="531"/>
      <c r="L93" s="532"/>
      <c r="M93" s="533"/>
      <c r="N93" s="2914"/>
      <c r="O93" s="2914"/>
      <c r="P93" s="2923"/>
      <c r="Q93" s="2900"/>
      <c r="R93" s="2886"/>
      <c r="S93" s="2886"/>
      <c r="T93" s="2886"/>
      <c r="U93" s="2886"/>
      <c r="V93" s="2886"/>
      <c r="W93" s="2886"/>
      <c r="X93" s="2886"/>
      <c r="Y93" s="2886"/>
      <c r="Z93" s="2886"/>
      <c r="AA93" s="2886"/>
      <c r="AB93" s="2886"/>
      <c r="AC93" s="288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15"/>
      <c r="O94" s="2915"/>
      <c r="P94" s="2923"/>
      <c r="Q94" s="2900"/>
      <c r="R94" s="2886"/>
      <c r="S94" s="2886"/>
      <c r="T94" s="2886"/>
      <c r="U94" s="2886"/>
      <c r="V94" s="2886"/>
      <c r="W94" s="2886"/>
      <c r="X94" s="2886"/>
      <c r="Y94" s="2886"/>
      <c r="Z94" s="2886"/>
      <c r="AA94" s="2886"/>
      <c r="AB94" s="2886"/>
      <c r="AC94" s="2886"/>
    </row>
    <row r="95" spans="1:29" ht="14.5" thickTop="1">
      <c r="A95" s="546"/>
      <c r="B95" s="485" t="s">
        <v>2316</v>
      </c>
      <c r="C95" s="477"/>
      <c r="D95" s="477"/>
      <c r="E95" s="477"/>
      <c r="F95" s="477"/>
      <c r="G95" s="477"/>
      <c r="H95" s="477"/>
      <c r="I95" s="477"/>
      <c r="J95" s="477"/>
      <c r="K95" s="478"/>
      <c r="L95" s="479"/>
      <c r="M95" s="480"/>
      <c r="N95" s="2914"/>
      <c r="O95" s="2914"/>
      <c r="P95" s="2923"/>
      <c r="Q95" s="2900"/>
      <c r="R95" s="2886"/>
      <c r="S95" s="2886"/>
      <c r="T95" s="2886"/>
      <c r="U95" s="2886"/>
      <c r="V95" s="2886"/>
      <c r="W95" s="2886"/>
      <c r="X95" s="2886"/>
      <c r="Y95" s="2886"/>
      <c r="Z95" s="2886"/>
      <c r="AA95" s="2886"/>
      <c r="AB95" s="2886"/>
      <c r="AC95" s="288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15"/>
      <c r="O96" s="2915"/>
      <c r="P96" s="2923"/>
      <c r="Q96" s="2900"/>
      <c r="R96" s="2886"/>
      <c r="S96" s="2886"/>
      <c r="T96" s="2886"/>
      <c r="U96" s="2886"/>
      <c r="V96" s="2886"/>
      <c r="W96" s="2886"/>
      <c r="X96" s="2886"/>
      <c r="Y96" s="2886"/>
      <c r="Z96" s="2886"/>
      <c r="AA96" s="2886"/>
      <c r="AB96" s="2886"/>
      <c r="AC96" s="2886"/>
    </row>
    <row r="97" spans="1:29" ht="14.5" thickTop="1">
      <c r="A97" s="546"/>
      <c r="B97" s="582">
        <f>B34</f>
        <v>111</v>
      </c>
      <c r="C97" s="496"/>
      <c r="D97" s="496"/>
      <c r="E97" s="496"/>
      <c r="F97" s="496"/>
      <c r="G97" s="501"/>
      <c r="H97" s="502"/>
      <c r="I97" s="502"/>
      <c r="J97" s="502"/>
      <c r="K97" s="502"/>
      <c r="L97" s="503"/>
      <c r="M97" s="504"/>
      <c r="N97" s="2915"/>
      <c r="O97" s="2915"/>
      <c r="P97" s="2928"/>
      <c r="Q97" s="2929"/>
      <c r="R97" s="2886"/>
      <c r="S97" s="2886"/>
      <c r="T97" s="2886"/>
      <c r="U97" s="2886"/>
      <c r="V97" s="2886"/>
      <c r="W97" s="2886"/>
      <c r="X97" s="2886"/>
      <c r="Y97" s="2886"/>
      <c r="Z97" s="2886"/>
      <c r="AA97" s="2886"/>
      <c r="AB97" s="2886"/>
      <c r="AC97" s="2886"/>
    </row>
    <row r="98" spans="1:29" ht="14.5" thickBot="1">
      <c r="A98" s="481"/>
      <c r="B98" s="490"/>
      <c r="C98" s="507"/>
      <c r="D98" s="483"/>
      <c r="E98" s="483"/>
      <c r="F98" s="483"/>
      <c r="G98" s="507"/>
      <c r="H98" s="509"/>
      <c r="I98" s="509"/>
      <c r="J98" s="509"/>
      <c r="K98" s="509"/>
      <c r="L98" s="509"/>
      <c r="M98" s="510"/>
      <c r="N98" s="2915"/>
      <c r="O98" s="2915"/>
      <c r="P98" s="2923"/>
      <c r="Q98" s="2900"/>
      <c r="R98" s="2886"/>
      <c r="S98" s="2886"/>
      <c r="T98" s="2886"/>
      <c r="U98" s="2886"/>
      <c r="V98" s="2886"/>
      <c r="W98" s="2886"/>
      <c r="X98" s="2886"/>
      <c r="Y98" s="2886"/>
      <c r="Z98" s="2886"/>
      <c r="AA98" s="2886"/>
      <c r="AB98" s="2886"/>
      <c r="AC98" s="2886"/>
    </row>
    <row r="99" spans="1:29" s="420" customFormat="1" ht="14.5" thickTop="1">
      <c r="A99" s="540"/>
      <c r="B99" s="485">
        <f>B35</f>
        <v>111</v>
      </c>
      <c r="C99" s="496"/>
      <c r="D99" s="496"/>
      <c r="E99" s="496"/>
      <c r="F99" s="496"/>
      <c r="G99" s="501"/>
      <c r="H99" s="502"/>
      <c r="I99" s="502"/>
      <c r="J99" s="502"/>
      <c r="K99" s="502"/>
      <c r="L99" s="503"/>
      <c r="M99" s="504"/>
      <c r="N99" s="2916"/>
      <c r="O99" s="2916"/>
      <c r="P99" s="2924"/>
      <c r="Q99" s="2907"/>
      <c r="R99" s="2908"/>
      <c r="S99" s="2908"/>
      <c r="T99" s="2908"/>
      <c r="U99" s="2908"/>
      <c r="V99" s="2908"/>
      <c r="W99" s="2908"/>
      <c r="X99" s="2908"/>
      <c r="Y99" s="2908"/>
      <c r="Z99" s="2908"/>
      <c r="AA99" s="2908"/>
      <c r="AB99" s="2908"/>
      <c r="AC99" s="2908"/>
    </row>
    <row r="100" spans="1:29" s="420" customFormat="1" ht="14.5" thickBot="1">
      <c r="A100" s="500"/>
      <c r="B100" s="482"/>
      <c r="C100" s="507"/>
      <c r="D100" s="483"/>
      <c r="E100" s="483"/>
      <c r="F100" s="483"/>
      <c r="G100" s="507"/>
      <c r="H100" s="509"/>
      <c r="I100" s="509"/>
      <c r="J100" s="509"/>
      <c r="K100" s="509"/>
      <c r="L100" s="509"/>
      <c r="M100" s="510"/>
      <c r="N100" s="2916"/>
      <c r="O100" s="2916"/>
      <c r="P100" s="2924"/>
      <c r="Q100" s="2907"/>
      <c r="R100" s="2908"/>
      <c r="S100" s="2908"/>
      <c r="T100" s="2908"/>
      <c r="U100" s="2908"/>
      <c r="V100" s="2908"/>
      <c r="W100" s="2908"/>
      <c r="X100" s="2908"/>
      <c r="Y100" s="2908"/>
      <c r="Z100" s="2908"/>
      <c r="AA100" s="2908"/>
      <c r="AB100" s="2908"/>
      <c r="AC100" s="2908"/>
    </row>
    <row r="101" spans="1:29" ht="14.5" thickTop="1">
      <c r="A101" s="546"/>
      <c r="B101" s="485">
        <f>B36</f>
        <v>111</v>
      </c>
      <c r="C101" s="501"/>
      <c r="D101" s="501"/>
      <c r="E101" s="501"/>
      <c r="F101" s="501"/>
      <c r="G101" s="501"/>
      <c r="H101" s="502"/>
      <c r="I101" s="502"/>
      <c r="J101" s="502"/>
      <c r="K101" s="502"/>
      <c r="L101" s="503"/>
      <c r="M101" s="504"/>
      <c r="N101" s="2914"/>
      <c r="O101" s="2914"/>
      <c r="P101" s="2923"/>
      <c r="Q101" s="2900"/>
      <c r="R101" s="2886"/>
      <c r="S101" s="2886"/>
      <c r="T101" s="2886"/>
      <c r="U101" s="2886"/>
      <c r="V101" s="2886"/>
      <c r="W101" s="2886"/>
      <c r="X101" s="2886"/>
      <c r="Y101" s="2886"/>
      <c r="Z101" s="2886"/>
      <c r="AA101" s="2886"/>
      <c r="AB101" s="2886"/>
      <c r="AC101" s="2886"/>
    </row>
    <row r="102" spans="1:29" ht="14.5" thickBot="1">
      <c r="A102" s="481"/>
      <c r="B102" s="490"/>
      <c r="C102" s="507"/>
      <c r="D102" s="507"/>
      <c r="E102" s="507"/>
      <c r="F102" s="507"/>
      <c r="G102" s="507"/>
      <c r="H102" s="509"/>
      <c r="I102" s="509"/>
      <c r="J102" s="509"/>
      <c r="K102" s="509"/>
      <c r="L102" s="509"/>
      <c r="M102" s="510"/>
      <c r="N102" s="2915"/>
      <c r="O102" s="2915"/>
      <c r="P102" s="2923"/>
      <c r="Q102" s="2900"/>
      <c r="R102" s="2886"/>
      <c r="S102" s="2886"/>
      <c r="T102" s="2886"/>
      <c r="U102" s="2886"/>
      <c r="V102" s="2886"/>
      <c r="W102" s="2886"/>
      <c r="X102" s="2886"/>
      <c r="Y102" s="2886"/>
      <c r="Z102" s="2886"/>
      <c r="AA102" s="2886"/>
      <c r="AB102" s="2886"/>
      <c r="AC102" s="2886"/>
    </row>
    <row r="103" spans="1:29" ht="14.5"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41" customFormat="1" ht="28.5" customHeight="1" thickBot="1">
      <c r="A1" s="1330" t="s">
        <v>2287</v>
      </c>
      <c r="B1" s="1331"/>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IF(C2="——",ROUND(C37*D3/10000,0),ROUND(C37*D3/10000,0)-D2)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IF(C2="——",C37,ROUND(B2*10000/D3,0))</f>
        <v>#DIV/0!</v>
      </c>
      <c r="C3" s="350" t="s">
        <v>2224</v>
      </c>
      <c r="D3" s="349">
        <f>SUMIF('数据-汇总表'!$C19:$C33,D1,'数据-汇总表'!$E19:$E33)</f>
        <v>0</v>
      </c>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c r="A4" s="351" t="s">
        <v>2225</v>
      </c>
      <c r="B4" s="352"/>
      <c r="C4" s="3501" t="s">
        <v>2226</v>
      </c>
      <c r="D4" s="3502"/>
      <c r="E4" s="3503" t="s">
        <v>2227</v>
      </c>
      <c r="F4" s="3504"/>
      <c r="G4" s="3501" t="s">
        <v>2228</v>
      </c>
      <c r="H4" s="3502"/>
      <c r="I4" s="3501" t="s">
        <v>2229</v>
      </c>
      <c r="J4" s="3502"/>
      <c r="K4" s="557" t="s">
        <v>2230</v>
      </c>
      <c r="L4" s="2876"/>
      <c r="M4" s="2877"/>
      <c r="N4" s="2877"/>
      <c r="O4" s="2877"/>
      <c r="P4" s="3505" t="s">
        <v>2231</v>
      </c>
      <c r="Q4" s="3506"/>
      <c r="R4" s="3488" t="s">
        <v>2227</v>
      </c>
      <c r="S4" s="3489"/>
      <c r="T4" s="3488" t="s">
        <v>2228</v>
      </c>
      <c r="U4" s="3489"/>
      <c r="V4" s="3513" t="s">
        <v>2229</v>
      </c>
      <c r="W4" s="3513"/>
      <c r="X4" s="1477"/>
      <c r="Y4" s="3488" t="s">
        <v>2231</v>
      </c>
      <c r="Z4" s="3489"/>
      <c r="AA4" s="3483" t="s">
        <v>2227</v>
      </c>
      <c r="AB4" s="3484" t="s">
        <v>2228</v>
      </c>
      <c r="AC4" s="3483" t="s">
        <v>2229</v>
      </c>
    </row>
    <row r="5" spans="1:29">
      <c r="A5" s="354"/>
      <c r="B5" s="355"/>
      <c r="C5" s="3494" t="s">
        <v>2122</v>
      </c>
      <c r="D5" s="3495"/>
      <c r="E5" s="3492" t="s">
        <v>2123</v>
      </c>
      <c r="F5" s="3493"/>
      <c r="G5" s="3494" t="s">
        <v>2124</v>
      </c>
      <c r="H5" s="3495"/>
      <c r="I5" s="3494" t="s">
        <v>2125</v>
      </c>
      <c r="J5" s="3495"/>
      <c r="K5" s="557"/>
      <c r="L5" s="2876"/>
      <c r="M5" s="2877"/>
      <c r="N5" s="2877"/>
      <c r="O5" s="2877"/>
      <c r="P5" s="3507"/>
      <c r="Q5" s="3508"/>
      <c r="R5" s="3490"/>
      <c r="S5" s="3491"/>
      <c r="T5" s="3490"/>
      <c r="U5" s="3491"/>
      <c r="V5" s="3513"/>
      <c r="W5" s="3513"/>
      <c r="X5" s="1477"/>
      <c r="Y5" s="3490"/>
      <c r="Z5" s="3491"/>
      <c r="AA5" s="3484"/>
      <c r="AB5" s="3484"/>
      <c r="AC5" s="3484"/>
    </row>
    <row r="6" spans="1:29" ht="15" thickBot="1">
      <c r="A6" s="356"/>
      <c r="B6" s="357"/>
      <c r="C6" s="3496" t="s">
        <v>2126</v>
      </c>
      <c r="D6" s="3497"/>
      <c r="E6" s="3498" t="s">
        <v>2126</v>
      </c>
      <c r="F6" s="3499"/>
      <c r="G6" s="3496" t="s">
        <v>2126</v>
      </c>
      <c r="H6" s="3497"/>
      <c r="I6" s="3496" t="s">
        <v>2126</v>
      </c>
      <c r="J6" s="3497"/>
      <c r="K6" s="557" t="s">
        <v>2127</v>
      </c>
      <c r="L6" s="2876"/>
      <c r="M6" s="2877"/>
      <c r="N6" s="2877"/>
      <c r="O6" s="2877"/>
      <c r="P6" s="3509"/>
      <c r="Q6" s="3510"/>
      <c r="R6" s="3490"/>
      <c r="S6" s="3491"/>
      <c r="T6" s="3511"/>
      <c r="U6" s="3512"/>
      <c r="V6" s="3513"/>
      <c r="W6" s="3513"/>
      <c r="X6" s="1477"/>
      <c r="Y6" s="3511"/>
      <c r="Z6" s="3512"/>
      <c r="AA6" s="3485"/>
      <c r="AB6" s="3485"/>
      <c r="AC6" s="3485"/>
    </row>
    <row r="7" spans="1:29" s="110" customFormat="1" ht="14.5" thickBot="1">
      <c r="A7" s="358" t="s">
        <v>2128</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78"/>
      <c r="M7" s="2879"/>
      <c r="N7" s="2879"/>
      <c r="O7" s="2879"/>
      <c r="P7" s="3486" t="s">
        <v>2129</v>
      </c>
      <c r="Q7" s="3514"/>
      <c r="R7" s="698" t="s">
        <v>17</v>
      </c>
      <c r="S7" s="699">
        <f t="shared" ref="S7:S14" si="0">F7</f>
        <v>0</v>
      </c>
      <c r="T7" s="698" t="s">
        <v>17</v>
      </c>
      <c r="U7" s="699">
        <f t="shared" ref="U7:U14" si="1">H7</f>
        <v>0</v>
      </c>
      <c r="V7" s="698" t="s">
        <v>17</v>
      </c>
      <c r="W7" s="699">
        <f t="shared" ref="W7:W14" si="2">J7</f>
        <v>0</v>
      </c>
      <c r="X7" s="700"/>
      <c r="Y7" s="3486" t="s">
        <v>2129</v>
      </c>
      <c r="Z7" s="3487"/>
      <c r="AA7" s="701" t="e">
        <f>D7/F7</f>
        <v>#DIV/0!</v>
      </c>
      <c r="AB7" s="701" t="e">
        <f>D7/H7</f>
        <v>#DIV/0!</v>
      </c>
      <c r="AC7" s="701" t="e">
        <f>D7/J7</f>
        <v>#DIV/0!</v>
      </c>
    </row>
    <row r="8" spans="1:29" s="110" customFormat="1" ht="14.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558"/>
      <c r="L8" s="2878"/>
      <c r="M8" s="2879"/>
      <c r="N8" s="2879"/>
      <c r="O8" s="2879"/>
      <c r="P8" s="3486" t="s">
        <v>2132</v>
      </c>
      <c r="Q8" s="3487"/>
      <c r="R8" s="698" t="s">
        <v>17</v>
      </c>
      <c r="S8" s="699">
        <f t="shared" si="0"/>
        <v>0</v>
      </c>
      <c r="T8" s="698" t="s">
        <v>17</v>
      </c>
      <c r="U8" s="699">
        <f t="shared" si="1"/>
        <v>0</v>
      </c>
      <c r="V8" s="698" t="s">
        <v>17</v>
      </c>
      <c r="W8" s="699">
        <f t="shared" si="2"/>
        <v>0</v>
      </c>
      <c r="X8" s="700"/>
      <c r="Y8" s="3486" t="s">
        <v>2132</v>
      </c>
      <c r="Z8" s="3487"/>
      <c r="AA8" s="701" t="e">
        <f t="shared" ref="AA8:AA34" si="3">D8/F8</f>
        <v>#DIV/0!</v>
      </c>
      <c r="AB8" s="701" t="e">
        <f t="shared" ref="AB8:AB34" si="4">D8/H8</f>
        <v>#DIV/0!</v>
      </c>
      <c r="AC8" s="701" t="e">
        <f t="shared" ref="AC8:AC34" si="5">D8/J8</f>
        <v>#DIV/0!</v>
      </c>
    </row>
    <row r="9" spans="1:29" s="110" customFormat="1">
      <c r="A9" s="365" t="s">
        <v>2133</v>
      </c>
      <c r="B9" s="67" t="s">
        <v>2134</v>
      </c>
      <c r="C9" s="366"/>
      <c r="D9" s="121">
        <v>100</v>
      </c>
      <c r="E9" s="369"/>
      <c r="F9" s="368">
        <f>SUMIF(51:51,E9,52:52)-SUMIF(51:51,C9,52:52)+100</f>
        <v>100</v>
      </c>
      <c r="G9" s="369"/>
      <c r="H9" s="121">
        <f>SUMIF(51:51,G9,52:52)-SUMIF(51:51,C9,52:52)+100</f>
        <v>100</v>
      </c>
      <c r="I9" s="369"/>
      <c r="J9" s="121">
        <f>SUMIF(51:51,I9,52:52)-SUMIF(51:51,C9,52:52)+100</f>
        <v>100</v>
      </c>
      <c r="K9" s="558"/>
      <c r="L9" s="2878"/>
      <c r="M9" s="2879"/>
      <c r="N9" s="2879"/>
      <c r="O9" s="2933"/>
      <c r="P9" s="3500" t="s">
        <v>2135</v>
      </c>
      <c r="Q9" s="1465" t="str">
        <f t="shared" ref="Q9:Q14" si="6">B9</f>
        <v>用途</v>
      </c>
      <c r="R9" s="698" t="s">
        <v>17</v>
      </c>
      <c r="S9" s="699">
        <f t="shared" si="0"/>
        <v>100</v>
      </c>
      <c r="T9" s="698" t="s">
        <v>17</v>
      </c>
      <c r="U9" s="699">
        <f t="shared" si="1"/>
        <v>100</v>
      </c>
      <c r="V9" s="698" t="s">
        <v>17</v>
      </c>
      <c r="W9" s="699">
        <f t="shared" si="2"/>
        <v>100</v>
      </c>
      <c r="X9" s="700"/>
      <c r="Y9" s="3459" t="s">
        <v>2136</v>
      </c>
      <c r="Z9" s="55" t="str">
        <f t="shared" ref="Z9:Z14" si="7">Q9</f>
        <v>用途</v>
      </c>
      <c r="AA9" s="701">
        <f t="shared" si="3"/>
        <v>1</v>
      </c>
      <c r="AB9" s="701">
        <f t="shared" si="4"/>
        <v>1</v>
      </c>
      <c r="AC9" s="701">
        <f t="shared" si="5"/>
        <v>1</v>
      </c>
    </row>
    <row r="10" spans="1:29" s="376" customFormat="1" ht="28">
      <c r="A10" s="370"/>
      <c r="B10" s="371" t="s">
        <v>2137</v>
      </c>
      <c r="C10" s="372"/>
      <c r="D10" s="122">
        <v>100</v>
      </c>
      <c r="E10" s="372"/>
      <c r="F10" s="374">
        <f>SUMIF(53:53,E10,54:54)-SUMIF(53:53,C10,54:54)+100</f>
        <v>100</v>
      </c>
      <c r="G10" s="372"/>
      <c r="H10" s="122">
        <f>SUMIF(53:53,G10,54:54)-SUMIF(53:53,C10,54:54)+100</f>
        <v>100</v>
      </c>
      <c r="I10" s="372"/>
      <c r="J10" s="122">
        <f>SUMIF(53:53,I10,54:54)-SUMIF(53:53,C10,54:54)+100</f>
        <v>100</v>
      </c>
      <c r="K10" s="559"/>
      <c r="L10" s="2880"/>
      <c r="M10" s="2881"/>
      <c r="N10" s="2881"/>
      <c r="O10" s="2934"/>
      <c r="P10" s="3500"/>
      <c r="Q10" s="1465" t="str">
        <f t="shared" si="6"/>
        <v>土地使用年限（年）</v>
      </c>
      <c r="R10" s="698" t="s">
        <v>17</v>
      </c>
      <c r="S10" s="699">
        <f t="shared" si="0"/>
        <v>100</v>
      </c>
      <c r="T10" s="698" t="s">
        <v>17</v>
      </c>
      <c r="U10" s="699">
        <f t="shared" si="1"/>
        <v>100</v>
      </c>
      <c r="V10" s="698" t="s">
        <v>17</v>
      </c>
      <c r="W10" s="699">
        <f t="shared" si="2"/>
        <v>100</v>
      </c>
      <c r="X10" s="700"/>
      <c r="Y10" s="3459"/>
      <c r="Z10" s="55" t="str">
        <f t="shared" si="7"/>
        <v>土地使用年限（年）</v>
      </c>
      <c r="AA10" s="701">
        <f t="shared" si="3"/>
        <v>1</v>
      </c>
      <c r="AB10" s="701">
        <f t="shared" si="4"/>
        <v>1</v>
      </c>
      <c r="AC10" s="701">
        <f t="shared" si="5"/>
        <v>1</v>
      </c>
    </row>
    <row r="11" spans="1:29" ht="15.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82"/>
      <c r="M11" s="2877"/>
      <c r="N11" s="2877"/>
      <c r="O11" s="2935"/>
      <c r="P11" s="3500"/>
      <c r="Q11" s="1465">
        <f t="shared" si="6"/>
        <v>111</v>
      </c>
      <c r="R11" s="698" t="s">
        <v>17</v>
      </c>
      <c r="S11" s="699">
        <f t="shared" si="0"/>
        <v>100</v>
      </c>
      <c r="T11" s="698" t="s">
        <v>17</v>
      </c>
      <c r="U11" s="699">
        <f t="shared" si="1"/>
        <v>100</v>
      </c>
      <c r="V11" s="698" t="s">
        <v>17</v>
      </c>
      <c r="W11" s="699">
        <f t="shared" si="2"/>
        <v>100</v>
      </c>
      <c r="X11" s="700"/>
      <c r="Y11" s="3459"/>
      <c r="Z11" s="55">
        <f t="shared" si="7"/>
        <v>111</v>
      </c>
      <c r="AA11" s="701">
        <f t="shared" si="3"/>
        <v>1</v>
      </c>
      <c r="AB11" s="701">
        <f t="shared" si="4"/>
        <v>1</v>
      </c>
      <c r="AC11" s="701">
        <f t="shared" si="5"/>
        <v>1</v>
      </c>
    </row>
    <row r="12" spans="1:29" s="110" customFormat="1" ht="15.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78"/>
      <c r="M12" s="2879"/>
      <c r="N12" s="2879"/>
      <c r="O12" s="2933"/>
      <c r="P12" s="3500"/>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701">
        <f>D12/J12</f>
        <v>1</v>
      </c>
    </row>
    <row r="13" spans="1:29" ht="16"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83"/>
      <c r="M13" s="2877"/>
      <c r="N13" s="2877"/>
      <c r="O13" s="2935"/>
      <c r="P13" s="3500"/>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701">
        <f t="shared" si="5"/>
        <v>1</v>
      </c>
    </row>
    <row r="14" spans="1:29" ht="98">
      <c r="A14" s="389" t="s">
        <v>2139</v>
      </c>
      <c r="B14" s="65" t="s">
        <v>2289</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83"/>
      <c r="M14" s="2877"/>
      <c r="N14" s="2877"/>
      <c r="O14" s="2935"/>
      <c r="P14" s="3515" t="s">
        <v>2140</v>
      </c>
      <c r="Q14" s="1474" t="str">
        <f t="shared" si="6"/>
        <v>交通便捷度</v>
      </c>
      <c r="R14" s="702" t="s">
        <v>17</v>
      </c>
      <c r="S14" s="703">
        <f t="shared" si="0"/>
        <v>100</v>
      </c>
      <c r="T14" s="702" t="s">
        <v>17</v>
      </c>
      <c r="U14" s="703">
        <f t="shared" si="1"/>
        <v>100</v>
      </c>
      <c r="V14" s="702" t="s">
        <v>17</v>
      </c>
      <c r="W14" s="703">
        <f t="shared" si="2"/>
        <v>100</v>
      </c>
      <c r="X14" s="1477"/>
      <c r="Y14" s="3515" t="s">
        <v>2140</v>
      </c>
      <c r="Z14" s="1478" t="str">
        <f t="shared" si="7"/>
        <v>交通便捷度</v>
      </c>
      <c r="AA14" s="1475">
        <f t="shared" si="3"/>
        <v>1</v>
      </c>
      <c r="AB14" s="1475">
        <f t="shared" si="4"/>
        <v>1</v>
      </c>
      <c r="AC14" s="1475">
        <f t="shared" si="5"/>
        <v>1</v>
      </c>
    </row>
    <row r="15" spans="1:29" ht="15.5">
      <c r="A15" s="377"/>
      <c r="B15" s="395"/>
      <c r="C15" s="396"/>
      <c r="D15" s="397"/>
      <c r="E15" s="396"/>
      <c r="F15" s="398"/>
      <c r="G15" s="396"/>
      <c r="H15" s="399"/>
      <c r="I15" s="396"/>
      <c r="J15" s="397"/>
      <c r="K15" s="562"/>
      <c r="L15" s="2883"/>
      <c r="M15" s="2877"/>
      <c r="N15" s="2877"/>
      <c r="O15" s="2935"/>
      <c r="P15" s="3516"/>
      <c r="Q15" s="1474"/>
      <c r="R15" s="702"/>
      <c r="S15" s="703"/>
      <c r="T15" s="702"/>
      <c r="U15" s="703"/>
      <c r="V15" s="702"/>
      <c r="W15" s="703"/>
      <c r="X15" s="1477"/>
      <c r="Y15" s="3516"/>
      <c r="Z15" s="1478"/>
      <c r="AA15" s="1475">
        <v>1</v>
      </c>
      <c r="AB15" s="1475">
        <v>1</v>
      </c>
      <c r="AC15" s="1475">
        <v>1</v>
      </c>
    </row>
    <row r="16" spans="1:29" ht="56">
      <c r="A16" s="377"/>
      <c r="B16" s="400" t="s">
        <v>2268</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83"/>
      <c r="M16" s="2877"/>
      <c r="N16" s="2877"/>
      <c r="O16" s="2935"/>
      <c r="P16" s="3516"/>
      <c r="Q16" s="1474" t="str">
        <f>B16</f>
        <v>公共配套设施</v>
      </c>
      <c r="R16" s="702" t="s">
        <v>17</v>
      </c>
      <c r="S16" s="703">
        <f>F16</f>
        <v>100</v>
      </c>
      <c r="T16" s="702" t="s">
        <v>17</v>
      </c>
      <c r="U16" s="703">
        <f>H16</f>
        <v>100</v>
      </c>
      <c r="V16" s="702" t="s">
        <v>17</v>
      </c>
      <c r="W16" s="703">
        <f>J16</f>
        <v>100</v>
      </c>
      <c r="X16" s="1477"/>
      <c r="Y16" s="3516"/>
      <c r="Z16" s="1478" t="str">
        <f>Q16</f>
        <v>公共配套设施</v>
      </c>
      <c r="AA16" s="1475">
        <f t="shared" si="3"/>
        <v>1</v>
      </c>
      <c r="AB16" s="1475">
        <f t="shared" si="4"/>
        <v>1</v>
      </c>
      <c r="AC16" s="1475">
        <f t="shared" si="5"/>
        <v>1</v>
      </c>
    </row>
    <row r="17" spans="1:29" ht="15.5">
      <c r="A17" s="377"/>
      <c r="B17" s="405"/>
      <c r="C17" s="2025"/>
      <c r="D17" s="397"/>
      <c r="E17" s="396"/>
      <c r="F17" s="398"/>
      <c r="G17" s="396"/>
      <c r="H17" s="397"/>
      <c r="I17" s="396"/>
      <c r="J17" s="397"/>
      <c r="K17" s="562"/>
      <c r="L17" s="2883"/>
      <c r="M17" s="2877"/>
      <c r="N17" s="2877"/>
      <c r="O17" s="2935"/>
      <c r="P17" s="3516"/>
      <c r="Q17" s="1474"/>
      <c r="R17" s="702"/>
      <c r="S17" s="703"/>
      <c r="T17" s="702"/>
      <c r="U17" s="703"/>
      <c r="V17" s="702"/>
      <c r="W17" s="703"/>
      <c r="X17" s="1477"/>
      <c r="Y17" s="3516"/>
      <c r="Z17" s="1478"/>
      <c r="AA17" s="1475">
        <v>1</v>
      </c>
      <c r="AB17" s="1475">
        <v>1</v>
      </c>
      <c r="AC17" s="1475">
        <v>1</v>
      </c>
    </row>
    <row r="18" spans="1:29" ht="15.5">
      <c r="A18" s="377"/>
      <c r="B18" s="1234" t="s">
        <v>2269</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83"/>
      <c r="M18" s="2877"/>
      <c r="N18" s="2877"/>
      <c r="O18" s="2935"/>
      <c r="P18" s="3516"/>
      <c r="Q18" s="1474" t="str">
        <f>B18</f>
        <v>基础设施水平</v>
      </c>
      <c r="R18" s="702" t="s">
        <v>17</v>
      </c>
      <c r="S18" s="703">
        <f>F18</f>
        <v>100</v>
      </c>
      <c r="T18" s="702" t="s">
        <v>17</v>
      </c>
      <c r="U18" s="703">
        <f>H18</f>
        <v>100</v>
      </c>
      <c r="V18" s="702" t="s">
        <v>17</v>
      </c>
      <c r="W18" s="703">
        <f>J18</f>
        <v>100</v>
      </c>
      <c r="X18" s="1477"/>
      <c r="Y18" s="3516"/>
      <c r="Z18" s="1478" t="str">
        <f>Q18</f>
        <v>基础设施水平</v>
      </c>
      <c r="AA18" s="1475">
        <f t="shared" ref="AA18" si="8">D18/F18</f>
        <v>1</v>
      </c>
      <c r="AB18" s="1475">
        <f t="shared" ref="AB18" si="9">D18/H18</f>
        <v>1</v>
      </c>
      <c r="AC18" s="1475">
        <f t="shared" ref="AC18" si="10">D18/J18</f>
        <v>1</v>
      </c>
    </row>
    <row r="19" spans="1:29" ht="15.5">
      <c r="A19" s="377"/>
      <c r="B19" s="1234"/>
      <c r="C19" s="2025"/>
      <c r="D19" s="399"/>
      <c r="E19" s="2025"/>
      <c r="F19" s="402"/>
      <c r="G19" s="2025"/>
      <c r="H19" s="397"/>
      <c r="I19" s="396"/>
      <c r="J19" s="397"/>
      <c r="K19" s="1233"/>
      <c r="L19" s="2883"/>
      <c r="M19" s="2877"/>
      <c r="N19" s="2877"/>
      <c r="O19" s="2935"/>
      <c r="P19" s="3516"/>
      <c r="Q19" s="1474"/>
      <c r="R19" s="702"/>
      <c r="S19" s="703"/>
      <c r="T19" s="702"/>
      <c r="U19" s="703"/>
      <c r="V19" s="702"/>
      <c r="W19" s="703"/>
      <c r="X19" s="1477"/>
      <c r="Y19" s="3516"/>
      <c r="Z19" s="1478"/>
      <c r="AA19" s="1475">
        <v>1</v>
      </c>
      <c r="AB19" s="1475">
        <v>1</v>
      </c>
      <c r="AC19" s="1475">
        <v>1</v>
      </c>
    </row>
    <row r="20" spans="1:29" ht="98">
      <c r="A20" s="377"/>
      <c r="B20" s="400" t="s">
        <v>2290</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83"/>
      <c r="M20" s="2877"/>
      <c r="N20" s="2877"/>
      <c r="O20" s="2935"/>
      <c r="P20" s="3516"/>
      <c r="Q20" s="1474" t="str">
        <f>B20</f>
        <v>自然及人文环境</v>
      </c>
      <c r="R20" s="702" t="s">
        <v>17</v>
      </c>
      <c r="S20" s="703">
        <f>F20</f>
        <v>100</v>
      </c>
      <c r="T20" s="702" t="s">
        <v>17</v>
      </c>
      <c r="U20" s="703">
        <f>H20</f>
        <v>100</v>
      </c>
      <c r="V20" s="702" t="s">
        <v>17</v>
      </c>
      <c r="W20" s="703">
        <f>J20</f>
        <v>100</v>
      </c>
      <c r="X20" s="1477"/>
      <c r="Y20" s="3516"/>
      <c r="Z20" s="1478" t="str">
        <f>Q20</f>
        <v>自然及人文环境</v>
      </c>
      <c r="AA20" s="1475">
        <f t="shared" si="3"/>
        <v>1</v>
      </c>
      <c r="AB20" s="1475">
        <f t="shared" si="4"/>
        <v>1</v>
      </c>
      <c r="AC20" s="1475">
        <f t="shared" si="5"/>
        <v>1</v>
      </c>
    </row>
    <row r="21" spans="1:29" ht="15.5">
      <c r="A21" s="377"/>
      <c r="B21" s="405"/>
      <c r="C21" s="396"/>
      <c r="D21" s="397"/>
      <c r="E21" s="396"/>
      <c r="F21" s="398"/>
      <c r="G21" s="396"/>
      <c r="H21" s="397"/>
      <c r="I21" s="396"/>
      <c r="J21" s="397"/>
      <c r="K21" s="562"/>
      <c r="L21" s="2883"/>
      <c r="M21" s="2877"/>
      <c r="N21" s="2877"/>
      <c r="O21" s="2935"/>
      <c r="P21" s="3516"/>
      <c r="Q21" s="1474"/>
      <c r="R21" s="702"/>
      <c r="S21" s="703"/>
      <c r="T21" s="702"/>
      <c r="U21" s="703"/>
      <c r="V21" s="702"/>
      <c r="W21" s="703"/>
      <c r="X21" s="1477"/>
      <c r="Y21" s="3516"/>
      <c r="Z21" s="1478"/>
      <c r="AA21" s="1475">
        <v>1</v>
      </c>
      <c r="AB21" s="1475">
        <v>1</v>
      </c>
      <c r="AC21" s="1475">
        <v>1</v>
      </c>
    </row>
    <row r="22" spans="1:29" ht="15.5">
      <c r="A22" s="377"/>
      <c r="B22" s="400" t="s">
        <v>2291</v>
      </c>
      <c r="C22" s="563"/>
      <c r="D22" s="399">
        <v>100</v>
      </c>
      <c r="E22" s="563"/>
      <c r="F22" s="410">
        <f>SUMIF(69:69,E22,70:70)-SUMIF(69:69,C22,70:70)+100</f>
        <v>100</v>
      </c>
      <c r="G22" s="563"/>
      <c r="H22" s="384">
        <f>SUMIF(69:69,G22,70:70)-SUMIF(69:69,C22,70:70)+100</f>
        <v>100</v>
      </c>
      <c r="I22" s="563"/>
      <c r="J22" s="384">
        <f>SUMIF(69:69,I22,70:70)-SUMIF(69:69,C22,70:70)+100</f>
        <v>100</v>
      </c>
      <c r="K22" s="559"/>
      <c r="L22" s="2883"/>
      <c r="M22" s="2877"/>
      <c r="N22" s="2877"/>
      <c r="O22" s="2935"/>
      <c r="P22" s="3516"/>
      <c r="Q22" s="1474" t="str">
        <f>B22</f>
        <v>楼层</v>
      </c>
      <c r="R22" s="702" t="s">
        <v>17</v>
      </c>
      <c r="S22" s="703">
        <f>F22</f>
        <v>100</v>
      </c>
      <c r="T22" s="702" t="s">
        <v>17</v>
      </c>
      <c r="U22" s="703">
        <f>H22</f>
        <v>100</v>
      </c>
      <c r="V22" s="702" t="s">
        <v>17</v>
      </c>
      <c r="W22" s="703">
        <f>J22</f>
        <v>100</v>
      </c>
      <c r="X22" s="1477"/>
      <c r="Y22" s="3516"/>
      <c r="Z22" s="1478" t="str">
        <f>Q22</f>
        <v>楼层</v>
      </c>
      <c r="AA22" s="1475">
        <f t="shared" si="3"/>
        <v>1</v>
      </c>
      <c r="AB22" s="1475">
        <f t="shared" si="4"/>
        <v>1</v>
      </c>
      <c r="AC22" s="1475">
        <f t="shared" si="5"/>
        <v>1</v>
      </c>
    </row>
    <row r="23" spans="1:29" ht="15.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83"/>
      <c r="M23" s="2877"/>
      <c r="N23" s="2877"/>
      <c r="O23" s="2935"/>
      <c r="P23" s="3516"/>
      <c r="Q23" s="1474">
        <f>B23</f>
        <v>111</v>
      </c>
      <c r="R23" s="702" t="s">
        <v>17</v>
      </c>
      <c r="S23" s="703">
        <f>F23</f>
        <v>100</v>
      </c>
      <c r="T23" s="702" t="s">
        <v>17</v>
      </c>
      <c r="U23" s="703">
        <f>H23</f>
        <v>100</v>
      </c>
      <c r="V23" s="702" t="s">
        <v>17</v>
      </c>
      <c r="W23" s="703">
        <f>J23</f>
        <v>100</v>
      </c>
      <c r="X23" s="1477"/>
      <c r="Y23" s="3516"/>
      <c r="Z23" s="1478">
        <f>Q23</f>
        <v>111</v>
      </c>
      <c r="AA23" s="1475">
        <f t="shared" si="3"/>
        <v>1</v>
      </c>
      <c r="AB23" s="1475">
        <f t="shared" si="4"/>
        <v>1</v>
      </c>
      <c r="AC23" s="1475">
        <f t="shared" si="5"/>
        <v>1</v>
      </c>
    </row>
    <row r="24" spans="1:29" ht="15.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83"/>
      <c r="M24" s="2877"/>
      <c r="N24" s="2877"/>
      <c r="O24" s="2935"/>
      <c r="P24" s="3516"/>
      <c r="Q24" s="1474">
        <f t="shared" ref="Q24:Q34" si="11">B24</f>
        <v>111</v>
      </c>
      <c r="R24" s="702" t="s">
        <v>17</v>
      </c>
      <c r="S24" s="703">
        <f>F24</f>
        <v>100</v>
      </c>
      <c r="T24" s="702" t="s">
        <v>17</v>
      </c>
      <c r="U24" s="703">
        <f>H24</f>
        <v>100</v>
      </c>
      <c r="V24" s="702" t="s">
        <v>17</v>
      </c>
      <c r="W24" s="703">
        <f>J24</f>
        <v>100</v>
      </c>
      <c r="X24" s="1477"/>
      <c r="Y24" s="3516"/>
      <c r="Z24" s="1478">
        <f>Q24</f>
        <v>111</v>
      </c>
      <c r="AA24" s="1475">
        <f t="shared" si="3"/>
        <v>1</v>
      </c>
      <c r="AB24" s="1475">
        <f t="shared" si="4"/>
        <v>1</v>
      </c>
      <c r="AC24" s="1475">
        <f t="shared" si="5"/>
        <v>1</v>
      </c>
    </row>
    <row r="25" spans="1:29" s="110" customFormat="1" ht="16"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78"/>
      <c r="M25" s="2879"/>
      <c r="N25" s="2879"/>
      <c r="O25" s="2933"/>
      <c r="P25" s="3516"/>
      <c r="Q25" s="1465">
        <f t="shared" si="11"/>
        <v>111</v>
      </c>
      <c r="R25" s="698" t="s">
        <v>17</v>
      </c>
      <c r="S25" s="699">
        <f>F25</f>
        <v>100</v>
      </c>
      <c r="T25" s="698" t="s">
        <v>17</v>
      </c>
      <c r="U25" s="699">
        <f>H25</f>
        <v>100</v>
      </c>
      <c r="V25" s="698" t="s">
        <v>17</v>
      </c>
      <c r="W25" s="699">
        <f>J25</f>
        <v>100</v>
      </c>
      <c r="X25" s="700"/>
      <c r="Y25" s="3516"/>
      <c r="Z25" s="55">
        <f>Q25</f>
        <v>111</v>
      </c>
      <c r="AA25" s="1475">
        <f>D25/F25</f>
        <v>1</v>
      </c>
      <c r="AB25" s="1475">
        <f>D25/H25</f>
        <v>1</v>
      </c>
      <c r="AC25" s="1475">
        <f>D25/J25</f>
        <v>1</v>
      </c>
    </row>
    <row r="26" spans="1:29" ht="29">
      <c r="A26" s="415" t="s">
        <v>2143</v>
      </c>
      <c r="B26" s="67" t="s">
        <v>2294</v>
      </c>
      <c r="C26" s="2091"/>
      <c r="D26" s="416">
        <v>100</v>
      </c>
      <c r="E26" s="2091"/>
      <c r="F26" s="613">
        <f>SUMIF(77:77,E26,78:78)-SUMIF(77:77,C26,78:78)+100</f>
        <v>100</v>
      </c>
      <c r="G26" s="2091"/>
      <c r="H26" s="416">
        <f>SUMIF(77:77,G26,78:78)-SUMIF(77:77,C26,78:78)+100</f>
        <v>100</v>
      </c>
      <c r="I26" s="2091"/>
      <c r="J26" s="416">
        <f>SUMIF(77:77,I26,78:78)-SUMIF(77:77,C26,78:78)+100</f>
        <v>100</v>
      </c>
      <c r="K26" s="559"/>
      <c r="L26" s="2883"/>
      <c r="M26" s="2877"/>
      <c r="N26" s="2877"/>
      <c r="O26" s="2935"/>
      <c r="P26" s="3517" t="s">
        <v>2145</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518" t="s">
        <v>2145</v>
      </c>
      <c r="Z26" s="1478" t="str">
        <f t="shared" ref="Z26:Z34" si="15">Q26</f>
        <v>公共部分装修</v>
      </c>
      <c r="AA26" s="1475">
        <f t="shared" si="3"/>
        <v>1</v>
      </c>
      <c r="AB26" s="1475">
        <f t="shared" si="4"/>
        <v>1</v>
      </c>
      <c r="AC26" s="1475">
        <f t="shared" si="5"/>
        <v>1</v>
      </c>
    </row>
    <row r="27" spans="1:29" s="420" customFormat="1" ht="15.5">
      <c r="A27" s="417"/>
      <c r="B27" s="371" t="s">
        <v>2295</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82"/>
      <c r="M27" s="2884"/>
      <c r="N27" s="2884"/>
      <c r="O27" s="2936"/>
      <c r="P27" s="3518"/>
      <c r="Q27" s="704" t="str">
        <f t="shared" si="11"/>
        <v>成新率</v>
      </c>
      <c r="R27" s="705" t="s">
        <v>17</v>
      </c>
      <c r="S27" s="706" t="e">
        <f t="shared" si="12"/>
        <v>#N/A</v>
      </c>
      <c r="T27" s="705" t="s">
        <v>17</v>
      </c>
      <c r="U27" s="706" t="e">
        <f t="shared" si="13"/>
        <v>#N/A</v>
      </c>
      <c r="V27" s="705" t="s">
        <v>17</v>
      </c>
      <c r="W27" s="706" t="e">
        <f t="shared" si="14"/>
        <v>#N/A</v>
      </c>
      <c r="X27" s="707"/>
      <c r="Y27" s="3518"/>
      <c r="Z27" s="708" t="str">
        <f t="shared" si="15"/>
        <v>成新率</v>
      </c>
      <c r="AA27" s="1475" t="e">
        <f t="shared" si="3"/>
        <v>#N/A</v>
      </c>
      <c r="AB27" s="1475" t="e">
        <f t="shared" si="4"/>
        <v>#N/A</v>
      </c>
      <c r="AC27" s="1475" t="e">
        <f t="shared" si="5"/>
        <v>#N/A</v>
      </c>
    </row>
    <row r="28" spans="1:29" ht="15.5">
      <c r="A28" s="421"/>
      <c r="B28" s="371" t="s">
        <v>2296</v>
      </c>
      <c r="C28" s="409"/>
      <c r="D28" s="384">
        <v>100</v>
      </c>
      <c r="E28" s="409"/>
      <c r="F28" s="410">
        <f>SUMIF(82:82,E28,83:83)-SUMIF(82:82,C28,83:83)+100</f>
        <v>100</v>
      </c>
      <c r="G28" s="409"/>
      <c r="H28" s="384">
        <f>SUMIF(82:82,G28,83:83)-SUMIF(82:82,C28,83:83)+100</f>
        <v>100</v>
      </c>
      <c r="I28" s="409"/>
      <c r="J28" s="384">
        <f>SUMIF(82:82,I28,83:83)-SUMIF(82:82,C28,83:83)+100</f>
        <v>100</v>
      </c>
      <c r="K28" s="559"/>
      <c r="L28" s="2883"/>
      <c r="M28" s="2877"/>
      <c r="N28" s="2877"/>
      <c r="O28" s="2935"/>
      <c r="P28" s="3518"/>
      <c r="Q28" s="1474" t="str">
        <f t="shared" si="11"/>
        <v>物业等级</v>
      </c>
      <c r="R28" s="702" t="s">
        <v>17</v>
      </c>
      <c r="S28" s="703">
        <f t="shared" si="12"/>
        <v>100</v>
      </c>
      <c r="T28" s="702" t="s">
        <v>17</v>
      </c>
      <c r="U28" s="703">
        <f t="shared" si="13"/>
        <v>100</v>
      </c>
      <c r="V28" s="702" t="s">
        <v>17</v>
      </c>
      <c r="W28" s="703">
        <f t="shared" si="14"/>
        <v>100</v>
      </c>
      <c r="X28" s="1477"/>
      <c r="Y28" s="3518"/>
      <c r="Z28" s="1478" t="str">
        <f t="shared" si="15"/>
        <v>物业等级</v>
      </c>
      <c r="AA28" s="1475">
        <f t="shared" si="3"/>
        <v>1</v>
      </c>
      <c r="AB28" s="1475">
        <f t="shared" si="4"/>
        <v>1</v>
      </c>
      <c r="AC28" s="1475">
        <f t="shared" si="5"/>
        <v>1</v>
      </c>
    </row>
    <row r="29" spans="1:29" ht="15.5">
      <c r="A29" s="421"/>
      <c r="B29" s="371" t="s">
        <v>2317</v>
      </c>
      <c r="C29" s="603"/>
      <c r="D29" s="384">
        <v>100</v>
      </c>
      <c r="E29" s="603"/>
      <c r="F29" s="410">
        <f>SUMIF(84:84,E29,85:85)-SUMIF(84:84,C29,85:85)+100</f>
        <v>100</v>
      </c>
      <c r="G29" s="603"/>
      <c r="H29" s="384">
        <f>SUMIF(84:84,G29,85:85)-SUMIF(84:84,C29,85:85)+100</f>
        <v>100</v>
      </c>
      <c r="I29" s="603"/>
      <c r="J29" s="384">
        <f>SUMIF(84:84,I29,85:85)-SUMIF(84:84,C29,85:85)+100</f>
        <v>100</v>
      </c>
      <c r="K29" s="559"/>
      <c r="L29" s="2883"/>
      <c r="M29" s="2877"/>
      <c r="N29" s="2877"/>
      <c r="O29" s="2935"/>
      <c r="P29" s="3518"/>
      <c r="Q29" s="1474" t="str">
        <f t="shared" si="11"/>
        <v>有无电梯</v>
      </c>
      <c r="R29" s="702" t="s">
        <v>17</v>
      </c>
      <c r="S29" s="703">
        <f t="shared" si="12"/>
        <v>100</v>
      </c>
      <c r="T29" s="702" t="s">
        <v>17</v>
      </c>
      <c r="U29" s="703">
        <f t="shared" si="13"/>
        <v>100</v>
      </c>
      <c r="V29" s="702" t="s">
        <v>17</v>
      </c>
      <c r="W29" s="703">
        <f t="shared" si="14"/>
        <v>100</v>
      </c>
      <c r="X29" s="1477"/>
      <c r="Y29" s="3518"/>
      <c r="Z29" s="1478" t="str">
        <f t="shared" si="15"/>
        <v>有无电梯</v>
      </c>
      <c r="AA29" s="1475">
        <f t="shared" si="3"/>
        <v>1</v>
      </c>
      <c r="AB29" s="1475">
        <f t="shared" si="4"/>
        <v>1</v>
      </c>
      <c r="AC29" s="1475">
        <f t="shared" si="5"/>
        <v>1</v>
      </c>
    </row>
    <row r="30" spans="1:29" ht="15.5">
      <c r="A30" s="421"/>
      <c r="B30" s="371" t="s">
        <v>2318</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83"/>
      <c r="M30" s="2877"/>
      <c r="N30" s="2877"/>
      <c r="O30" s="2935"/>
      <c r="P30" s="3518"/>
      <c r="Q30" s="1474" t="str">
        <f t="shared" si="11"/>
        <v>建筑面积</v>
      </c>
      <c r="R30" s="702" t="s">
        <v>17</v>
      </c>
      <c r="S30" s="703" t="e">
        <f t="shared" si="12"/>
        <v>#N/A</v>
      </c>
      <c r="T30" s="702" t="s">
        <v>17</v>
      </c>
      <c r="U30" s="703" t="e">
        <f t="shared" si="13"/>
        <v>#N/A</v>
      </c>
      <c r="V30" s="702" t="s">
        <v>17</v>
      </c>
      <c r="W30" s="703" t="e">
        <f t="shared" si="14"/>
        <v>#N/A</v>
      </c>
      <c r="X30" s="1477"/>
      <c r="Y30" s="3518"/>
      <c r="Z30" s="1478" t="str">
        <f t="shared" si="15"/>
        <v>建筑面积</v>
      </c>
      <c r="AA30" s="1475" t="e">
        <f t="shared" si="3"/>
        <v>#N/A</v>
      </c>
      <c r="AB30" s="1475" t="e">
        <f t="shared" si="4"/>
        <v>#N/A</v>
      </c>
      <c r="AC30" s="1475" t="e">
        <f t="shared" si="5"/>
        <v>#N/A</v>
      </c>
    </row>
    <row r="31" spans="1:29" s="110" customFormat="1" ht="15.5">
      <c r="A31" s="422"/>
      <c r="B31" s="371" t="s">
        <v>2319</v>
      </c>
      <c r="C31" s="603"/>
      <c r="D31" s="122">
        <v>100</v>
      </c>
      <c r="E31" s="603"/>
      <c r="F31" s="410">
        <f>SUMIF(89:89,E31,90:90)-SUMIF(89:89,C31,90:90)+100</f>
        <v>100</v>
      </c>
      <c r="G31" s="603"/>
      <c r="H31" s="384">
        <f>SUMIF(89:89,G31,90:90)-SUMIF(89:89,C31,90:90)+100</f>
        <v>100</v>
      </c>
      <c r="I31" s="603"/>
      <c r="J31" s="384">
        <f>SUMIF(89:89,I31,90:90)-SUMIF(89:89,C31,90:90)+100</f>
        <v>100</v>
      </c>
      <c r="K31" s="559"/>
      <c r="L31" s="2878"/>
      <c r="M31" s="2879"/>
      <c r="N31" s="2879"/>
      <c r="O31" s="2933"/>
      <c r="P31" s="3518"/>
      <c r="Q31" s="1465" t="str">
        <f t="shared" si="11"/>
        <v>是否封闭</v>
      </c>
      <c r="R31" s="698" t="s">
        <v>17</v>
      </c>
      <c r="S31" s="699">
        <f t="shared" si="12"/>
        <v>100</v>
      </c>
      <c r="T31" s="698" t="s">
        <v>17</v>
      </c>
      <c r="U31" s="699">
        <f t="shared" si="13"/>
        <v>100</v>
      </c>
      <c r="V31" s="698" t="s">
        <v>17</v>
      </c>
      <c r="W31" s="699">
        <f t="shared" si="14"/>
        <v>100</v>
      </c>
      <c r="X31" s="700"/>
      <c r="Y31" s="3518"/>
      <c r="Z31" s="55" t="str">
        <f t="shared" si="15"/>
        <v>是否封闭</v>
      </c>
      <c r="AA31" s="701">
        <f t="shared" si="3"/>
        <v>1</v>
      </c>
      <c r="AB31" s="701">
        <f t="shared" si="4"/>
        <v>1</v>
      </c>
      <c r="AC31" s="701">
        <f t="shared" si="5"/>
        <v>1</v>
      </c>
    </row>
    <row r="32" spans="1:29" ht="15.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83"/>
      <c r="M32" s="2877"/>
      <c r="N32" s="2877"/>
      <c r="O32" s="2935"/>
      <c r="P32" s="3518" t="s">
        <v>2145</v>
      </c>
      <c r="Q32" s="1474">
        <f t="shared" si="11"/>
        <v>111</v>
      </c>
      <c r="R32" s="702" t="s">
        <v>17</v>
      </c>
      <c r="S32" s="703">
        <f t="shared" si="12"/>
        <v>100</v>
      </c>
      <c r="T32" s="702" t="s">
        <v>17</v>
      </c>
      <c r="U32" s="703">
        <f t="shared" si="13"/>
        <v>100</v>
      </c>
      <c r="V32" s="702" t="s">
        <v>17</v>
      </c>
      <c r="W32" s="703">
        <f t="shared" si="14"/>
        <v>100</v>
      </c>
      <c r="X32" s="1477"/>
      <c r="Y32" s="3518" t="s">
        <v>2145</v>
      </c>
      <c r="Z32" s="1478">
        <f t="shared" si="15"/>
        <v>111</v>
      </c>
      <c r="AA32" s="1475">
        <f t="shared" si="3"/>
        <v>1</v>
      </c>
      <c r="AB32" s="1475">
        <f t="shared" si="4"/>
        <v>1</v>
      </c>
      <c r="AC32" s="1475">
        <f t="shared" si="5"/>
        <v>1</v>
      </c>
    </row>
    <row r="33" spans="1:30" ht="15.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83"/>
      <c r="M33" s="2877"/>
      <c r="N33" s="2877"/>
      <c r="O33" s="2935"/>
      <c r="P33" s="3518"/>
      <c r="Q33" s="1474">
        <f t="shared" si="11"/>
        <v>111</v>
      </c>
      <c r="R33" s="702" t="s">
        <v>17</v>
      </c>
      <c r="S33" s="703">
        <f t="shared" si="12"/>
        <v>100</v>
      </c>
      <c r="T33" s="702" t="s">
        <v>17</v>
      </c>
      <c r="U33" s="703">
        <f t="shared" si="13"/>
        <v>100</v>
      </c>
      <c r="V33" s="702" t="s">
        <v>17</v>
      </c>
      <c r="W33" s="703">
        <f t="shared" si="14"/>
        <v>100</v>
      </c>
      <c r="X33" s="1477"/>
      <c r="Y33" s="3518"/>
      <c r="Z33" s="1478">
        <f t="shared" si="15"/>
        <v>111</v>
      </c>
      <c r="AA33" s="1475">
        <f t="shared" si="3"/>
        <v>1</v>
      </c>
      <c r="AB33" s="1475">
        <f t="shared" si="4"/>
        <v>1</v>
      </c>
      <c r="AC33" s="1475">
        <f t="shared" si="5"/>
        <v>1</v>
      </c>
    </row>
    <row r="34" spans="1:30" ht="16"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83"/>
      <c r="M34" s="2877"/>
      <c r="N34" s="2877"/>
      <c r="O34" s="2935"/>
      <c r="P34" s="3518"/>
      <c r="Q34" s="1474">
        <f t="shared" si="11"/>
        <v>111</v>
      </c>
      <c r="R34" s="702" t="s">
        <v>17</v>
      </c>
      <c r="S34" s="703">
        <f t="shared" si="12"/>
        <v>100</v>
      </c>
      <c r="T34" s="702" t="s">
        <v>17</v>
      </c>
      <c r="U34" s="703">
        <f t="shared" si="13"/>
        <v>100</v>
      </c>
      <c r="V34" s="702" t="s">
        <v>17</v>
      </c>
      <c r="W34" s="703">
        <f t="shared" si="14"/>
        <v>100</v>
      </c>
      <c r="X34" s="1477"/>
      <c r="Y34" s="3518"/>
      <c r="Z34" s="1478">
        <f t="shared" si="15"/>
        <v>111</v>
      </c>
      <c r="AA34" s="1475">
        <f t="shared" si="3"/>
        <v>1</v>
      </c>
      <c r="AB34" s="1475">
        <f t="shared" si="4"/>
        <v>1</v>
      </c>
      <c r="AC34" s="1475">
        <f t="shared" si="5"/>
        <v>1</v>
      </c>
    </row>
    <row r="35" spans="1:30">
      <c r="A35" s="428" t="s">
        <v>2157</v>
      </c>
      <c r="B35" s="429"/>
      <c r="C35" s="1257" t="s">
        <v>1</v>
      </c>
      <c r="D35" s="1258"/>
      <c r="E35" s="1259"/>
      <c r="F35" s="1260"/>
      <c r="G35" s="1261"/>
      <c r="H35" s="1262"/>
      <c r="I35" s="1259"/>
      <c r="J35" s="1262"/>
      <c r="K35" s="711"/>
      <c r="L35" s="2885"/>
      <c r="M35" s="2886"/>
      <c r="N35" s="2877"/>
      <c r="O35" s="2886"/>
      <c r="P35" s="3500" t="str">
        <f>A35</f>
        <v>成交单价（元/平方米）</v>
      </c>
      <c r="Q35" s="3500"/>
      <c r="R35" s="3555">
        <f>E35</f>
        <v>0</v>
      </c>
      <c r="S35" s="3555"/>
      <c r="T35" s="3555">
        <f>G35</f>
        <v>0</v>
      </c>
      <c r="U35" s="3555"/>
      <c r="V35" s="3555">
        <f>I35</f>
        <v>0</v>
      </c>
      <c r="W35" s="3555"/>
      <c r="X35" s="687"/>
      <c r="Y35" s="709"/>
      <c r="Z35" s="687"/>
      <c r="AA35" s="687"/>
      <c r="AB35" s="687"/>
      <c r="AC35" s="687"/>
    </row>
    <row r="36" spans="1:30" ht="14.5" thickBot="1">
      <c r="A36" s="435" t="s">
        <v>2249</v>
      </c>
      <c r="B36" s="436"/>
      <c r="C36" s="1263" t="e">
        <f>R37</f>
        <v>#DIV/0!</v>
      </c>
      <c r="D36" s="2476" t="s">
        <v>2639</v>
      </c>
      <c r="E36" s="1264" t="e">
        <f>R36</f>
        <v>#DIV/0!</v>
      </c>
      <c r="F36" s="2477"/>
      <c r="G36" s="1263" t="e">
        <f>T36</f>
        <v>#DIV/0!</v>
      </c>
      <c r="H36" s="2477"/>
      <c r="I36" s="1264" t="e">
        <f>V36</f>
        <v>#DIV/0!</v>
      </c>
      <c r="J36" s="2477"/>
      <c r="K36" s="2479">
        <f>F36+H36+J36</f>
        <v>0</v>
      </c>
      <c r="L36" s="2885"/>
      <c r="M36" s="2886"/>
      <c r="N36" s="2877"/>
      <c r="O36" s="2886"/>
      <c r="P36" s="3500" t="str">
        <f>A36</f>
        <v>比较价值（元/平方米）</v>
      </c>
      <c r="Q36" s="3500"/>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687"/>
      <c r="Y36" s="687"/>
      <c r="Z36" s="687"/>
      <c r="AA36" s="687"/>
      <c r="AB36" s="687"/>
      <c r="AC36" s="687"/>
    </row>
    <row r="37" spans="1:30" ht="14.5" thickBot="1">
      <c r="A37" s="439" t="s">
        <v>2250</v>
      </c>
      <c r="B37" s="440"/>
      <c r="C37" s="1266" t="e">
        <f>R37</f>
        <v>#DIV/0!</v>
      </c>
      <c r="D37" s="1266"/>
      <c r="E37" s="1266"/>
      <c r="F37" s="1266"/>
      <c r="G37" s="1266"/>
      <c r="H37" s="1266"/>
      <c r="I37" s="1266"/>
      <c r="J37" s="1266"/>
      <c r="K37" s="712"/>
      <c r="L37" s="2885"/>
      <c r="M37" s="2886"/>
      <c r="N37" s="2886"/>
      <c r="O37" s="2886"/>
      <c r="P37" s="3520" t="str">
        <f>A37</f>
        <v>估价对象XX用房的比较价值（楼面单价，元/平方米）</v>
      </c>
      <c r="Q37" s="3521"/>
      <c r="R37" s="3577" t="e">
        <f>IF(F1="售价",ROUND(IF(D36="简单平均",AVERAGE(R36:W36),R36*F36+T36*H36+V36*J36),0),ROUND(IF(D36="简单平均",AVERAGE(R36:V36),R36*F36+T36*H36+V36*J36),1))</f>
        <v>#DIV/0!</v>
      </c>
      <c r="S37" s="3577"/>
      <c r="T37" s="3577"/>
      <c r="U37" s="3577"/>
      <c r="V37" s="3577"/>
      <c r="W37" s="3577"/>
      <c r="X37" s="687"/>
      <c r="Y37" s="687"/>
      <c r="Z37" s="687"/>
      <c r="AA37" s="687"/>
      <c r="AB37" s="687"/>
      <c r="AC37" s="687"/>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4" t="s">
        <v>2251</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4" t="s">
        <v>2252</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49" customFormat="1" ht="13.5" customHeight="1">
      <c r="A42" s="2889"/>
      <c r="B42" s="2889"/>
      <c r="C42" s="444" t="s">
        <v>2253</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49"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1.5" thickBot="1">
      <c r="A45" s="691" t="s">
        <v>2254</v>
      </c>
      <c r="B45" s="687"/>
      <c r="C45" s="692"/>
      <c r="D45" s="692"/>
      <c r="E45" s="692"/>
      <c r="F45" s="693"/>
      <c r="G45" s="693"/>
      <c r="H45" s="692"/>
      <c r="I45" s="692"/>
      <c r="J45" s="692"/>
      <c r="K45" s="694"/>
      <c r="L45" s="695"/>
      <c r="M45" s="692"/>
      <c r="N45" s="2930"/>
      <c r="O45" s="2930"/>
      <c r="P45" s="2930"/>
      <c r="Q45" s="2900"/>
      <c r="R45" s="2886"/>
      <c r="S45" s="2886"/>
      <c r="T45" s="2886"/>
      <c r="U45" s="2886"/>
      <c r="V45" s="2886"/>
      <c r="W45" s="2886"/>
      <c r="X45" s="2886"/>
      <c r="Y45" s="2886"/>
      <c r="Z45" s="2886"/>
      <c r="AA45" s="2886"/>
      <c r="AB45" s="2886"/>
      <c r="AC45" s="2886"/>
      <c r="AD45" s="2886"/>
    </row>
    <row r="46" spans="1:30" s="455" customFormat="1">
      <c r="A46" s="452" t="s">
        <v>2128</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37"/>
      <c r="Q46" s="2902"/>
      <c r="R46" s="2902"/>
      <c r="S46" s="2902"/>
      <c r="T46" s="2902"/>
      <c r="U46" s="2902"/>
      <c r="V46" s="2902"/>
      <c r="W46" s="2902"/>
      <c r="X46" s="2902"/>
      <c r="Y46" s="2902"/>
      <c r="Z46" s="2902"/>
      <c r="AA46" s="2902"/>
      <c r="AB46" s="2902"/>
      <c r="AC46" s="2902"/>
      <c r="AD46" s="2902"/>
    </row>
    <row r="47" spans="1:30" s="110" customFormat="1">
      <c r="A47" s="456"/>
      <c r="B47" s="457"/>
      <c r="C47" s="1285">
        <v>100</v>
      </c>
      <c r="D47" s="459"/>
      <c r="E47" s="459"/>
      <c r="F47" s="459"/>
      <c r="G47" s="459"/>
      <c r="H47" s="459"/>
      <c r="I47" s="459"/>
      <c r="J47" s="459"/>
      <c r="K47" s="459"/>
      <c r="L47" s="459"/>
      <c r="M47" s="460"/>
      <c r="N47" s="459"/>
      <c r="O47" s="461"/>
      <c r="P47" s="2900"/>
      <c r="Q47" s="2821"/>
      <c r="R47" s="2821"/>
      <c r="S47" s="2821"/>
      <c r="T47" s="2821"/>
      <c r="U47" s="2821"/>
      <c r="V47" s="2821"/>
      <c r="W47" s="2821"/>
      <c r="X47" s="2821"/>
      <c r="Y47" s="2821"/>
      <c r="Z47" s="2821"/>
      <c r="AA47" s="2821"/>
      <c r="AB47" s="2821"/>
      <c r="AC47" s="2821"/>
      <c r="AD47" s="2821"/>
    </row>
    <row r="48" spans="1:30" s="110" customFormat="1" ht="14.5" thickBot="1">
      <c r="A48" s="462" t="s">
        <v>2165</v>
      </c>
      <c r="B48" s="463"/>
      <c r="C48" s="464"/>
      <c r="D48" s="465"/>
      <c r="E48" s="465"/>
      <c r="F48" s="465"/>
      <c r="G48" s="465"/>
      <c r="H48" s="465"/>
      <c r="I48" s="465"/>
      <c r="J48" s="465"/>
      <c r="K48" s="465"/>
      <c r="L48" s="465"/>
      <c r="M48" s="466"/>
      <c r="N48" s="465"/>
      <c r="O48" s="467"/>
      <c r="P48" s="2900"/>
      <c r="Q48" s="2900"/>
      <c r="R48" s="2821"/>
      <c r="S48" s="2821"/>
      <c r="T48" s="2821"/>
      <c r="U48" s="2821"/>
      <c r="V48" s="2821"/>
      <c r="W48" s="2821"/>
      <c r="X48" s="2821"/>
      <c r="Y48" s="2821"/>
      <c r="Z48" s="2821"/>
      <c r="AA48" s="2821"/>
      <c r="AB48" s="2821"/>
      <c r="AC48" s="2821"/>
      <c r="AD48" s="2821"/>
    </row>
    <row r="49" spans="1:30" s="110" customFormat="1">
      <c r="A49" s="468" t="s">
        <v>2130</v>
      </c>
      <c r="B49" s="457"/>
      <c r="C49" s="469" t="s">
        <v>2232</v>
      </c>
      <c r="D49" s="470"/>
      <c r="E49" s="470"/>
      <c r="F49" s="470"/>
      <c r="G49" s="470"/>
      <c r="H49" s="470"/>
      <c r="I49" s="470"/>
      <c r="J49" s="470"/>
      <c r="K49" s="470"/>
      <c r="L49" s="471"/>
      <c r="M49" s="472"/>
      <c r="N49" s="2913"/>
      <c r="O49" s="2913"/>
      <c r="P49" s="2938"/>
      <c r="Q49" s="2900"/>
      <c r="R49" s="2821"/>
      <c r="S49" s="2821"/>
      <c r="T49" s="2821"/>
      <c r="U49" s="2821"/>
      <c r="V49" s="2821"/>
      <c r="W49" s="2821"/>
      <c r="X49" s="2821"/>
      <c r="Y49" s="2821"/>
      <c r="Z49" s="2821"/>
      <c r="AA49" s="2821"/>
      <c r="AB49" s="2821"/>
      <c r="AC49" s="2821"/>
      <c r="AD49" s="2821"/>
    </row>
    <row r="50" spans="1:30" s="110" customFormat="1" ht="14.5" thickBot="1">
      <c r="A50" s="468"/>
      <c r="B50" s="457"/>
      <c r="C50" s="585">
        <v>100</v>
      </c>
      <c r="D50" s="459"/>
      <c r="E50" s="459"/>
      <c r="F50" s="459"/>
      <c r="G50" s="459"/>
      <c r="H50" s="459"/>
      <c r="I50" s="459"/>
      <c r="J50" s="459"/>
      <c r="K50" s="459"/>
      <c r="L50" s="459"/>
      <c r="M50" s="461"/>
      <c r="N50" s="2913"/>
      <c r="O50" s="2913"/>
      <c r="P50" s="2900"/>
      <c r="Q50" s="2900"/>
      <c r="R50" s="2821"/>
      <c r="S50" s="2821"/>
      <c r="T50" s="2821"/>
      <c r="U50" s="2821"/>
      <c r="V50" s="2821"/>
      <c r="W50" s="2821"/>
      <c r="X50" s="2821"/>
      <c r="Y50" s="2821"/>
      <c r="Z50" s="2821"/>
      <c r="AA50" s="2821"/>
      <c r="AB50" s="2821"/>
      <c r="AC50" s="2821"/>
      <c r="AD50" s="2821"/>
    </row>
    <row r="51" spans="1:30">
      <c r="A51" s="474" t="s">
        <v>2168</v>
      </c>
      <c r="B51" s="475" t="s">
        <v>2134</v>
      </c>
      <c r="C51" s="476">
        <f>C9</f>
        <v>0</v>
      </c>
      <c r="D51" s="477"/>
      <c r="E51" s="477"/>
      <c r="F51" s="477"/>
      <c r="G51" s="477"/>
      <c r="H51" s="477"/>
      <c r="I51" s="477"/>
      <c r="J51" s="477"/>
      <c r="K51" s="478"/>
      <c r="L51" s="479"/>
      <c r="M51" s="480"/>
      <c r="N51" s="2914"/>
      <c r="O51" s="2914"/>
      <c r="P51" s="2939"/>
      <c r="Q51" s="2900"/>
      <c r="R51" s="2886"/>
      <c r="S51" s="2886"/>
      <c r="T51" s="2886"/>
      <c r="U51" s="2886"/>
      <c r="V51" s="2886"/>
      <c r="W51" s="2886"/>
      <c r="X51" s="2886"/>
      <c r="Y51" s="2886"/>
      <c r="Z51" s="2886"/>
      <c r="AA51" s="2886"/>
      <c r="AB51" s="2886"/>
      <c r="AC51" s="2886"/>
      <c r="AD51" s="2886"/>
    </row>
    <row r="52" spans="1:30" ht="14.5" thickBot="1">
      <c r="A52" s="481"/>
      <c r="B52" s="482"/>
      <c r="C52" s="483">
        <v>100</v>
      </c>
      <c r="D52" s="483"/>
      <c r="E52" s="483"/>
      <c r="F52" s="483"/>
      <c r="G52" s="483"/>
      <c r="H52" s="483"/>
      <c r="I52" s="483"/>
      <c r="J52" s="483"/>
      <c r="K52" s="483"/>
      <c r="L52" s="483"/>
      <c r="M52" s="484"/>
      <c r="N52" s="2915"/>
      <c r="O52" s="2915"/>
      <c r="P52" s="2939"/>
      <c r="Q52" s="2900"/>
      <c r="R52" s="2886"/>
      <c r="S52" s="2886"/>
      <c r="T52" s="2886"/>
      <c r="U52" s="2886"/>
      <c r="V52" s="2886"/>
      <c r="W52" s="2886"/>
      <c r="X52" s="2886"/>
      <c r="Y52" s="2886"/>
      <c r="Z52" s="2886"/>
      <c r="AA52" s="2886"/>
      <c r="AB52" s="2886"/>
      <c r="AC52" s="2886"/>
      <c r="AD52" s="2886"/>
    </row>
    <row r="53" spans="1:30" ht="28.5" thickTop="1">
      <c r="A53" s="481"/>
      <c r="B53" s="485" t="s">
        <v>2137</v>
      </c>
      <c r="C53" s="486" t="s">
        <v>2169</v>
      </c>
      <c r="D53" s="486" t="s">
        <v>2170</v>
      </c>
      <c r="E53" s="486" t="s">
        <v>2171</v>
      </c>
      <c r="F53" s="486" t="s">
        <v>2172</v>
      </c>
      <c r="G53" s="486" t="s">
        <v>2173</v>
      </c>
      <c r="H53" s="486" t="s">
        <v>2174</v>
      </c>
      <c r="I53" s="486" t="s">
        <v>2175</v>
      </c>
      <c r="J53" s="486"/>
      <c r="K53" s="487"/>
      <c r="L53" s="488"/>
      <c r="M53" s="489"/>
      <c r="N53" s="2914"/>
      <c r="O53" s="2914"/>
      <c r="P53" s="2939"/>
      <c r="Q53" s="2900"/>
      <c r="R53" s="2886"/>
      <c r="S53" s="2886"/>
      <c r="T53" s="2886"/>
      <c r="U53" s="2886"/>
      <c r="V53" s="2886"/>
      <c r="W53" s="2886"/>
      <c r="X53" s="2886"/>
      <c r="Y53" s="2886"/>
      <c r="Z53" s="2886"/>
      <c r="AA53" s="2886"/>
      <c r="AB53" s="2886"/>
      <c r="AC53" s="2886"/>
      <c r="AD53" s="288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15"/>
      <c r="O54" s="2915"/>
      <c r="P54" s="2939"/>
      <c r="Q54" s="2900"/>
      <c r="R54" s="2886"/>
      <c r="S54" s="2886"/>
      <c r="T54" s="2886"/>
      <c r="U54" s="2886"/>
      <c r="V54" s="2886"/>
      <c r="W54" s="2886"/>
      <c r="X54" s="2886"/>
      <c r="Y54" s="2886"/>
      <c r="Z54" s="2886"/>
      <c r="AA54" s="2886"/>
      <c r="AB54" s="2886"/>
      <c r="AC54" s="2886"/>
      <c r="AD54" s="2886"/>
    </row>
    <row r="55" spans="1:30" ht="14.5" thickTop="1">
      <c r="A55" s="481"/>
      <c r="B55" s="606">
        <f>B11</f>
        <v>111</v>
      </c>
      <c r="C55" s="496"/>
      <c r="D55" s="496"/>
      <c r="E55" s="496"/>
      <c r="F55" s="496"/>
      <c r="G55" s="496"/>
      <c r="H55" s="496"/>
      <c r="I55" s="496"/>
      <c r="J55" s="496"/>
      <c r="K55" s="497"/>
      <c r="L55" s="498"/>
      <c r="M55" s="499"/>
      <c r="N55" s="2914"/>
      <c r="O55" s="2914"/>
      <c r="P55" s="2939"/>
      <c r="Q55" s="2900"/>
      <c r="R55" s="2886"/>
      <c r="S55" s="2886"/>
      <c r="T55" s="2886"/>
      <c r="U55" s="2886"/>
      <c r="V55" s="2886"/>
      <c r="W55" s="2886"/>
      <c r="X55" s="2886"/>
      <c r="Y55" s="2886"/>
      <c r="Z55" s="2886"/>
      <c r="AA55" s="2886"/>
      <c r="AB55" s="2886"/>
      <c r="AC55" s="2886"/>
      <c r="AD55" s="2886"/>
    </row>
    <row r="56" spans="1:30" ht="14.5" thickBot="1">
      <c r="A56" s="481"/>
      <c r="B56" s="482"/>
      <c r="C56" s="507"/>
      <c r="D56" s="483"/>
      <c r="E56" s="483"/>
      <c r="F56" s="483"/>
      <c r="G56" s="483"/>
      <c r="H56" s="483"/>
      <c r="I56" s="483"/>
      <c r="J56" s="483"/>
      <c r="K56" s="483"/>
      <c r="L56" s="483"/>
      <c r="M56" s="484"/>
      <c r="N56" s="2915"/>
      <c r="O56" s="2915"/>
      <c r="P56" s="2939"/>
      <c r="Q56" s="2900"/>
      <c r="R56" s="2886"/>
      <c r="S56" s="2886"/>
      <c r="T56" s="2886"/>
      <c r="U56" s="2886"/>
      <c r="V56" s="2886"/>
      <c r="W56" s="2886"/>
      <c r="X56" s="2886"/>
      <c r="Y56" s="2886"/>
      <c r="Z56" s="2886"/>
      <c r="AA56" s="2886"/>
      <c r="AB56" s="2886"/>
      <c r="AC56" s="2886"/>
      <c r="AD56" s="2886"/>
    </row>
    <row r="57" spans="1:30" s="420" customFormat="1" ht="14.5" thickTop="1">
      <c r="A57" s="500"/>
      <c r="B57" s="485">
        <f>B12</f>
        <v>111</v>
      </c>
      <c r="C57" s="496"/>
      <c r="D57" s="496"/>
      <c r="E57" s="496"/>
      <c r="F57" s="496"/>
      <c r="G57" s="501"/>
      <c r="H57" s="502"/>
      <c r="I57" s="502"/>
      <c r="J57" s="502"/>
      <c r="K57" s="502"/>
      <c r="L57" s="503"/>
      <c r="M57" s="504"/>
      <c r="N57" s="2916"/>
      <c r="O57" s="2916"/>
      <c r="P57" s="2940"/>
      <c r="Q57" s="2907"/>
      <c r="R57" s="2908"/>
      <c r="S57" s="2908"/>
      <c r="T57" s="2908"/>
      <c r="U57" s="2908"/>
      <c r="V57" s="2908"/>
      <c r="W57" s="2908"/>
      <c r="X57" s="2908"/>
      <c r="Y57" s="2908"/>
      <c r="Z57" s="2908"/>
      <c r="AA57" s="2908"/>
      <c r="AB57" s="2908"/>
      <c r="AC57" s="2908"/>
      <c r="AD57" s="2908"/>
    </row>
    <row r="58" spans="1:30" s="420" customFormat="1" ht="14.5" thickBot="1">
      <c r="A58" s="500"/>
      <c r="B58" s="490"/>
      <c r="C58" s="507"/>
      <c r="D58" s="483"/>
      <c r="E58" s="483"/>
      <c r="F58" s="483"/>
      <c r="G58" s="483"/>
      <c r="H58" s="483"/>
      <c r="I58" s="483"/>
      <c r="J58" s="483"/>
      <c r="K58" s="483"/>
      <c r="L58" s="483"/>
      <c r="M58" s="484"/>
      <c r="N58" s="2915"/>
      <c r="O58" s="2915"/>
      <c r="P58" s="2940"/>
      <c r="Q58" s="2907"/>
      <c r="R58" s="2908"/>
      <c r="S58" s="2908"/>
      <c r="T58" s="2908"/>
      <c r="U58" s="2908"/>
      <c r="V58" s="2908"/>
      <c r="W58" s="2908"/>
      <c r="X58" s="2908"/>
      <c r="Y58" s="2908"/>
      <c r="Z58" s="2908"/>
      <c r="AA58" s="2908"/>
      <c r="AB58" s="2908"/>
      <c r="AC58" s="2908"/>
      <c r="AD58" s="2908"/>
    </row>
    <row r="59" spans="1:30" s="420" customFormat="1" ht="14.5" thickTop="1">
      <c r="A59" s="500"/>
      <c r="B59" s="485">
        <f>B13</f>
        <v>111</v>
      </c>
      <c r="C59" s="496"/>
      <c r="D59" s="496"/>
      <c r="E59" s="496"/>
      <c r="F59" s="496"/>
      <c r="G59" s="501"/>
      <c r="H59" s="502"/>
      <c r="I59" s="502"/>
      <c r="J59" s="502"/>
      <c r="K59" s="502"/>
      <c r="L59" s="503"/>
      <c r="M59" s="504"/>
      <c r="N59" s="2916"/>
      <c r="O59" s="2916"/>
      <c r="P59" s="2884"/>
      <c r="Q59" s="2910"/>
      <c r="R59" s="2908"/>
      <c r="S59" s="2908"/>
      <c r="T59" s="2908"/>
      <c r="U59" s="2908"/>
      <c r="V59" s="2908"/>
      <c r="W59" s="2908"/>
      <c r="X59" s="2908"/>
      <c r="Y59" s="2908"/>
      <c r="Z59" s="2908"/>
      <c r="AA59" s="2908"/>
      <c r="AB59" s="2908"/>
      <c r="AC59" s="2908"/>
      <c r="AD59" s="2908"/>
    </row>
    <row r="60" spans="1:30" s="420" customFormat="1" ht="14.5" thickBot="1">
      <c r="A60" s="500"/>
      <c r="B60" s="490"/>
      <c r="C60" s="507"/>
      <c r="D60" s="507"/>
      <c r="E60" s="507"/>
      <c r="F60" s="507"/>
      <c r="G60" s="507"/>
      <c r="H60" s="509"/>
      <c r="I60" s="509"/>
      <c r="J60" s="509"/>
      <c r="K60" s="509"/>
      <c r="L60" s="509"/>
      <c r="M60" s="510"/>
      <c r="N60" s="2916"/>
      <c r="O60" s="2916"/>
      <c r="P60" s="2940"/>
      <c r="Q60" s="2907"/>
      <c r="R60" s="2908"/>
      <c r="S60" s="2908"/>
      <c r="T60" s="2908"/>
      <c r="U60" s="2908"/>
      <c r="V60" s="2908"/>
      <c r="W60" s="2908"/>
      <c r="X60" s="2908"/>
      <c r="Y60" s="2908"/>
      <c r="Z60" s="2908"/>
      <c r="AA60" s="2908"/>
      <c r="AB60" s="2908"/>
      <c r="AC60" s="2908"/>
      <c r="AD60" s="2908"/>
    </row>
    <row r="61" spans="1:30" ht="14.5" thickTop="1">
      <c r="A61" s="474" t="s">
        <v>2139</v>
      </c>
      <c r="B61" s="475" t="s">
        <v>2182</v>
      </c>
      <c r="C61" s="520" t="s">
        <v>2177</v>
      </c>
      <c r="D61" s="520" t="s">
        <v>2178</v>
      </c>
      <c r="E61" s="520" t="s">
        <v>2179</v>
      </c>
      <c r="F61" s="520" t="s">
        <v>2180</v>
      </c>
      <c r="G61" s="520" t="s">
        <v>2181</v>
      </c>
      <c r="H61" s="476"/>
      <c r="I61" s="476"/>
      <c r="J61" s="476"/>
      <c r="K61" s="521"/>
      <c r="L61" s="522"/>
      <c r="M61" s="523"/>
      <c r="N61" s="2914"/>
      <c r="O61" s="2914"/>
      <c r="P61" s="2941"/>
      <c r="Q61" s="2900"/>
      <c r="R61" s="2886"/>
      <c r="S61" s="2886"/>
      <c r="T61" s="2886"/>
      <c r="U61" s="2886"/>
      <c r="V61" s="2886"/>
      <c r="W61" s="2886"/>
      <c r="X61" s="2886"/>
      <c r="Y61" s="2886"/>
      <c r="Z61" s="2886"/>
      <c r="AA61" s="2886"/>
      <c r="AB61" s="2886"/>
      <c r="AC61" s="2886"/>
      <c r="AD61" s="288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15"/>
      <c r="O62" s="2915"/>
      <c r="P62" s="2939"/>
      <c r="Q62" s="2900"/>
      <c r="R62" s="2886"/>
      <c r="S62" s="2886"/>
      <c r="T62" s="2886"/>
      <c r="U62" s="2886"/>
      <c r="V62" s="2886"/>
      <c r="W62" s="2886"/>
      <c r="X62" s="2886"/>
      <c r="Y62" s="2886"/>
      <c r="Z62" s="2886"/>
      <c r="AA62" s="2886"/>
      <c r="AB62" s="2886"/>
      <c r="AC62" s="2886"/>
      <c r="AD62" s="2886"/>
    </row>
    <row r="63" spans="1:30" ht="28.5" thickTop="1">
      <c r="A63" s="481"/>
      <c r="B63" s="485" t="s">
        <v>2320</v>
      </c>
      <c r="C63" s="525" t="s">
        <v>2177</v>
      </c>
      <c r="D63" s="525" t="s">
        <v>2178</v>
      </c>
      <c r="E63" s="525" t="s">
        <v>2179</v>
      </c>
      <c r="F63" s="525" t="s">
        <v>2180</v>
      </c>
      <c r="G63" s="525" t="s">
        <v>2181</v>
      </c>
      <c r="H63" s="486"/>
      <c r="I63" s="486"/>
      <c r="J63" s="486"/>
      <c r="K63" s="487"/>
      <c r="L63" s="488"/>
      <c r="M63" s="489"/>
      <c r="N63" s="2914"/>
      <c r="O63" s="2914"/>
      <c r="P63" s="2939"/>
      <c r="Q63" s="2900"/>
      <c r="R63" s="2886"/>
      <c r="S63" s="2886"/>
      <c r="T63" s="2886"/>
      <c r="U63" s="2886"/>
      <c r="V63" s="2886"/>
      <c r="W63" s="2886"/>
      <c r="X63" s="2886"/>
      <c r="Y63" s="2886"/>
      <c r="Z63" s="2886"/>
      <c r="AA63" s="2886"/>
      <c r="AB63" s="2886"/>
      <c r="AC63" s="2886"/>
      <c r="AD63" s="288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15"/>
      <c r="O64" s="2915"/>
      <c r="P64" s="2939"/>
      <c r="Q64" s="2900"/>
      <c r="R64" s="2886"/>
      <c r="S64" s="2886"/>
      <c r="T64" s="2886"/>
      <c r="U64" s="2886"/>
      <c r="V64" s="2886"/>
      <c r="W64" s="2886"/>
      <c r="X64" s="2886"/>
      <c r="Y64" s="2886"/>
      <c r="Z64" s="2886"/>
      <c r="AA64" s="2886"/>
      <c r="AB64" s="2886"/>
      <c r="AC64" s="2886"/>
      <c r="AD64" s="2886"/>
    </row>
    <row r="65" spans="1:30" ht="14.5" thickTop="1">
      <c r="A65" s="481"/>
      <c r="B65" s="493" t="s">
        <v>2269</v>
      </c>
      <c r="C65" s="606" t="s">
        <v>2255</v>
      </c>
      <c r="D65" s="606" t="s">
        <v>2256</v>
      </c>
      <c r="E65" s="606" t="s">
        <v>2257</v>
      </c>
      <c r="F65" s="606" t="s">
        <v>2258</v>
      </c>
      <c r="G65" s="606" t="s">
        <v>2259</v>
      </c>
      <c r="H65" s="486"/>
      <c r="I65" s="486"/>
      <c r="J65" s="486"/>
      <c r="K65" s="486"/>
      <c r="L65" s="486"/>
      <c r="M65" s="1232"/>
      <c r="N65" s="2915"/>
      <c r="O65" s="2915"/>
      <c r="P65" s="2939"/>
      <c r="Q65" s="2900"/>
      <c r="R65" s="2886"/>
      <c r="S65" s="2886"/>
      <c r="T65" s="2886"/>
      <c r="U65" s="2886"/>
      <c r="V65" s="2886"/>
      <c r="W65" s="2886"/>
      <c r="X65" s="2886"/>
      <c r="Y65" s="2886"/>
      <c r="Z65" s="2886"/>
      <c r="AA65" s="2886"/>
      <c r="AB65" s="2886"/>
      <c r="AC65" s="2886"/>
      <c r="AD65" s="288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15"/>
      <c r="O66" s="2915"/>
      <c r="P66" s="2939"/>
      <c r="Q66" s="2900"/>
      <c r="R66" s="2886"/>
      <c r="S66" s="2886"/>
      <c r="T66" s="2886"/>
      <c r="U66" s="2886"/>
      <c r="V66" s="2886"/>
      <c r="W66" s="2886"/>
      <c r="X66" s="2886"/>
      <c r="Y66" s="2886"/>
      <c r="Z66" s="2886"/>
      <c r="AA66" s="2886"/>
      <c r="AB66" s="2886"/>
      <c r="AC66" s="2886"/>
      <c r="AD66" s="2886"/>
    </row>
    <row r="67" spans="1:30" ht="14.5" thickTop="1">
      <c r="A67" s="481"/>
      <c r="B67" s="485" t="s">
        <v>2189</v>
      </c>
      <c r="C67" s="525" t="s">
        <v>2177</v>
      </c>
      <c r="D67" s="525" t="s">
        <v>2178</v>
      </c>
      <c r="E67" s="525" t="s">
        <v>2179</v>
      </c>
      <c r="F67" s="525" t="s">
        <v>2180</v>
      </c>
      <c r="G67" s="525" t="s">
        <v>2181</v>
      </c>
      <c r="H67" s="486"/>
      <c r="I67" s="486"/>
      <c r="J67" s="486"/>
      <c r="K67" s="487"/>
      <c r="L67" s="488"/>
      <c r="M67" s="489"/>
      <c r="N67" s="2914"/>
      <c r="O67" s="2914"/>
      <c r="P67" s="2939"/>
      <c r="Q67" s="2900"/>
      <c r="R67" s="2886"/>
      <c r="S67" s="2886"/>
      <c r="T67" s="2886"/>
      <c r="U67" s="2886"/>
      <c r="V67" s="2886"/>
      <c r="W67" s="2886"/>
      <c r="X67" s="2886"/>
      <c r="Y67" s="2886"/>
      <c r="Z67" s="2886"/>
      <c r="AA67" s="2886"/>
      <c r="AB67" s="2886"/>
      <c r="AC67" s="2886"/>
      <c r="AD67" s="288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15"/>
      <c r="O68" s="2915"/>
      <c r="P68" s="2939"/>
      <c r="Q68" s="2900"/>
      <c r="R68" s="2886"/>
      <c r="S68" s="2886"/>
      <c r="T68" s="2886"/>
      <c r="U68" s="2886"/>
      <c r="V68" s="2886"/>
      <c r="W68" s="2886"/>
      <c r="X68" s="2886"/>
      <c r="Y68" s="2886"/>
      <c r="Z68" s="2886"/>
      <c r="AA68" s="2886"/>
      <c r="AB68" s="2886"/>
      <c r="AC68" s="2886"/>
      <c r="AD68" s="2886"/>
    </row>
    <row r="69" spans="1:30" ht="14.5" thickTop="1">
      <c r="A69" s="481"/>
      <c r="B69" s="485" t="s">
        <v>2309</v>
      </c>
      <c r="C69" s="501"/>
      <c r="D69" s="501"/>
      <c r="E69" s="501"/>
      <c r="F69" s="501"/>
      <c r="G69" s="501"/>
      <c r="H69" s="530"/>
      <c r="I69" s="530"/>
      <c r="J69" s="530"/>
      <c r="K69" s="531"/>
      <c r="L69" s="532"/>
      <c r="M69" s="533"/>
      <c r="N69" s="2914"/>
      <c r="O69" s="2914"/>
      <c r="P69" s="2939"/>
      <c r="Q69" s="2900"/>
      <c r="R69" s="2886"/>
      <c r="S69" s="2886"/>
      <c r="T69" s="2886"/>
      <c r="U69" s="2886"/>
      <c r="V69" s="2886"/>
      <c r="W69" s="2886"/>
      <c r="X69" s="2886"/>
      <c r="Y69" s="2886"/>
      <c r="Z69" s="2886"/>
      <c r="AA69" s="2886"/>
      <c r="AB69" s="2886"/>
      <c r="AC69" s="2886"/>
      <c r="AD69" s="2886"/>
    </row>
    <row r="70" spans="1:30" ht="14.5" thickBot="1">
      <c r="A70" s="481"/>
      <c r="B70" s="490"/>
      <c r="C70" s="491">
        <v>100</v>
      </c>
      <c r="D70" s="491">
        <f>C70-$K22</f>
        <v>100</v>
      </c>
      <c r="E70" s="491"/>
      <c r="F70" s="491"/>
      <c r="G70" s="491"/>
      <c r="H70" s="491"/>
      <c r="I70" s="491"/>
      <c r="J70" s="491"/>
      <c r="K70" s="491"/>
      <c r="L70" s="491"/>
      <c r="M70" s="492"/>
      <c r="N70" s="2915"/>
      <c r="O70" s="2915"/>
      <c r="P70" s="2939"/>
      <c r="Q70" s="2900"/>
      <c r="R70" s="2886"/>
      <c r="S70" s="2886"/>
      <c r="T70" s="2886"/>
      <c r="U70" s="2886"/>
      <c r="V70" s="2886"/>
      <c r="W70" s="2886"/>
      <c r="X70" s="2886"/>
      <c r="Y70" s="2886"/>
      <c r="Z70" s="2886"/>
      <c r="AA70" s="2886"/>
      <c r="AB70" s="2886"/>
      <c r="AC70" s="2886"/>
      <c r="AD70" s="2886"/>
    </row>
    <row r="71" spans="1:30" s="110" customFormat="1" ht="14.5" thickTop="1">
      <c r="A71" s="526"/>
      <c r="B71" s="485">
        <f>B23</f>
        <v>111</v>
      </c>
      <c r="C71" s="496"/>
      <c r="D71" s="496"/>
      <c r="E71" s="496"/>
      <c r="F71" s="496"/>
      <c r="G71" s="501"/>
      <c r="H71" s="501"/>
      <c r="I71" s="501"/>
      <c r="J71" s="501"/>
      <c r="K71" s="501"/>
      <c r="L71" s="527"/>
      <c r="M71" s="528"/>
      <c r="N71" s="2913"/>
      <c r="O71" s="2913"/>
      <c r="P71" s="2939"/>
      <c r="Q71" s="2900"/>
      <c r="R71" s="2821"/>
      <c r="S71" s="2821"/>
      <c r="T71" s="2821"/>
      <c r="U71" s="2821"/>
      <c r="V71" s="2821"/>
      <c r="W71" s="2821"/>
      <c r="X71" s="2821"/>
      <c r="Y71" s="2821"/>
      <c r="Z71" s="2821"/>
      <c r="AA71" s="2821"/>
      <c r="AB71" s="2821"/>
      <c r="AC71" s="2821"/>
      <c r="AD71" s="2821"/>
    </row>
    <row r="72" spans="1:30" s="110" customFormat="1" ht="14.5" thickBot="1">
      <c r="A72" s="526"/>
      <c r="B72" s="490"/>
      <c r="C72" s="507"/>
      <c r="D72" s="483"/>
      <c r="E72" s="483"/>
      <c r="F72" s="483"/>
      <c r="G72" s="483"/>
      <c r="H72" s="483"/>
      <c r="I72" s="483"/>
      <c r="J72" s="483"/>
      <c r="K72" s="483"/>
      <c r="L72" s="483"/>
      <c r="M72" s="484"/>
      <c r="N72" s="2915"/>
      <c r="O72" s="2915"/>
      <c r="P72" s="2939"/>
      <c r="Q72" s="2900"/>
      <c r="R72" s="2821"/>
      <c r="S72" s="2821"/>
      <c r="T72" s="2821"/>
      <c r="U72" s="2821"/>
      <c r="V72" s="2821"/>
      <c r="W72" s="2821"/>
      <c r="X72" s="2821"/>
      <c r="Y72" s="2821"/>
      <c r="Z72" s="2821"/>
      <c r="AA72" s="2821"/>
      <c r="AB72" s="2821"/>
      <c r="AC72" s="2821"/>
      <c r="AD72" s="2821"/>
    </row>
    <row r="73" spans="1:30" s="110" customFormat="1" ht="14.5" thickTop="1">
      <c r="A73" s="526"/>
      <c r="B73" s="485">
        <f>B24</f>
        <v>111</v>
      </c>
      <c r="C73" s="496"/>
      <c r="D73" s="496"/>
      <c r="E73" s="496"/>
      <c r="F73" s="496"/>
      <c r="G73" s="501"/>
      <c r="H73" s="501"/>
      <c r="I73" s="501"/>
      <c r="J73" s="501"/>
      <c r="K73" s="501"/>
      <c r="L73" s="501"/>
      <c r="M73" s="528"/>
      <c r="N73" s="2913"/>
      <c r="O73" s="2913"/>
      <c r="P73" s="2939"/>
      <c r="Q73" s="2900"/>
      <c r="R73" s="2821"/>
      <c r="S73" s="2821"/>
      <c r="T73" s="2821"/>
      <c r="U73" s="2821"/>
      <c r="V73" s="2821"/>
      <c r="W73" s="2821"/>
      <c r="X73" s="2821"/>
      <c r="Y73" s="2821"/>
      <c r="Z73" s="2821"/>
      <c r="AA73" s="2821"/>
      <c r="AB73" s="2821"/>
      <c r="AC73" s="2821"/>
      <c r="AD73" s="2821"/>
    </row>
    <row r="74" spans="1:30" s="110" customFormat="1" ht="14.5" thickBot="1">
      <c r="A74" s="526"/>
      <c r="B74" s="490"/>
      <c r="C74" s="507"/>
      <c r="D74" s="483"/>
      <c r="E74" s="483"/>
      <c r="F74" s="483"/>
      <c r="G74" s="483"/>
      <c r="H74" s="483"/>
      <c r="I74" s="483"/>
      <c r="J74" s="483"/>
      <c r="K74" s="483"/>
      <c r="L74" s="483"/>
      <c r="M74" s="484"/>
      <c r="N74" s="2915"/>
      <c r="O74" s="2915"/>
      <c r="P74" s="2939"/>
      <c r="Q74" s="2900"/>
      <c r="R74" s="2821"/>
      <c r="S74" s="2821"/>
      <c r="T74" s="2821"/>
      <c r="U74" s="2821"/>
      <c r="V74" s="2821"/>
      <c r="W74" s="2821"/>
      <c r="X74" s="2821"/>
      <c r="Y74" s="2821"/>
      <c r="Z74" s="2821"/>
      <c r="AA74" s="2821"/>
      <c r="AB74" s="2821"/>
      <c r="AC74" s="2821"/>
      <c r="AD74" s="2821"/>
    </row>
    <row r="75" spans="1:30" s="420" customFormat="1" ht="14.5" thickTop="1">
      <c r="A75" s="500"/>
      <c r="B75" s="485">
        <f>B25</f>
        <v>111</v>
      </c>
      <c r="C75" s="496"/>
      <c r="D75" s="496"/>
      <c r="E75" s="496"/>
      <c r="F75" s="496"/>
      <c r="G75" s="501"/>
      <c r="H75" s="502"/>
      <c r="I75" s="502"/>
      <c r="J75" s="502"/>
      <c r="K75" s="502"/>
      <c r="L75" s="503"/>
      <c r="M75" s="504"/>
      <c r="N75" s="2916"/>
      <c r="O75" s="2916"/>
      <c r="P75" s="2940"/>
      <c r="Q75" s="2907"/>
      <c r="R75" s="2908"/>
      <c r="S75" s="2908"/>
      <c r="T75" s="2908"/>
      <c r="U75" s="2908"/>
      <c r="V75" s="2908"/>
      <c r="W75" s="2908"/>
      <c r="X75" s="2908"/>
      <c r="Y75" s="2908"/>
      <c r="Z75" s="2908"/>
      <c r="AA75" s="2908"/>
      <c r="AB75" s="2908"/>
      <c r="AC75" s="2908"/>
      <c r="AD75" s="2908"/>
    </row>
    <row r="76" spans="1:30" s="420" customFormat="1" ht="14.5" thickBot="1">
      <c r="A76" s="500"/>
      <c r="B76" s="490"/>
      <c r="C76" s="507"/>
      <c r="D76" s="507"/>
      <c r="E76" s="507"/>
      <c r="F76" s="507"/>
      <c r="G76" s="483"/>
      <c r="H76" s="483"/>
      <c r="I76" s="483"/>
      <c r="J76" s="483"/>
      <c r="K76" s="483"/>
      <c r="L76" s="483"/>
      <c r="M76" s="484"/>
      <c r="N76" s="2916"/>
      <c r="O76" s="2916"/>
      <c r="P76" s="2940"/>
      <c r="Q76" s="2907"/>
      <c r="R76" s="2908"/>
      <c r="S76" s="2908"/>
      <c r="T76" s="2908"/>
      <c r="U76" s="2908"/>
      <c r="V76" s="2908"/>
      <c r="W76" s="2908"/>
      <c r="X76" s="2908"/>
      <c r="Y76" s="2908"/>
      <c r="Z76" s="2908"/>
      <c r="AA76" s="2908"/>
      <c r="AB76" s="2908"/>
      <c r="AC76" s="2908"/>
      <c r="AD76" s="2908"/>
    </row>
    <row r="77" spans="1:30" ht="14.5" thickTop="1">
      <c r="A77" s="474" t="s">
        <v>2143</v>
      </c>
      <c r="B77" s="475" t="s">
        <v>2196</v>
      </c>
      <c r="C77" s="501"/>
      <c r="D77" s="501"/>
      <c r="E77" s="477"/>
      <c r="F77" s="477"/>
      <c r="G77" s="477"/>
      <c r="H77" s="477"/>
      <c r="I77" s="477"/>
      <c r="J77" s="477"/>
      <c r="K77" s="478"/>
      <c r="L77" s="479"/>
      <c r="M77" s="480"/>
      <c r="N77" s="2914"/>
      <c r="O77" s="2914"/>
      <c r="P77" s="2939"/>
      <c r="Q77" s="2900"/>
      <c r="R77" s="2886"/>
      <c r="S77" s="2886"/>
      <c r="T77" s="2886"/>
      <c r="U77" s="2886"/>
      <c r="V77" s="2886"/>
      <c r="W77" s="2886"/>
      <c r="X77" s="2886"/>
      <c r="Y77" s="2886"/>
      <c r="Z77" s="2886"/>
      <c r="AA77" s="2886"/>
      <c r="AB77" s="2886"/>
      <c r="AC77" s="2886"/>
      <c r="AD77" s="288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15"/>
      <c r="O78" s="2915"/>
      <c r="P78" s="2939"/>
      <c r="Q78" s="2900"/>
      <c r="R78" s="2886"/>
      <c r="S78" s="2886"/>
      <c r="T78" s="2886"/>
      <c r="U78" s="2886"/>
      <c r="V78" s="2886"/>
      <c r="W78" s="2886"/>
      <c r="X78" s="2886"/>
      <c r="Y78" s="2886"/>
      <c r="Z78" s="2886"/>
      <c r="AA78" s="2886"/>
      <c r="AB78" s="2886"/>
      <c r="AC78" s="2886"/>
      <c r="AD78" s="2886"/>
    </row>
    <row r="79" spans="1:30" ht="14.5" thickTop="1">
      <c r="A79" s="481"/>
      <c r="B79" s="485" t="s">
        <v>2312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13"/>
      <c r="O79" s="2913"/>
      <c r="P79" s="2939"/>
      <c r="Q79" s="2900"/>
      <c r="R79" s="2886"/>
      <c r="S79" s="2886"/>
      <c r="T79" s="2886"/>
      <c r="U79" s="2886"/>
      <c r="V79" s="2886"/>
      <c r="W79" s="2886"/>
      <c r="X79" s="2886"/>
      <c r="Y79" s="2886"/>
      <c r="Z79" s="2886"/>
      <c r="AA79" s="2886"/>
      <c r="AB79" s="2886"/>
      <c r="AC79" s="2886"/>
      <c r="AD79" s="2886"/>
    </row>
    <row r="80" spans="1:30">
      <c r="A80" s="481"/>
      <c r="B80" s="493"/>
      <c r="C80" s="550">
        <v>0.5</v>
      </c>
      <c r="D80" s="550">
        <v>0.6</v>
      </c>
      <c r="E80" s="550">
        <v>0.7</v>
      </c>
      <c r="F80" s="550">
        <v>0.8</v>
      </c>
      <c r="G80" s="550">
        <v>0.9</v>
      </c>
      <c r="H80" s="550">
        <v>1.0001</v>
      </c>
      <c r="I80" s="606"/>
      <c r="J80" s="606"/>
      <c r="K80" s="614"/>
      <c r="L80" s="615"/>
      <c r="M80" s="616"/>
      <c r="N80" s="2913"/>
      <c r="O80" s="2913"/>
      <c r="P80" s="2939"/>
      <c r="Q80" s="2900"/>
      <c r="R80" s="2886"/>
      <c r="S80" s="2886"/>
      <c r="T80" s="2886"/>
      <c r="U80" s="2886"/>
      <c r="V80" s="2886"/>
      <c r="W80" s="2886"/>
      <c r="X80" s="2886"/>
      <c r="Y80" s="2886"/>
      <c r="Z80" s="2886"/>
      <c r="AA80" s="2886"/>
      <c r="AB80" s="2886"/>
      <c r="AC80" s="2886"/>
      <c r="AD80" s="288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15"/>
      <c r="O81" s="2915"/>
      <c r="P81" s="2940"/>
      <c r="Q81" s="2907"/>
      <c r="R81" s="2908"/>
      <c r="S81" s="2908"/>
      <c r="T81" s="2908"/>
      <c r="U81" s="2908"/>
      <c r="V81" s="2908"/>
      <c r="W81" s="2908"/>
      <c r="X81" s="2908"/>
      <c r="Y81" s="2908"/>
      <c r="Z81" s="2908"/>
      <c r="AA81" s="2908"/>
      <c r="AB81" s="2908"/>
      <c r="AC81" s="2908"/>
      <c r="AD81" s="2908"/>
    </row>
    <row r="82" spans="1:30" ht="14.5" thickTop="1">
      <c r="A82" s="546"/>
      <c r="B82" s="493" t="s">
        <v>2313</v>
      </c>
      <c r="C82" s="501"/>
      <c r="D82" s="501"/>
      <c r="E82" s="530"/>
      <c r="F82" s="530"/>
      <c r="G82" s="530"/>
      <c r="H82" s="530"/>
      <c r="I82" s="530"/>
      <c r="J82" s="530"/>
      <c r="K82" s="531"/>
      <c r="L82" s="532"/>
      <c r="M82" s="533"/>
      <c r="N82" s="2914"/>
      <c r="O82" s="2914"/>
      <c r="P82" s="2939"/>
      <c r="Q82" s="2900"/>
      <c r="R82" s="2886"/>
      <c r="S82" s="2886"/>
      <c r="T82" s="2886"/>
      <c r="U82" s="2886"/>
      <c r="V82" s="2886"/>
      <c r="W82" s="2886"/>
      <c r="X82" s="2886"/>
      <c r="Y82" s="2886"/>
      <c r="Z82" s="2886"/>
      <c r="AA82" s="2886"/>
      <c r="AB82" s="2886"/>
      <c r="AC82" s="2886"/>
      <c r="AD82" s="288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15"/>
      <c r="O83" s="2915"/>
      <c r="P83" s="2939"/>
      <c r="Q83" s="2900"/>
      <c r="R83" s="2886"/>
      <c r="S83" s="2886"/>
      <c r="T83" s="2886"/>
      <c r="U83" s="2886"/>
      <c r="V83" s="2886"/>
      <c r="W83" s="2886"/>
      <c r="X83" s="2886"/>
      <c r="Y83" s="2886"/>
      <c r="Z83" s="2886"/>
      <c r="AA83" s="2886"/>
      <c r="AB83" s="2886"/>
      <c r="AC83" s="2886"/>
      <c r="AD83" s="2886"/>
    </row>
    <row r="84" spans="1:30" ht="14.5" thickTop="1">
      <c r="A84" s="546"/>
      <c r="B84" s="485" t="s">
        <v>2321</v>
      </c>
      <c r="C84" s="501"/>
      <c r="D84" s="501"/>
      <c r="E84" s="501"/>
      <c r="F84" s="501"/>
      <c r="G84" s="501"/>
      <c r="H84" s="501"/>
      <c r="I84" s="530"/>
      <c r="J84" s="530"/>
      <c r="K84" s="531"/>
      <c r="L84" s="532"/>
      <c r="M84" s="533"/>
      <c r="N84" s="2914"/>
      <c r="O84" s="2914"/>
      <c r="P84" s="2939"/>
      <c r="Q84" s="2900"/>
      <c r="R84" s="2886"/>
      <c r="S84" s="2886"/>
      <c r="T84" s="2886"/>
      <c r="U84" s="2886"/>
      <c r="V84" s="2886"/>
      <c r="W84" s="2886"/>
      <c r="X84" s="2886"/>
      <c r="Y84" s="2886"/>
      <c r="Z84" s="2886"/>
      <c r="AA84" s="2886"/>
      <c r="AB84" s="2886"/>
      <c r="AC84" s="2886"/>
      <c r="AD84" s="288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15"/>
      <c r="O85" s="2915"/>
      <c r="P85" s="2939"/>
      <c r="Q85" s="2900"/>
      <c r="R85" s="2886"/>
      <c r="S85" s="2886"/>
      <c r="T85" s="2886"/>
      <c r="U85" s="2886"/>
      <c r="V85" s="2886"/>
      <c r="W85" s="2886"/>
      <c r="X85" s="2886"/>
      <c r="Y85" s="2886"/>
      <c r="Z85" s="2886"/>
      <c r="AA85" s="2886"/>
      <c r="AB85" s="2886"/>
      <c r="AC85" s="2886"/>
      <c r="AD85" s="2886"/>
    </row>
    <row r="86" spans="1:30" ht="14.5" thickTop="1">
      <c r="A86" s="546"/>
      <c r="B86" s="493" t="s">
        <v>2322</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6"/>
      <c r="B87" s="493"/>
      <c r="C87" s="542"/>
      <c r="D87" s="542"/>
      <c r="E87" s="542"/>
      <c r="F87" s="542"/>
      <c r="G87" s="542"/>
      <c r="H87" s="542"/>
      <c r="I87" s="542"/>
      <c r="J87" s="543"/>
      <c r="K87" s="543"/>
      <c r="L87" s="544"/>
      <c r="M87" s="545"/>
      <c r="N87" s="2914"/>
      <c r="O87" s="2914"/>
      <c r="P87" s="2939"/>
      <c r="Q87" s="2900"/>
      <c r="R87" s="2886"/>
      <c r="S87" s="2886"/>
      <c r="T87" s="2886"/>
      <c r="U87" s="2886"/>
      <c r="V87" s="2886"/>
      <c r="W87" s="2886"/>
      <c r="X87" s="2886"/>
      <c r="Y87" s="2886"/>
      <c r="Z87" s="2886"/>
      <c r="AA87" s="2886"/>
      <c r="AB87" s="2886"/>
      <c r="AC87" s="2886"/>
      <c r="AD87" s="2886"/>
    </row>
    <row r="88" spans="1:30" ht="14.5" thickBot="1">
      <c r="A88" s="481"/>
      <c r="B88" s="490"/>
      <c r="C88" s="507"/>
      <c r="D88" s="483"/>
      <c r="E88" s="483"/>
      <c r="F88" s="483"/>
      <c r="G88" s="483"/>
      <c r="H88" s="483"/>
      <c r="I88" s="483"/>
      <c r="J88" s="483"/>
      <c r="K88" s="483"/>
      <c r="L88" s="483"/>
      <c r="M88" s="483"/>
      <c r="N88" s="2915"/>
      <c r="O88" s="2915"/>
      <c r="P88" s="2939"/>
      <c r="Q88" s="2900"/>
      <c r="R88" s="2886"/>
      <c r="S88" s="2886"/>
      <c r="T88" s="2886"/>
      <c r="U88" s="2886"/>
      <c r="V88" s="2886"/>
      <c r="W88" s="2886"/>
      <c r="X88" s="2886"/>
      <c r="Y88" s="2886"/>
      <c r="Z88" s="2886"/>
      <c r="AA88" s="2886"/>
      <c r="AB88" s="2886"/>
      <c r="AC88" s="2886"/>
      <c r="AD88" s="2886"/>
    </row>
    <row r="89" spans="1:30" s="420" customFormat="1" ht="14.5" thickTop="1">
      <c r="A89" s="540"/>
      <c r="B89" s="485" t="s">
        <v>2323</v>
      </c>
      <c r="C89" s="501"/>
      <c r="D89" s="501"/>
      <c r="E89" s="501"/>
      <c r="F89" s="501"/>
      <c r="G89" s="501"/>
      <c r="H89" s="501"/>
      <c r="I89" s="501"/>
      <c r="J89" s="501"/>
      <c r="K89" s="501"/>
      <c r="L89" s="501"/>
      <c r="M89" s="528"/>
      <c r="N89" s="2916"/>
      <c r="O89" s="2916"/>
      <c r="P89" s="2940"/>
      <c r="Q89" s="2907"/>
      <c r="R89" s="2908"/>
      <c r="S89" s="2908"/>
      <c r="T89" s="2908"/>
      <c r="U89" s="2908"/>
      <c r="V89" s="2908"/>
      <c r="W89" s="2908"/>
      <c r="X89" s="2908"/>
      <c r="Y89" s="2908"/>
      <c r="Z89" s="2908"/>
      <c r="AA89" s="2908"/>
      <c r="AB89" s="2908"/>
      <c r="AC89" s="2908"/>
      <c r="AD89" s="2908"/>
    </row>
    <row r="90" spans="1:30" s="420" customFormat="1" ht="14.5" thickBot="1">
      <c r="A90" s="500"/>
      <c r="B90" s="490"/>
      <c r="C90" s="507"/>
      <c r="D90" s="483"/>
      <c r="E90" s="483"/>
      <c r="F90" s="483"/>
      <c r="G90" s="483"/>
      <c r="H90" s="483"/>
      <c r="I90" s="483"/>
      <c r="J90" s="483"/>
      <c r="K90" s="483"/>
      <c r="L90" s="483"/>
      <c r="M90" s="484"/>
      <c r="N90" s="2916"/>
      <c r="O90" s="2916"/>
      <c r="P90" s="2940"/>
      <c r="Q90" s="2907"/>
      <c r="R90" s="2908"/>
      <c r="S90" s="2908"/>
      <c r="T90" s="2908"/>
      <c r="U90" s="2908"/>
      <c r="V90" s="2908"/>
      <c r="W90" s="2908"/>
      <c r="X90" s="2908"/>
      <c r="Y90" s="2908"/>
      <c r="Z90" s="2908"/>
      <c r="AA90" s="2908"/>
      <c r="AB90" s="2908"/>
      <c r="AC90" s="2908"/>
      <c r="AD90" s="2908"/>
    </row>
    <row r="91" spans="1:30" ht="14.5" thickTop="1">
      <c r="A91" s="546"/>
      <c r="B91" s="485">
        <f>B32</f>
        <v>111</v>
      </c>
      <c r="C91" s="496"/>
      <c r="D91" s="496"/>
      <c r="E91" s="496"/>
      <c r="F91" s="496"/>
      <c r="G91" s="501"/>
      <c r="H91" s="502"/>
      <c r="I91" s="502"/>
      <c r="J91" s="502"/>
      <c r="K91" s="502"/>
      <c r="L91" s="503"/>
      <c r="M91" s="504"/>
      <c r="N91" s="2914"/>
      <c r="O91" s="2914"/>
      <c r="P91" s="2939"/>
      <c r="Q91" s="2900"/>
      <c r="R91" s="2886"/>
      <c r="S91" s="2886"/>
      <c r="T91" s="2886"/>
      <c r="U91" s="2886"/>
      <c r="V91" s="2886"/>
      <c r="W91" s="2886"/>
      <c r="X91" s="2886"/>
      <c r="Y91" s="2886"/>
      <c r="Z91" s="2886"/>
      <c r="AA91" s="2886"/>
      <c r="AB91" s="2886"/>
      <c r="AC91" s="2886"/>
      <c r="AD91" s="2886"/>
    </row>
    <row r="92" spans="1:30" ht="14.5" thickBot="1">
      <c r="A92" s="481"/>
      <c r="B92" s="490"/>
      <c r="C92" s="507"/>
      <c r="D92" s="483"/>
      <c r="E92" s="483"/>
      <c r="F92" s="483"/>
      <c r="G92" s="507"/>
      <c r="H92" s="509"/>
      <c r="I92" s="509"/>
      <c r="J92" s="509"/>
      <c r="K92" s="509"/>
      <c r="L92" s="509"/>
      <c r="M92" s="510"/>
      <c r="N92" s="2915"/>
      <c r="O92" s="2915"/>
      <c r="P92" s="2939"/>
      <c r="Q92" s="2900"/>
      <c r="R92" s="2886"/>
      <c r="S92" s="2886"/>
      <c r="T92" s="2886"/>
      <c r="U92" s="2886"/>
      <c r="V92" s="2886"/>
      <c r="W92" s="2886"/>
      <c r="X92" s="2886"/>
      <c r="Y92" s="2886"/>
      <c r="Z92" s="2886"/>
      <c r="AA92" s="2886"/>
      <c r="AB92" s="2886"/>
      <c r="AC92" s="2886"/>
      <c r="AD92" s="2886"/>
    </row>
    <row r="93" spans="1:30" ht="14.5" thickTop="1">
      <c r="A93" s="546"/>
      <c r="B93" s="485">
        <f>B33</f>
        <v>111</v>
      </c>
      <c r="C93" s="496"/>
      <c r="D93" s="496"/>
      <c r="E93" s="496"/>
      <c r="F93" s="496"/>
      <c r="G93" s="501"/>
      <c r="H93" s="502"/>
      <c r="I93" s="502"/>
      <c r="J93" s="502"/>
      <c r="K93" s="502"/>
      <c r="L93" s="503"/>
      <c r="M93" s="504"/>
      <c r="N93" s="2914"/>
      <c r="O93" s="2914"/>
      <c r="P93" s="2939"/>
      <c r="Q93" s="2900"/>
      <c r="R93" s="2886"/>
      <c r="S93" s="2886"/>
      <c r="T93" s="2886"/>
      <c r="U93" s="2886"/>
      <c r="V93" s="2886"/>
      <c r="W93" s="2886"/>
      <c r="X93" s="2886"/>
      <c r="Y93" s="2886"/>
      <c r="Z93" s="2886"/>
      <c r="AA93" s="2886"/>
      <c r="AB93" s="2886"/>
      <c r="AC93" s="2886"/>
      <c r="AD93" s="2886"/>
    </row>
    <row r="94" spans="1:30" ht="14.5" thickBot="1">
      <c r="A94" s="481"/>
      <c r="B94" s="490"/>
      <c r="C94" s="507"/>
      <c r="D94" s="483"/>
      <c r="E94" s="483"/>
      <c r="F94" s="483"/>
      <c r="G94" s="507"/>
      <c r="H94" s="509"/>
      <c r="I94" s="509"/>
      <c r="J94" s="509"/>
      <c r="K94" s="509"/>
      <c r="L94" s="509"/>
      <c r="M94" s="510"/>
      <c r="N94" s="2915"/>
      <c r="O94" s="2915"/>
      <c r="P94" s="2939"/>
      <c r="Q94" s="2900"/>
      <c r="R94" s="2886"/>
      <c r="S94" s="2886"/>
      <c r="T94" s="2886"/>
      <c r="U94" s="2886"/>
      <c r="V94" s="2886"/>
      <c r="W94" s="2886"/>
      <c r="X94" s="2886"/>
      <c r="Y94" s="2886"/>
      <c r="Z94" s="2886"/>
      <c r="AA94" s="2886"/>
      <c r="AB94" s="2886"/>
      <c r="AC94" s="2886"/>
      <c r="AD94" s="2886"/>
    </row>
    <row r="95" spans="1:30" ht="14.5" thickTop="1">
      <c r="A95" s="546"/>
      <c r="B95" s="582">
        <f>B34</f>
        <v>111</v>
      </c>
      <c r="C95" s="496"/>
      <c r="D95" s="496"/>
      <c r="E95" s="496"/>
      <c r="F95" s="496"/>
      <c r="G95" s="501"/>
      <c r="H95" s="502"/>
      <c r="I95" s="502"/>
      <c r="J95" s="502"/>
      <c r="K95" s="502"/>
      <c r="L95" s="503"/>
      <c r="M95" s="504"/>
      <c r="N95" s="2915"/>
      <c r="O95" s="2915"/>
      <c r="P95" s="2942"/>
      <c r="Q95" s="2929"/>
      <c r="R95" s="2886"/>
      <c r="S95" s="2886"/>
      <c r="T95" s="2886"/>
      <c r="U95" s="2886"/>
      <c r="V95" s="2886"/>
      <c r="W95" s="2886"/>
      <c r="X95" s="2886"/>
      <c r="Y95" s="2886"/>
      <c r="Z95" s="2886"/>
      <c r="AA95" s="2886"/>
      <c r="AB95" s="2886"/>
      <c r="AC95" s="2886"/>
      <c r="AD95" s="2886"/>
    </row>
    <row r="96" spans="1:30" ht="14.5" thickBot="1">
      <c r="A96" s="481"/>
      <c r="B96" s="490"/>
      <c r="C96" s="507"/>
      <c r="D96" s="507"/>
      <c r="E96" s="507"/>
      <c r="F96" s="507"/>
      <c r="G96" s="507"/>
      <c r="H96" s="509"/>
      <c r="I96" s="509"/>
      <c r="J96" s="509"/>
      <c r="K96" s="509"/>
      <c r="L96" s="509"/>
      <c r="M96" s="510"/>
      <c r="N96" s="2915"/>
      <c r="O96" s="2915"/>
      <c r="P96" s="2939"/>
      <c r="Q96" s="2900"/>
      <c r="R96" s="2886"/>
      <c r="S96" s="2886"/>
      <c r="T96" s="2886"/>
      <c r="U96" s="2886"/>
      <c r="V96" s="2886"/>
      <c r="W96" s="2886"/>
      <c r="X96" s="2886"/>
      <c r="Y96" s="2886"/>
      <c r="Z96" s="2886"/>
      <c r="AA96" s="2886"/>
      <c r="AB96" s="2886"/>
      <c r="AC96" s="2886"/>
      <c r="AD96" s="2886"/>
    </row>
    <row r="97" spans="1:30" ht="14.5"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2324</v>
      </c>
      <c r="B1" s="345"/>
      <c r="C1" s="346" t="s">
        <v>2375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1907</v>
      </c>
      <c r="B2" s="617" t="e">
        <f>F61</f>
        <v>#DIV/0!</v>
      </c>
      <c r="C2" s="1008"/>
      <c r="D2" s="1008"/>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ROUND(IF(D3="",B2*10000/'数据-汇总表'!E3,B2*10000/D3),0)</f>
        <v>#DIV/0!</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c r="A4" s="351" t="s">
        <v>2225</v>
      </c>
      <c r="B4" s="352"/>
      <c r="C4" s="3501" t="s">
        <v>2226</v>
      </c>
      <c r="D4" s="3502"/>
      <c r="E4" s="3503" t="s">
        <v>2227</v>
      </c>
      <c r="F4" s="3504"/>
      <c r="G4" s="3501" t="s">
        <v>2228</v>
      </c>
      <c r="H4" s="3502"/>
      <c r="I4" s="3501" t="s">
        <v>2229</v>
      </c>
      <c r="J4" s="3502"/>
      <c r="K4" s="557" t="s">
        <v>2230</v>
      </c>
      <c r="L4" s="2876"/>
      <c r="M4" s="2877"/>
      <c r="N4" s="2877"/>
      <c r="O4" s="2877"/>
      <c r="P4" s="3505" t="s">
        <v>2231</v>
      </c>
      <c r="Q4" s="3506"/>
      <c r="R4" s="3488" t="s">
        <v>2227</v>
      </c>
      <c r="S4" s="3489"/>
      <c r="T4" s="3488" t="s">
        <v>2228</v>
      </c>
      <c r="U4" s="3489"/>
      <c r="V4" s="3513" t="s">
        <v>2229</v>
      </c>
      <c r="W4" s="3513"/>
      <c r="X4" s="1477"/>
      <c r="Y4" s="3488" t="s">
        <v>2231</v>
      </c>
      <c r="Z4" s="3489"/>
      <c r="AA4" s="3483" t="s">
        <v>2227</v>
      </c>
      <c r="AB4" s="3484" t="s">
        <v>2228</v>
      </c>
      <c r="AC4" s="3483" t="s">
        <v>2229</v>
      </c>
    </row>
    <row r="5" spans="1:29">
      <c r="A5" s="354"/>
      <c r="B5" s="355"/>
      <c r="C5" s="3494" t="s">
        <v>2122</v>
      </c>
      <c r="D5" s="3495"/>
      <c r="E5" s="3492" t="s">
        <v>2123</v>
      </c>
      <c r="F5" s="3493"/>
      <c r="G5" s="3494" t="s">
        <v>2124</v>
      </c>
      <c r="H5" s="3495"/>
      <c r="I5" s="3494" t="s">
        <v>2125</v>
      </c>
      <c r="J5" s="3495"/>
      <c r="K5" s="557"/>
      <c r="L5" s="2876"/>
      <c r="M5" s="2877"/>
      <c r="N5" s="2877"/>
      <c r="O5" s="2877"/>
      <c r="P5" s="3507"/>
      <c r="Q5" s="3508"/>
      <c r="R5" s="3490"/>
      <c r="S5" s="3491"/>
      <c r="T5" s="3490"/>
      <c r="U5" s="3491"/>
      <c r="V5" s="3513"/>
      <c r="W5" s="3513"/>
      <c r="X5" s="1477"/>
      <c r="Y5" s="3490"/>
      <c r="Z5" s="3491"/>
      <c r="AA5" s="3484"/>
      <c r="AB5" s="3484"/>
      <c r="AC5" s="3484"/>
    </row>
    <row r="6" spans="1:29" ht="15" thickBot="1">
      <c r="A6" s="356"/>
      <c r="B6" s="357"/>
      <c r="C6" s="3578" t="s">
        <v>2376</v>
      </c>
      <c r="D6" s="3579"/>
      <c r="E6" s="3580" t="s">
        <v>2376</v>
      </c>
      <c r="F6" s="3581"/>
      <c r="G6" s="3578" t="s">
        <v>2376</v>
      </c>
      <c r="H6" s="3579"/>
      <c r="I6" s="3578" t="s">
        <v>2376</v>
      </c>
      <c r="J6" s="3579"/>
      <c r="K6" s="557" t="s">
        <v>2127</v>
      </c>
      <c r="L6" s="2876"/>
      <c r="M6" s="2877"/>
      <c r="N6" s="2877"/>
      <c r="O6" s="2877"/>
      <c r="P6" s="3509"/>
      <c r="Q6" s="3510"/>
      <c r="R6" s="3490"/>
      <c r="S6" s="3491"/>
      <c r="T6" s="3511"/>
      <c r="U6" s="3512"/>
      <c r="V6" s="3513"/>
      <c r="W6" s="3513"/>
      <c r="X6" s="1477"/>
      <c r="Y6" s="3511"/>
      <c r="Z6" s="3512"/>
      <c r="AA6" s="3485"/>
      <c r="AB6" s="3485"/>
      <c r="AC6" s="3485"/>
    </row>
    <row r="7" spans="1:29" s="110" customFormat="1" ht="14.5" thickBot="1">
      <c r="A7" s="358" t="s">
        <v>2128</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78"/>
      <c r="M7" s="2879"/>
      <c r="N7" s="2879"/>
      <c r="O7" s="2879"/>
      <c r="P7" s="3486" t="s">
        <v>2129</v>
      </c>
      <c r="Q7" s="3514"/>
      <c r="R7" s="698" t="s">
        <v>17</v>
      </c>
      <c r="S7" s="699">
        <f t="shared" ref="S7:S15" si="0">F7</f>
        <v>0</v>
      </c>
      <c r="T7" s="698" t="s">
        <v>17</v>
      </c>
      <c r="U7" s="699">
        <f t="shared" ref="U7:U15" si="1">H7</f>
        <v>0</v>
      </c>
      <c r="V7" s="698" t="s">
        <v>17</v>
      </c>
      <c r="W7" s="699">
        <f t="shared" ref="W7:W15" si="2">J7</f>
        <v>0</v>
      </c>
      <c r="X7" s="700"/>
      <c r="Y7" s="3486" t="s">
        <v>2129</v>
      </c>
      <c r="Z7" s="3487"/>
      <c r="AA7" s="701" t="e">
        <f>D7/F7</f>
        <v>#DIV/0!</v>
      </c>
      <c r="AB7" s="701" t="e">
        <f>D7/H7</f>
        <v>#DIV/0!</v>
      </c>
      <c r="AC7" s="701" t="e">
        <f>D7/J7</f>
        <v>#DIV/0!</v>
      </c>
    </row>
    <row r="8" spans="1:29" s="110" customFormat="1" ht="14.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558"/>
      <c r="L8" s="2878"/>
      <c r="M8" s="2879"/>
      <c r="N8" s="2879"/>
      <c r="O8" s="2879"/>
      <c r="P8" s="3486" t="s">
        <v>2132</v>
      </c>
      <c r="Q8" s="3487"/>
      <c r="R8" s="698" t="s">
        <v>17</v>
      </c>
      <c r="S8" s="699">
        <f t="shared" si="0"/>
        <v>0</v>
      </c>
      <c r="T8" s="698" t="s">
        <v>17</v>
      </c>
      <c r="U8" s="699">
        <f t="shared" si="1"/>
        <v>0</v>
      </c>
      <c r="V8" s="698" t="s">
        <v>17</v>
      </c>
      <c r="W8" s="699">
        <f t="shared" si="2"/>
        <v>0</v>
      </c>
      <c r="X8" s="700"/>
      <c r="Y8" s="3486" t="s">
        <v>2132</v>
      </c>
      <c r="Z8" s="3487"/>
      <c r="AA8" s="701" t="e">
        <f t="shared" ref="AA8:AA40" si="3">D8/F8</f>
        <v>#DIV/0!</v>
      </c>
      <c r="AB8" s="701" t="e">
        <f t="shared" ref="AB8:AB40" si="4">D8/H8</f>
        <v>#DIV/0!</v>
      </c>
      <c r="AC8" s="701" t="e">
        <f t="shared" ref="AC8:AC40" si="5">D8/J8</f>
        <v>#DIV/0!</v>
      </c>
    </row>
    <row r="9" spans="1:29" s="110" customFormat="1">
      <c r="A9" s="365" t="s">
        <v>2133</v>
      </c>
      <c r="B9" s="67" t="s">
        <v>2134</v>
      </c>
      <c r="C9" s="2101"/>
      <c r="D9" s="121">
        <v>100</v>
      </c>
      <c r="E9" s="2101"/>
      <c r="F9" s="121">
        <f>SUMIF(70:70,E9,71:71)-SUMIF(70:70,C9,71:71)+100</f>
        <v>100</v>
      </c>
      <c r="G9" s="2101"/>
      <c r="H9" s="121">
        <f>SUMIF(70:70,G9,71:71)-SUMIF(70:70,C9,71:71)+100</f>
        <v>100</v>
      </c>
      <c r="I9" s="2101"/>
      <c r="J9" s="121">
        <f>SUMIF(70:70,I9,71:71)-SUMIF(70:70,C9,71:71)+100</f>
        <v>100</v>
      </c>
      <c r="K9" s="558"/>
      <c r="L9" s="2878"/>
      <c r="M9" s="2879"/>
      <c r="N9" s="2879"/>
      <c r="O9" s="2933"/>
      <c r="P9" s="3500" t="s">
        <v>2135</v>
      </c>
      <c r="Q9" s="1465" t="str">
        <f t="shared" ref="Q9:Q15" si="6">B9</f>
        <v>用途</v>
      </c>
      <c r="R9" s="698" t="s">
        <v>17</v>
      </c>
      <c r="S9" s="699">
        <f t="shared" si="0"/>
        <v>100</v>
      </c>
      <c r="T9" s="698" t="s">
        <v>17</v>
      </c>
      <c r="U9" s="699">
        <f t="shared" si="1"/>
        <v>100</v>
      </c>
      <c r="V9" s="698" t="s">
        <v>17</v>
      </c>
      <c r="W9" s="699">
        <f t="shared" si="2"/>
        <v>100</v>
      </c>
      <c r="X9" s="700"/>
      <c r="Y9" s="3459" t="s">
        <v>2136</v>
      </c>
      <c r="Z9" s="55" t="str">
        <f t="shared" ref="Z9:Z15" si="7">Q9</f>
        <v>用途</v>
      </c>
      <c r="AA9" s="701">
        <f t="shared" si="3"/>
        <v>1</v>
      </c>
      <c r="AB9" s="701">
        <f t="shared" si="4"/>
        <v>1</v>
      </c>
      <c r="AC9" s="701">
        <f t="shared" si="5"/>
        <v>1</v>
      </c>
    </row>
    <row r="10" spans="1:29" s="376" customFormat="1" ht="28">
      <c r="A10" s="370"/>
      <c r="B10" s="371" t="s">
        <v>2137</v>
      </c>
      <c r="C10" s="381"/>
      <c r="D10" s="122">
        <v>100</v>
      </c>
      <c r="E10" s="381"/>
      <c r="F10" s="122">
        <f>ROUND(100/'数据-取费表'!G16,0)</f>
        <v>140</v>
      </c>
      <c r="G10" s="381"/>
      <c r="H10" s="122">
        <f>ROUND(100/'数据-取费表'!G16,0)</f>
        <v>140</v>
      </c>
      <c r="I10" s="381"/>
      <c r="J10" s="122">
        <f>ROUND(100/'数据-取费表'!G16,0)</f>
        <v>140</v>
      </c>
      <c r="K10" s="618"/>
      <c r="L10" s="2880"/>
      <c r="M10" s="2881"/>
      <c r="N10" s="2881"/>
      <c r="O10" s="2934"/>
      <c r="P10" s="3500"/>
      <c r="Q10" s="1465" t="str">
        <f t="shared" si="6"/>
        <v>土地使用年限（年）</v>
      </c>
      <c r="R10" s="698" t="s">
        <v>17</v>
      </c>
      <c r="S10" s="699">
        <f t="shared" si="0"/>
        <v>140</v>
      </c>
      <c r="T10" s="698" t="s">
        <v>17</v>
      </c>
      <c r="U10" s="699">
        <f t="shared" si="1"/>
        <v>140</v>
      </c>
      <c r="V10" s="698" t="s">
        <v>17</v>
      </c>
      <c r="W10" s="699">
        <f t="shared" si="2"/>
        <v>140</v>
      </c>
      <c r="X10" s="700"/>
      <c r="Y10" s="3459"/>
      <c r="Z10" s="55" t="str">
        <f t="shared" si="7"/>
        <v>土地使用年限（年）</v>
      </c>
      <c r="AA10" s="701">
        <f t="shared" si="3"/>
        <v>0.7142857142857143</v>
      </c>
      <c r="AB10" s="701">
        <f t="shared" si="4"/>
        <v>0.7142857142857143</v>
      </c>
      <c r="AC10" s="701">
        <f t="shared" si="5"/>
        <v>0.7142857142857143</v>
      </c>
    </row>
    <row r="11" spans="1:29" ht="15.5">
      <c r="A11" s="377"/>
      <c r="B11" s="371" t="s">
        <v>2138</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82"/>
      <c r="M11" s="2877"/>
      <c r="N11" s="2877"/>
      <c r="O11" s="2935"/>
      <c r="P11" s="3500"/>
      <c r="Q11" s="1465" t="str">
        <f t="shared" si="6"/>
        <v>容积率</v>
      </c>
      <c r="R11" s="698" t="s">
        <v>17</v>
      </c>
      <c r="S11" s="699" t="e">
        <f t="shared" si="0"/>
        <v>#N/A</v>
      </c>
      <c r="T11" s="698" t="s">
        <v>17</v>
      </c>
      <c r="U11" s="699" t="e">
        <f t="shared" si="1"/>
        <v>#N/A</v>
      </c>
      <c r="V11" s="698" t="s">
        <v>17</v>
      </c>
      <c r="W11" s="699" t="e">
        <f t="shared" si="2"/>
        <v>#N/A</v>
      </c>
      <c r="X11" s="700"/>
      <c r="Y11" s="3459"/>
      <c r="Z11" s="55" t="str">
        <f t="shared" si="7"/>
        <v>容积率</v>
      </c>
      <c r="AA11" s="701" t="e">
        <f t="shared" si="3"/>
        <v>#N/A</v>
      </c>
      <c r="AB11" s="701" t="e">
        <f t="shared" si="4"/>
        <v>#N/A</v>
      </c>
      <c r="AC11" s="701" t="e">
        <f t="shared" si="5"/>
        <v>#N/A</v>
      </c>
    </row>
    <row r="12" spans="1:29" s="110" customFormat="1" ht="15.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78"/>
      <c r="M12" s="2879"/>
      <c r="N12" s="2879"/>
      <c r="O12" s="2933"/>
      <c r="P12" s="3500"/>
      <c r="Q12" s="1465">
        <f t="shared" si="6"/>
        <v>111</v>
      </c>
      <c r="R12" s="698" t="s">
        <v>17</v>
      </c>
      <c r="S12" s="699">
        <f t="shared" si="0"/>
        <v>100</v>
      </c>
      <c r="T12" s="698" t="s">
        <v>17</v>
      </c>
      <c r="U12" s="699">
        <f t="shared" si="1"/>
        <v>100</v>
      </c>
      <c r="V12" s="698" t="s">
        <v>17</v>
      </c>
      <c r="W12" s="699">
        <f t="shared" si="2"/>
        <v>100</v>
      </c>
      <c r="X12" s="700"/>
      <c r="Y12" s="3459"/>
      <c r="Z12" s="55">
        <f t="shared" si="7"/>
        <v>111</v>
      </c>
      <c r="AA12" s="701">
        <f>D12/F12</f>
        <v>1</v>
      </c>
      <c r="AB12" s="701">
        <f>D12/H12</f>
        <v>1</v>
      </c>
      <c r="AC12" s="701">
        <f>D12/J12</f>
        <v>1</v>
      </c>
    </row>
    <row r="13" spans="1:29" ht="15.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83"/>
      <c r="M13" s="2877"/>
      <c r="N13" s="2877"/>
      <c r="O13" s="2935"/>
      <c r="P13" s="3500"/>
      <c r="Q13" s="1465">
        <f t="shared" si="6"/>
        <v>111</v>
      </c>
      <c r="R13" s="698" t="s">
        <v>17</v>
      </c>
      <c r="S13" s="699">
        <f t="shared" si="0"/>
        <v>100</v>
      </c>
      <c r="T13" s="698" t="s">
        <v>17</v>
      </c>
      <c r="U13" s="699">
        <f t="shared" si="1"/>
        <v>100</v>
      </c>
      <c r="V13" s="698" t="s">
        <v>17</v>
      </c>
      <c r="W13" s="699">
        <f t="shared" si="2"/>
        <v>100</v>
      </c>
      <c r="X13" s="700"/>
      <c r="Y13" s="3459"/>
      <c r="Z13" s="55">
        <f t="shared" si="7"/>
        <v>111</v>
      </c>
      <c r="AA13" s="701">
        <f t="shared" si="3"/>
        <v>1</v>
      </c>
      <c r="AB13" s="701">
        <f t="shared" si="4"/>
        <v>1</v>
      </c>
      <c r="AC13" s="701">
        <f t="shared" si="5"/>
        <v>1</v>
      </c>
    </row>
    <row r="14" spans="1:29" ht="16"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83"/>
      <c r="M14" s="2877"/>
      <c r="N14" s="2877"/>
      <c r="O14" s="2935"/>
      <c r="P14" s="3500"/>
      <c r="Q14" s="1465">
        <f t="shared" si="6"/>
        <v>111</v>
      </c>
      <c r="R14" s="698" t="s">
        <v>17</v>
      </c>
      <c r="S14" s="699">
        <f t="shared" si="0"/>
        <v>100</v>
      </c>
      <c r="T14" s="698" t="s">
        <v>17</v>
      </c>
      <c r="U14" s="699">
        <f t="shared" si="1"/>
        <v>100</v>
      </c>
      <c r="V14" s="698" t="s">
        <v>17</v>
      </c>
      <c r="W14" s="699">
        <f t="shared" si="2"/>
        <v>100</v>
      </c>
      <c r="X14" s="700"/>
      <c r="Y14" s="3459"/>
      <c r="Z14" s="55">
        <f t="shared" si="7"/>
        <v>111</v>
      </c>
      <c r="AA14" s="701">
        <f t="shared" si="3"/>
        <v>1</v>
      </c>
      <c r="AB14" s="701">
        <f t="shared" si="4"/>
        <v>1</v>
      </c>
      <c r="AC14" s="701">
        <f t="shared" si="5"/>
        <v>1</v>
      </c>
    </row>
    <row r="15" spans="1:29" ht="70">
      <c r="A15" s="389" t="s">
        <v>2139</v>
      </c>
      <c r="B15" s="575" t="s">
        <v>2377</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83"/>
      <c r="M15" s="2877"/>
      <c r="N15" s="2877"/>
      <c r="O15" s="2935"/>
      <c r="P15" s="3515" t="s">
        <v>2140</v>
      </c>
      <c r="Q15" s="1474" t="str">
        <f t="shared" si="6"/>
        <v>产业集聚程度</v>
      </c>
      <c r="R15" s="702" t="s">
        <v>17</v>
      </c>
      <c r="S15" s="703">
        <f t="shared" si="0"/>
        <v>100</v>
      </c>
      <c r="T15" s="702" t="s">
        <v>17</v>
      </c>
      <c r="U15" s="703">
        <f t="shared" si="1"/>
        <v>100</v>
      </c>
      <c r="V15" s="702" t="s">
        <v>17</v>
      </c>
      <c r="W15" s="703">
        <f t="shared" si="2"/>
        <v>100</v>
      </c>
      <c r="X15" s="1477"/>
      <c r="Y15" s="3515" t="s">
        <v>2140</v>
      </c>
      <c r="Z15" s="1478" t="str">
        <f t="shared" si="7"/>
        <v>产业集聚程度</v>
      </c>
      <c r="AA15" s="1475">
        <f t="shared" si="3"/>
        <v>1</v>
      </c>
      <c r="AB15" s="1475">
        <f t="shared" si="4"/>
        <v>1</v>
      </c>
      <c r="AC15" s="1475">
        <f t="shared" si="5"/>
        <v>1</v>
      </c>
    </row>
    <row r="16" spans="1:29" ht="15.5">
      <c r="A16" s="377"/>
      <c r="B16" s="576"/>
      <c r="C16" s="396"/>
      <c r="D16" s="397"/>
      <c r="E16" s="2028"/>
      <c r="F16" s="397"/>
      <c r="G16" s="2028"/>
      <c r="H16" s="399"/>
      <c r="I16" s="2028"/>
      <c r="J16" s="397"/>
      <c r="K16" s="618"/>
      <c r="L16" s="2883"/>
      <c r="M16" s="2877"/>
      <c r="N16" s="2877"/>
      <c r="O16" s="2935"/>
      <c r="P16" s="3516"/>
      <c r="Q16" s="1474"/>
      <c r="R16" s="702"/>
      <c r="S16" s="703"/>
      <c r="T16" s="702"/>
      <c r="U16" s="703"/>
      <c r="V16" s="702"/>
      <c r="W16" s="703"/>
      <c r="X16" s="1477"/>
      <c r="Y16" s="3516"/>
      <c r="Z16" s="1478"/>
      <c r="AA16" s="1475">
        <v>1</v>
      </c>
      <c r="AB16" s="1475">
        <v>1</v>
      </c>
      <c r="AC16" s="1475">
        <v>1</v>
      </c>
    </row>
    <row r="17" spans="1:29" ht="98">
      <c r="A17" s="377"/>
      <c r="B17" s="577" t="s">
        <v>2289</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83"/>
      <c r="M17" s="2877"/>
      <c r="N17" s="2877"/>
      <c r="O17" s="2935"/>
      <c r="P17" s="3516"/>
      <c r="Q17" s="1474" t="str">
        <f>B17</f>
        <v>交通便捷度</v>
      </c>
      <c r="R17" s="702" t="s">
        <v>17</v>
      </c>
      <c r="S17" s="703">
        <f>F17</f>
        <v>100</v>
      </c>
      <c r="T17" s="702" t="s">
        <v>17</v>
      </c>
      <c r="U17" s="703">
        <f>H17</f>
        <v>100</v>
      </c>
      <c r="V17" s="702" t="s">
        <v>17</v>
      </c>
      <c r="W17" s="703">
        <f>J17</f>
        <v>100</v>
      </c>
      <c r="X17" s="1477"/>
      <c r="Y17" s="3516"/>
      <c r="Z17" s="1478" t="str">
        <f>Q17</f>
        <v>交通便捷度</v>
      </c>
      <c r="AA17" s="1475">
        <f t="shared" si="3"/>
        <v>1</v>
      </c>
      <c r="AB17" s="1475">
        <f t="shared" si="4"/>
        <v>1</v>
      </c>
      <c r="AC17" s="1475">
        <f t="shared" si="5"/>
        <v>1</v>
      </c>
    </row>
    <row r="18" spans="1:29" ht="15.5">
      <c r="A18" s="377"/>
      <c r="B18" s="578"/>
      <c r="C18" s="396"/>
      <c r="D18" s="397"/>
      <c r="E18" s="2022"/>
      <c r="F18" s="397"/>
      <c r="G18" s="2022"/>
      <c r="H18" s="397"/>
      <c r="I18" s="2021"/>
      <c r="J18" s="397"/>
      <c r="K18" s="618"/>
      <c r="L18" s="2883"/>
      <c r="M18" s="2877"/>
      <c r="N18" s="2877"/>
      <c r="O18" s="2935"/>
      <c r="P18" s="3516"/>
      <c r="Q18" s="1474"/>
      <c r="R18" s="702"/>
      <c r="S18" s="703"/>
      <c r="T18" s="702"/>
      <c r="U18" s="703"/>
      <c r="V18" s="702"/>
      <c r="W18" s="703"/>
      <c r="X18" s="1477"/>
      <c r="Y18" s="3516"/>
      <c r="Z18" s="1478"/>
      <c r="AA18" s="1475">
        <v>1</v>
      </c>
      <c r="AB18" s="1475">
        <v>1</v>
      </c>
      <c r="AC18" s="1475">
        <v>1</v>
      </c>
    </row>
    <row r="19" spans="1:29" ht="28">
      <c r="A19" s="377"/>
      <c r="B19" s="577" t="s">
        <v>2328</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83"/>
      <c r="M19" s="2877"/>
      <c r="N19" s="2877"/>
      <c r="O19" s="2935"/>
      <c r="P19" s="3516"/>
      <c r="Q19" s="1474" t="str">
        <f t="shared" ref="Q19:Q33" si="8">B19</f>
        <v>区域土地利用方向</v>
      </c>
      <c r="R19" s="702" t="s">
        <v>17</v>
      </c>
      <c r="S19" s="703">
        <f>F19</f>
        <v>100</v>
      </c>
      <c r="T19" s="702" t="s">
        <v>17</v>
      </c>
      <c r="U19" s="703">
        <f>H19</f>
        <v>100</v>
      </c>
      <c r="V19" s="702" t="s">
        <v>17</v>
      </c>
      <c r="W19" s="703">
        <f>J19</f>
        <v>100</v>
      </c>
      <c r="X19" s="1477"/>
      <c r="Y19" s="3516"/>
      <c r="Z19" s="1478" t="str">
        <f>Q19</f>
        <v>区域土地利用方向</v>
      </c>
      <c r="AA19" s="1475">
        <f t="shared" si="3"/>
        <v>1</v>
      </c>
      <c r="AB19" s="1475">
        <f t="shared" si="4"/>
        <v>1</v>
      </c>
      <c r="AC19" s="1475">
        <f t="shared" si="5"/>
        <v>1</v>
      </c>
    </row>
    <row r="20" spans="1:29" ht="15.5">
      <c r="A20" s="354"/>
      <c r="B20" s="578"/>
      <c r="C20" s="396"/>
      <c r="D20" s="397"/>
      <c r="E20" s="2022"/>
      <c r="F20" s="397"/>
      <c r="G20" s="2022"/>
      <c r="H20" s="397"/>
      <c r="I20" s="2022"/>
      <c r="J20" s="397"/>
      <c r="K20" s="739"/>
      <c r="L20" s="2883"/>
      <c r="M20" s="2877"/>
      <c r="N20" s="2877"/>
      <c r="O20" s="2935"/>
      <c r="P20" s="3516"/>
      <c r="Q20" s="1474"/>
      <c r="R20" s="702"/>
      <c r="S20" s="703"/>
      <c r="T20" s="702"/>
      <c r="U20" s="703"/>
      <c r="V20" s="702"/>
      <c r="W20" s="703"/>
      <c r="X20" s="1477"/>
      <c r="Y20" s="3516"/>
      <c r="Z20" s="1478"/>
      <c r="AA20" s="1475"/>
      <c r="AB20" s="1475"/>
      <c r="AC20" s="1475"/>
    </row>
    <row r="21" spans="1:29" ht="84">
      <c r="A21" s="354"/>
      <c r="B21" s="577" t="s">
        <v>2378</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83"/>
      <c r="M21" s="2877"/>
      <c r="N21" s="2877"/>
      <c r="O21" s="2935"/>
      <c r="P21" s="3516"/>
      <c r="Q21" s="1474" t="str">
        <f t="shared" si="8"/>
        <v>环境状况</v>
      </c>
      <c r="R21" s="702" t="s">
        <v>17</v>
      </c>
      <c r="S21" s="703">
        <f>F21</f>
        <v>100</v>
      </c>
      <c r="T21" s="702" t="s">
        <v>17</v>
      </c>
      <c r="U21" s="703">
        <f>H21</f>
        <v>100</v>
      </c>
      <c r="V21" s="702" t="s">
        <v>17</v>
      </c>
      <c r="W21" s="703">
        <f>J21</f>
        <v>100</v>
      </c>
      <c r="X21" s="1477"/>
      <c r="Y21" s="3516"/>
      <c r="Z21" s="1478" t="str">
        <f>Q21</f>
        <v>环境状况</v>
      </c>
      <c r="AA21" s="1475">
        <f t="shared" si="3"/>
        <v>1</v>
      </c>
      <c r="AB21" s="1475">
        <f t="shared" si="4"/>
        <v>1</v>
      </c>
      <c r="AC21" s="1475">
        <f t="shared" si="5"/>
        <v>1</v>
      </c>
    </row>
    <row r="22" spans="1:29" ht="15.5">
      <c r="A22" s="354"/>
      <c r="B22" s="578"/>
      <c r="C22" s="396"/>
      <c r="D22" s="397"/>
      <c r="E22" s="2028"/>
      <c r="F22" s="397"/>
      <c r="G22" s="2028"/>
      <c r="H22" s="397"/>
      <c r="I22" s="396"/>
      <c r="J22" s="397"/>
      <c r="K22" s="618"/>
      <c r="L22" s="2883"/>
      <c r="M22" s="2877"/>
      <c r="N22" s="2877"/>
      <c r="O22" s="2935"/>
      <c r="P22" s="3516"/>
      <c r="Q22" s="1474"/>
      <c r="R22" s="702"/>
      <c r="S22" s="703"/>
      <c r="T22" s="702"/>
      <c r="U22" s="703"/>
      <c r="V22" s="702"/>
      <c r="W22" s="703"/>
      <c r="X22" s="1477"/>
      <c r="Y22" s="3516"/>
      <c r="Z22" s="1478"/>
      <c r="AA22" s="1475">
        <v>1</v>
      </c>
      <c r="AB22" s="1475">
        <v>1</v>
      </c>
      <c r="AC22" s="1475">
        <v>1</v>
      </c>
    </row>
    <row r="23" spans="1:29" s="110" customFormat="1" ht="42">
      <c r="A23" s="595"/>
      <c r="B23" s="579" t="s">
        <v>2234</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78"/>
      <c r="M23" s="2879"/>
      <c r="N23" s="2879"/>
      <c r="O23" s="2933"/>
      <c r="P23" s="3516"/>
      <c r="Q23" s="1465" t="str">
        <f t="shared" si="8"/>
        <v>公共配套设施</v>
      </c>
      <c r="R23" s="698" t="s">
        <v>17</v>
      </c>
      <c r="S23" s="699">
        <f>F23</f>
        <v>100</v>
      </c>
      <c r="T23" s="698" t="s">
        <v>17</v>
      </c>
      <c r="U23" s="699">
        <f>H23</f>
        <v>100</v>
      </c>
      <c r="V23" s="698" t="s">
        <v>17</v>
      </c>
      <c r="W23" s="699">
        <f>J23</f>
        <v>100</v>
      </c>
      <c r="X23" s="700"/>
      <c r="Y23" s="3516"/>
      <c r="Z23" s="55" t="str">
        <f>Q23</f>
        <v>公共配套设施</v>
      </c>
      <c r="AA23" s="1475">
        <f>D23/F23</f>
        <v>1</v>
      </c>
      <c r="AB23" s="1475">
        <f>D23/H23</f>
        <v>1</v>
      </c>
      <c r="AC23" s="1475">
        <f>D23/J23</f>
        <v>1</v>
      </c>
    </row>
    <row r="24" spans="1:29" s="110" customFormat="1" ht="15.5">
      <c r="A24" s="595"/>
      <c r="B24" s="578"/>
      <c r="C24" s="2102"/>
      <c r="D24" s="397"/>
      <c r="E24" s="2028"/>
      <c r="F24" s="397"/>
      <c r="G24" s="2028"/>
      <c r="H24" s="397"/>
      <c r="I24" s="396"/>
      <c r="J24" s="397"/>
      <c r="K24" s="618"/>
      <c r="L24" s="2878"/>
      <c r="M24" s="2879"/>
      <c r="N24" s="2879"/>
      <c r="O24" s="2933"/>
      <c r="P24" s="3516"/>
      <c r="Q24" s="1465"/>
      <c r="R24" s="698"/>
      <c r="S24" s="699"/>
      <c r="T24" s="698"/>
      <c r="U24" s="699"/>
      <c r="V24" s="698"/>
      <c r="W24" s="699"/>
      <c r="X24" s="700"/>
      <c r="Y24" s="3516"/>
      <c r="Z24" s="55"/>
      <c r="AA24" s="701">
        <v>1</v>
      </c>
      <c r="AB24" s="701">
        <v>1</v>
      </c>
      <c r="AC24" s="701">
        <v>1</v>
      </c>
    </row>
    <row r="25" spans="1:29" s="110" customFormat="1" ht="42">
      <c r="A25" s="595"/>
      <c r="B25" s="579" t="s">
        <v>2235</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78"/>
      <c r="M25" s="2879"/>
      <c r="N25" s="2879"/>
      <c r="O25" s="2933"/>
      <c r="P25" s="3516"/>
      <c r="Q25" s="1465" t="str">
        <f t="shared" ref="Q25" si="9">B25</f>
        <v>基础设施水平</v>
      </c>
      <c r="R25" s="698" t="s">
        <v>17</v>
      </c>
      <c r="S25" s="699">
        <f>F25</f>
        <v>100</v>
      </c>
      <c r="T25" s="698" t="s">
        <v>17</v>
      </c>
      <c r="U25" s="699">
        <f>H25</f>
        <v>100</v>
      </c>
      <c r="V25" s="698" t="s">
        <v>17</v>
      </c>
      <c r="W25" s="699">
        <f>J25</f>
        <v>100</v>
      </c>
      <c r="X25" s="700"/>
      <c r="Y25" s="3516"/>
      <c r="Z25" s="55" t="str">
        <f>Q25</f>
        <v>基础设施水平</v>
      </c>
      <c r="AA25" s="1475">
        <f>D25/F25</f>
        <v>1</v>
      </c>
      <c r="AB25" s="1475">
        <f>D25/H25</f>
        <v>1</v>
      </c>
      <c r="AC25" s="1475">
        <f>D25/J25</f>
        <v>1</v>
      </c>
    </row>
    <row r="26" spans="1:29" s="110" customFormat="1" ht="15.5">
      <c r="A26" s="595"/>
      <c r="B26" s="578"/>
      <c r="C26" s="2102"/>
      <c r="D26" s="397"/>
      <c r="E26" s="2103"/>
      <c r="F26" s="397"/>
      <c r="G26" s="2103"/>
      <c r="H26" s="397"/>
      <c r="I26" s="2103"/>
      <c r="J26" s="397"/>
      <c r="K26" s="618"/>
      <c r="L26" s="2878"/>
      <c r="M26" s="2879"/>
      <c r="N26" s="2879"/>
      <c r="O26" s="2933"/>
      <c r="P26" s="3516"/>
      <c r="Q26" s="1465"/>
      <c r="R26" s="698"/>
      <c r="S26" s="699"/>
      <c r="T26" s="698"/>
      <c r="U26" s="699"/>
      <c r="V26" s="698"/>
      <c r="W26" s="699"/>
      <c r="X26" s="700"/>
      <c r="Y26" s="3516"/>
      <c r="Z26" s="55"/>
      <c r="AA26" s="701">
        <v>1</v>
      </c>
      <c r="AB26" s="701">
        <v>1</v>
      </c>
      <c r="AC26" s="701">
        <v>1</v>
      </c>
    </row>
    <row r="27" spans="1:29" ht="15.5">
      <c r="A27" s="377"/>
      <c r="B27" s="578" t="s">
        <v>2236</v>
      </c>
      <c r="C27" s="563"/>
      <c r="D27" s="384">
        <v>100</v>
      </c>
      <c r="E27" s="580"/>
      <c r="F27" s="384">
        <f>SUMIF(95:95,E27,96:96)-SUMIF(95:95,C27,96:96)+100</f>
        <v>100</v>
      </c>
      <c r="G27" s="580"/>
      <c r="H27" s="384">
        <f>SUMIF(95:95,G27,96:96)-SUMIF(95:95,C27,96:96)+100</f>
        <v>100</v>
      </c>
      <c r="I27" s="580"/>
      <c r="J27" s="384">
        <f>SUMIF(95:95,I27,96:96)-SUMIF(95:95,C27,96:96)+100</f>
        <v>100</v>
      </c>
      <c r="K27" s="619"/>
      <c r="L27" s="2883"/>
      <c r="M27" s="2877"/>
      <c r="N27" s="2877"/>
      <c r="O27" s="2935"/>
      <c r="P27" s="3516"/>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516"/>
      <c r="Z27" s="1478" t="str">
        <f t="shared" ref="Z27:Z40" si="13">Q27</f>
        <v>临街状况</v>
      </c>
      <c r="AA27" s="1475">
        <f t="shared" si="3"/>
        <v>1</v>
      </c>
      <c r="AB27" s="1475">
        <f t="shared" si="4"/>
        <v>1</v>
      </c>
      <c r="AC27" s="1475">
        <f t="shared" si="5"/>
        <v>1</v>
      </c>
    </row>
    <row r="28" spans="1:29" ht="28">
      <c r="A28" s="377"/>
      <c r="B28" s="579" t="s">
        <v>2271</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83"/>
      <c r="M28" s="2877"/>
      <c r="N28" s="2877"/>
      <c r="O28" s="2935"/>
      <c r="P28" s="3516"/>
      <c r="Q28" s="1474" t="str">
        <f t="shared" si="8"/>
        <v>毗邻道路的类型与等级</v>
      </c>
      <c r="R28" s="702" t="s">
        <v>17</v>
      </c>
      <c r="S28" s="703">
        <f t="shared" si="10"/>
        <v>100</v>
      </c>
      <c r="T28" s="702" t="s">
        <v>17</v>
      </c>
      <c r="U28" s="703">
        <f t="shared" si="11"/>
        <v>100</v>
      </c>
      <c r="V28" s="702" t="s">
        <v>17</v>
      </c>
      <c r="W28" s="703">
        <f t="shared" si="12"/>
        <v>100</v>
      </c>
      <c r="X28" s="1477"/>
      <c r="Y28" s="3516"/>
      <c r="Z28" s="1478" t="str">
        <f t="shared" si="13"/>
        <v>毗邻道路的类型与等级</v>
      </c>
      <c r="AA28" s="1475">
        <f t="shared" si="3"/>
        <v>1</v>
      </c>
      <c r="AB28" s="1475">
        <f t="shared" si="4"/>
        <v>1</v>
      </c>
      <c r="AC28" s="1475">
        <f t="shared" si="5"/>
        <v>1</v>
      </c>
    </row>
    <row r="29" spans="1:29" ht="15.5">
      <c r="A29" s="377"/>
      <c r="B29" s="578"/>
      <c r="C29" s="396"/>
      <c r="D29" s="397"/>
      <c r="E29" s="2028"/>
      <c r="F29" s="397"/>
      <c r="G29" s="2028"/>
      <c r="H29" s="397"/>
      <c r="I29" s="2028"/>
      <c r="J29" s="397"/>
      <c r="K29" s="560"/>
      <c r="L29" s="2883"/>
      <c r="M29" s="2877"/>
      <c r="N29" s="2877"/>
      <c r="O29" s="2935"/>
      <c r="P29" s="3516"/>
      <c r="Q29" s="1474"/>
      <c r="R29" s="702"/>
      <c r="S29" s="703"/>
      <c r="T29" s="702"/>
      <c r="U29" s="703"/>
      <c r="V29" s="702"/>
      <c r="W29" s="703"/>
      <c r="X29" s="1477"/>
      <c r="Y29" s="3516"/>
      <c r="Z29" s="1478"/>
      <c r="AA29" s="1475">
        <v>1</v>
      </c>
      <c r="AB29" s="1475">
        <v>1</v>
      </c>
      <c r="AC29" s="1475">
        <v>1</v>
      </c>
    </row>
    <row r="30" spans="1:29" ht="15.5">
      <c r="A30" s="377"/>
      <c r="B30" s="600" t="s">
        <v>2330</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83"/>
      <c r="M30" s="2877"/>
      <c r="N30" s="2877"/>
      <c r="O30" s="2935"/>
      <c r="P30" s="3516"/>
      <c r="Q30" s="1474" t="str">
        <f t="shared" si="8"/>
        <v>土地级别</v>
      </c>
      <c r="R30" s="702" t="s">
        <v>17</v>
      </c>
      <c r="S30" s="703">
        <f t="shared" si="10"/>
        <v>100</v>
      </c>
      <c r="T30" s="702" t="s">
        <v>17</v>
      </c>
      <c r="U30" s="703">
        <f t="shared" si="11"/>
        <v>100</v>
      </c>
      <c r="V30" s="702" t="s">
        <v>17</v>
      </c>
      <c r="W30" s="703">
        <f t="shared" si="12"/>
        <v>100</v>
      </c>
      <c r="X30" s="1477"/>
      <c r="Y30" s="3516"/>
      <c r="Z30" s="1478" t="str">
        <f t="shared" si="13"/>
        <v>土地级别</v>
      </c>
      <c r="AA30" s="1475">
        <f t="shared" si="3"/>
        <v>1</v>
      </c>
      <c r="AB30" s="1475">
        <f t="shared" si="4"/>
        <v>1</v>
      </c>
      <c r="AC30" s="1475">
        <f t="shared" si="5"/>
        <v>1</v>
      </c>
    </row>
    <row r="31" spans="1:29" ht="15.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83"/>
      <c r="M31" s="2877"/>
      <c r="N31" s="2877"/>
      <c r="O31" s="2935"/>
      <c r="P31" s="3516"/>
      <c r="Q31" s="1474">
        <f t="shared" si="8"/>
        <v>111</v>
      </c>
      <c r="R31" s="702" t="s">
        <v>17</v>
      </c>
      <c r="S31" s="703">
        <f t="shared" si="10"/>
        <v>100</v>
      </c>
      <c r="T31" s="702" t="s">
        <v>17</v>
      </c>
      <c r="U31" s="703">
        <f t="shared" si="11"/>
        <v>100</v>
      </c>
      <c r="V31" s="702" t="s">
        <v>17</v>
      </c>
      <c r="W31" s="703">
        <f t="shared" si="12"/>
        <v>100</v>
      </c>
      <c r="X31" s="1477"/>
      <c r="Y31" s="3516"/>
      <c r="Z31" s="1478">
        <f t="shared" si="13"/>
        <v>111</v>
      </c>
      <c r="AA31" s="1475">
        <f t="shared" si="3"/>
        <v>1</v>
      </c>
      <c r="AB31" s="1475">
        <f t="shared" si="4"/>
        <v>1</v>
      </c>
      <c r="AC31" s="1475">
        <f t="shared" si="5"/>
        <v>1</v>
      </c>
    </row>
    <row r="32" spans="1:29" ht="15.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83"/>
      <c r="M32" s="2877"/>
      <c r="N32" s="2877"/>
      <c r="O32" s="2935"/>
      <c r="P32" s="3517" t="s">
        <v>2145</v>
      </c>
      <c r="Q32" s="1474">
        <f t="shared" si="8"/>
        <v>111</v>
      </c>
      <c r="R32" s="702" t="s">
        <v>17</v>
      </c>
      <c r="S32" s="703">
        <f t="shared" si="10"/>
        <v>100</v>
      </c>
      <c r="T32" s="702" t="s">
        <v>17</v>
      </c>
      <c r="U32" s="703">
        <f t="shared" si="11"/>
        <v>100</v>
      </c>
      <c r="V32" s="702" t="s">
        <v>17</v>
      </c>
      <c r="W32" s="703">
        <f t="shared" si="12"/>
        <v>100</v>
      </c>
      <c r="X32" s="1477"/>
      <c r="Y32" s="3518" t="s">
        <v>2145</v>
      </c>
      <c r="Z32" s="1478">
        <f t="shared" si="13"/>
        <v>111</v>
      </c>
      <c r="AA32" s="1475">
        <f t="shared" si="3"/>
        <v>1</v>
      </c>
      <c r="AB32" s="1475">
        <f t="shared" si="4"/>
        <v>1</v>
      </c>
      <c r="AC32" s="1475">
        <f t="shared" si="5"/>
        <v>1</v>
      </c>
    </row>
    <row r="33" spans="1:31" s="420" customFormat="1" ht="16"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82"/>
      <c r="M33" s="2884"/>
      <c r="N33" s="2884"/>
      <c r="O33" s="2936"/>
      <c r="P33" s="3518"/>
      <c r="Q33" s="1474">
        <f t="shared" si="8"/>
        <v>111</v>
      </c>
      <c r="R33" s="705" t="s">
        <v>17</v>
      </c>
      <c r="S33" s="706">
        <f t="shared" si="10"/>
        <v>100</v>
      </c>
      <c r="T33" s="705" t="s">
        <v>17</v>
      </c>
      <c r="U33" s="706">
        <f t="shared" si="11"/>
        <v>100</v>
      </c>
      <c r="V33" s="705" t="s">
        <v>17</v>
      </c>
      <c r="W33" s="706">
        <f t="shared" si="12"/>
        <v>100</v>
      </c>
      <c r="X33" s="707"/>
      <c r="Y33" s="3518"/>
      <c r="Z33" s="708">
        <f t="shared" si="13"/>
        <v>111</v>
      </c>
      <c r="AA33" s="1475">
        <f t="shared" si="3"/>
        <v>1</v>
      </c>
      <c r="AB33" s="1475">
        <f t="shared" si="4"/>
        <v>1</v>
      </c>
      <c r="AC33" s="1475">
        <f t="shared" si="5"/>
        <v>1</v>
      </c>
    </row>
    <row r="34" spans="1:31" ht="15.5">
      <c r="A34" s="389" t="s">
        <v>2143</v>
      </c>
      <c r="B34" s="405" t="s">
        <v>2331</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83"/>
      <c r="M34" s="2877"/>
      <c r="N34" s="2877"/>
      <c r="O34" s="2935"/>
      <c r="P34" s="3518"/>
      <c r="Q34" s="1474" t="str">
        <f>B34</f>
        <v>宗地面积</v>
      </c>
      <c r="R34" s="702" t="s">
        <v>17</v>
      </c>
      <c r="S34" s="703" t="e">
        <f t="shared" si="10"/>
        <v>#N/A</v>
      </c>
      <c r="T34" s="702" t="s">
        <v>17</v>
      </c>
      <c r="U34" s="703" t="e">
        <f t="shared" si="11"/>
        <v>#N/A</v>
      </c>
      <c r="V34" s="702" t="s">
        <v>17</v>
      </c>
      <c r="W34" s="703" t="e">
        <f t="shared" si="12"/>
        <v>#N/A</v>
      </c>
      <c r="X34" s="1477"/>
      <c r="Y34" s="3518"/>
      <c r="Z34" s="1478" t="str">
        <f t="shared" si="13"/>
        <v>宗地面积</v>
      </c>
      <c r="AA34" s="1475" t="e">
        <f t="shared" si="3"/>
        <v>#N/A</v>
      </c>
      <c r="AB34" s="1475" t="e">
        <f t="shared" si="4"/>
        <v>#N/A</v>
      </c>
      <c r="AC34" s="1475" t="e">
        <f t="shared" si="5"/>
        <v>#N/A</v>
      </c>
    </row>
    <row r="35" spans="1:31" ht="15.5">
      <c r="A35" s="421"/>
      <c r="B35" s="371" t="s">
        <v>2332</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83"/>
      <c r="M35" s="2877"/>
      <c r="N35" s="2877"/>
      <c r="O35" s="2935"/>
      <c r="P35" s="3518"/>
      <c r="Q35" s="1474" t="str">
        <f t="shared" ref="Q35:Q40" si="14">B35</f>
        <v>宗地形状</v>
      </c>
      <c r="R35" s="702" t="s">
        <v>17</v>
      </c>
      <c r="S35" s="703">
        <f t="shared" si="10"/>
        <v>100</v>
      </c>
      <c r="T35" s="702" t="s">
        <v>17</v>
      </c>
      <c r="U35" s="703">
        <f t="shared" si="11"/>
        <v>100</v>
      </c>
      <c r="V35" s="702" t="s">
        <v>17</v>
      </c>
      <c r="W35" s="703">
        <f t="shared" si="12"/>
        <v>100</v>
      </c>
      <c r="X35" s="1477"/>
      <c r="Y35" s="3518"/>
      <c r="Z35" s="1478" t="str">
        <f t="shared" si="13"/>
        <v>宗地形状</v>
      </c>
      <c r="AA35" s="1475">
        <f t="shared" si="3"/>
        <v>1</v>
      </c>
      <c r="AB35" s="1475">
        <f t="shared" si="4"/>
        <v>1</v>
      </c>
      <c r="AC35" s="1475">
        <f t="shared" si="5"/>
        <v>1</v>
      </c>
    </row>
    <row r="36" spans="1:31" s="110" customFormat="1" ht="15.5">
      <c r="A36" s="422"/>
      <c r="B36" s="371" t="s">
        <v>2334</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78"/>
      <c r="M36" s="2879"/>
      <c r="N36" s="2879"/>
      <c r="O36" s="2933"/>
      <c r="P36" s="3518"/>
      <c r="Q36" s="1474" t="str">
        <f t="shared" si="14"/>
        <v>宗地开发程度</v>
      </c>
      <c r="R36" s="698" t="s">
        <v>17</v>
      </c>
      <c r="S36" s="699">
        <f t="shared" si="10"/>
        <v>100</v>
      </c>
      <c r="T36" s="698" t="s">
        <v>17</v>
      </c>
      <c r="U36" s="699">
        <f t="shared" si="11"/>
        <v>100</v>
      </c>
      <c r="V36" s="698" t="s">
        <v>17</v>
      </c>
      <c r="W36" s="699">
        <f t="shared" si="12"/>
        <v>100</v>
      </c>
      <c r="X36" s="700"/>
      <c r="Y36" s="3518"/>
      <c r="Z36" s="55" t="str">
        <f t="shared" si="13"/>
        <v>宗地开发程度</v>
      </c>
      <c r="AA36" s="701">
        <f t="shared" si="3"/>
        <v>1</v>
      </c>
      <c r="AB36" s="701">
        <f t="shared" si="4"/>
        <v>1</v>
      </c>
      <c r="AC36" s="701">
        <f t="shared" si="5"/>
        <v>1</v>
      </c>
    </row>
    <row r="37" spans="1:31" ht="15.5">
      <c r="A37" s="421"/>
      <c r="B37" s="371" t="s">
        <v>2335</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83"/>
      <c r="M37" s="2877"/>
      <c r="N37" s="2877"/>
      <c r="O37" s="2935"/>
      <c r="P37" s="3518" t="s">
        <v>2145</v>
      </c>
      <c r="Q37" s="1474" t="str">
        <f t="shared" si="14"/>
        <v>工程地质条件</v>
      </c>
      <c r="R37" s="702" t="s">
        <v>17</v>
      </c>
      <c r="S37" s="703">
        <f t="shared" si="10"/>
        <v>100</v>
      </c>
      <c r="T37" s="702" t="s">
        <v>17</v>
      </c>
      <c r="U37" s="703">
        <f t="shared" si="11"/>
        <v>100</v>
      </c>
      <c r="V37" s="702" t="s">
        <v>17</v>
      </c>
      <c r="W37" s="703">
        <f t="shared" si="12"/>
        <v>100</v>
      </c>
      <c r="X37" s="1477"/>
      <c r="Y37" s="3518" t="s">
        <v>2145</v>
      </c>
      <c r="Z37" s="1478" t="str">
        <f t="shared" si="13"/>
        <v>工程地质条件</v>
      </c>
      <c r="AA37" s="1475">
        <f t="shared" si="3"/>
        <v>1</v>
      </c>
      <c r="AB37" s="1475">
        <f t="shared" si="4"/>
        <v>1</v>
      </c>
      <c r="AC37" s="1475">
        <f t="shared" si="5"/>
        <v>1</v>
      </c>
    </row>
    <row r="38" spans="1:31" ht="15.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83"/>
      <c r="M38" s="2877"/>
      <c r="N38" s="2877"/>
      <c r="O38" s="2935"/>
      <c r="P38" s="3518"/>
      <c r="Q38" s="1474">
        <f t="shared" si="14"/>
        <v>111</v>
      </c>
      <c r="R38" s="702" t="s">
        <v>17</v>
      </c>
      <c r="S38" s="703">
        <f t="shared" si="10"/>
        <v>100</v>
      </c>
      <c r="T38" s="702" t="s">
        <v>17</v>
      </c>
      <c r="U38" s="703">
        <f t="shared" si="11"/>
        <v>100</v>
      </c>
      <c r="V38" s="702" t="s">
        <v>17</v>
      </c>
      <c r="W38" s="703">
        <f t="shared" si="12"/>
        <v>100</v>
      </c>
      <c r="X38" s="1477"/>
      <c r="Y38" s="3518"/>
      <c r="Z38" s="1478">
        <f t="shared" si="13"/>
        <v>111</v>
      </c>
      <c r="AA38" s="1475">
        <f t="shared" si="3"/>
        <v>1</v>
      </c>
      <c r="AB38" s="1475">
        <f t="shared" si="4"/>
        <v>1</v>
      </c>
      <c r="AC38" s="1475">
        <f t="shared" si="5"/>
        <v>1</v>
      </c>
    </row>
    <row r="39" spans="1:31" ht="15.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83"/>
      <c r="M39" s="2877"/>
      <c r="N39" s="2877"/>
      <c r="O39" s="2935"/>
      <c r="P39" s="3518"/>
      <c r="Q39" s="1474">
        <f t="shared" si="14"/>
        <v>111</v>
      </c>
      <c r="R39" s="702" t="s">
        <v>17</v>
      </c>
      <c r="S39" s="703">
        <f t="shared" si="10"/>
        <v>100</v>
      </c>
      <c r="T39" s="702" t="s">
        <v>17</v>
      </c>
      <c r="U39" s="703">
        <f t="shared" si="11"/>
        <v>100</v>
      </c>
      <c r="V39" s="702" t="s">
        <v>17</v>
      </c>
      <c r="W39" s="703">
        <f t="shared" si="12"/>
        <v>100</v>
      </c>
      <c r="X39" s="1477"/>
      <c r="Y39" s="3518"/>
      <c r="Z39" s="1478">
        <f t="shared" si="13"/>
        <v>111</v>
      </c>
      <c r="AA39" s="1475">
        <f t="shared" si="3"/>
        <v>1</v>
      </c>
      <c r="AB39" s="1475">
        <f t="shared" si="4"/>
        <v>1</v>
      </c>
      <c r="AC39" s="1475">
        <f t="shared" si="5"/>
        <v>1</v>
      </c>
    </row>
    <row r="40" spans="1:31" s="420" customFormat="1" ht="16"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82"/>
      <c r="M40" s="2884"/>
      <c r="N40" s="2884"/>
      <c r="O40" s="2936"/>
      <c r="P40" s="3518"/>
      <c r="Q40" s="1474">
        <f t="shared" si="14"/>
        <v>111</v>
      </c>
      <c r="R40" s="705" t="s">
        <v>17</v>
      </c>
      <c r="S40" s="706">
        <f t="shared" si="10"/>
        <v>100</v>
      </c>
      <c r="T40" s="705" t="s">
        <v>17</v>
      </c>
      <c r="U40" s="706">
        <f t="shared" si="11"/>
        <v>100</v>
      </c>
      <c r="V40" s="705" t="s">
        <v>17</v>
      </c>
      <c r="W40" s="706">
        <f t="shared" si="12"/>
        <v>100</v>
      </c>
      <c r="X40" s="707"/>
      <c r="Y40" s="3518"/>
      <c r="Z40" s="708">
        <f t="shared" si="13"/>
        <v>111</v>
      </c>
      <c r="AA40" s="1475">
        <f t="shared" si="3"/>
        <v>1</v>
      </c>
      <c r="AB40" s="1475">
        <f t="shared" si="4"/>
        <v>1</v>
      </c>
      <c r="AC40" s="1475">
        <f t="shared" si="5"/>
        <v>1</v>
      </c>
    </row>
    <row r="41" spans="1:31">
      <c r="A41" s="428" t="s">
        <v>2300</v>
      </c>
      <c r="B41" s="2106" t="s">
        <v>2379</v>
      </c>
      <c r="C41" s="628" t="s">
        <v>1</v>
      </c>
      <c r="D41" s="430"/>
      <c r="E41" s="431"/>
      <c r="F41" s="432"/>
      <c r="G41" s="433"/>
      <c r="H41" s="434"/>
      <c r="I41" s="431"/>
      <c r="J41" s="434"/>
      <c r="K41" s="711"/>
      <c r="L41" s="2885"/>
      <c r="M41" s="2877"/>
      <c r="N41" s="2877"/>
      <c r="O41" s="2886"/>
      <c r="P41" s="3500" t="str">
        <f>A41</f>
        <v>成交单价</v>
      </c>
      <c r="Q41" s="3500"/>
      <c r="R41" s="3513">
        <f>E41</f>
        <v>0</v>
      </c>
      <c r="S41" s="3513"/>
      <c r="T41" s="3513">
        <f>G41</f>
        <v>0</v>
      </c>
      <c r="U41" s="3513"/>
      <c r="V41" s="3513">
        <f>I41</f>
        <v>0</v>
      </c>
      <c r="W41" s="3513"/>
      <c r="X41" s="687"/>
      <c r="Y41" s="709"/>
      <c r="Z41" s="687"/>
      <c r="AA41" s="687"/>
      <c r="AB41" s="687"/>
      <c r="AC41" s="687"/>
    </row>
    <row r="42" spans="1:31" ht="14.5" thickBot="1">
      <c r="A42" s="435" t="s">
        <v>2249</v>
      </c>
      <c r="B42" s="629"/>
      <c r="C42" s="438" t="e">
        <f>R43</f>
        <v>#DIV/0!</v>
      </c>
      <c r="D42" s="2476" t="s">
        <v>2639</v>
      </c>
      <c r="E42" s="438" t="e">
        <f>R42</f>
        <v>#DIV/0!</v>
      </c>
      <c r="F42" s="2477"/>
      <c r="G42" s="437" t="e">
        <f>T42</f>
        <v>#DIV/0!</v>
      </c>
      <c r="H42" s="2477"/>
      <c r="I42" s="438" t="e">
        <f>V42</f>
        <v>#DIV/0!</v>
      </c>
      <c r="J42" s="2477"/>
      <c r="K42" s="2479">
        <f>F42+H42+J42</f>
        <v>0</v>
      </c>
      <c r="L42" s="2885"/>
      <c r="M42" s="2877"/>
      <c r="N42" s="2877"/>
      <c r="O42" s="2886"/>
      <c r="P42" s="3500" t="str">
        <f>A42</f>
        <v>比较价值（元/平方米）</v>
      </c>
      <c r="Q42" s="3500"/>
      <c r="R42" s="3519" t="e">
        <f>ROUND(PRODUCT(R41,AA7:AA40),0)</f>
        <v>#DIV/0!</v>
      </c>
      <c r="S42" s="3519"/>
      <c r="T42" s="3519" t="e">
        <f>ROUND(PRODUCT(T41,AB7:AB40),0)</f>
        <v>#DIV/0!</v>
      </c>
      <c r="U42" s="3519"/>
      <c r="V42" s="3519" t="e">
        <f>ROUND(PRODUCT(V41,AC7:AC40),0)</f>
        <v>#DIV/0!</v>
      </c>
      <c r="W42" s="3519"/>
      <c r="X42" s="687"/>
      <c r="Y42" s="687"/>
      <c r="Z42" s="687"/>
      <c r="AA42" s="687"/>
      <c r="AB42" s="687"/>
      <c r="AC42" s="687"/>
    </row>
    <row r="43" spans="1:31" ht="14.5" thickBot="1">
      <c r="A43" s="439" t="s">
        <v>2250</v>
      </c>
      <c r="B43" s="440"/>
      <c r="C43" s="441" t="e">
        <f>R43</f>
        <v>#DIV/0!</v>
      </c>
      <c r="D43" s="441"/>
      <c r="E43" s="441"/>
      <c r="F43" s="441"/>
      <c r="G43" s="441"/>
      <c r="H43" s="441"/>
      <c r="I43" s="441"/>
      <c r="J43" s="441"/>
      <c r="K43" s="712"/>
      <c r="L43" s="2885"/>
      <c r="M43" s="2877"/>
      <c r="N43" s="2877"/>
      <c r="O43" s="2886"/>
      <c r="P43" s="3520" t="str">
        <f>A43</f>
        <v>估价对象XX用房的比较价值（楼面单价，元/平方米）</v>
      </c>
      <c r="Q43" s="3521"/>
      <c r="R43" s="3522" t="e">
        <f>ROUND(IF(D42="简单平均",AVERAGE(R42:W42),R42*F42+T42*H42+V42*J42),0)</f>
        <v>#DIV/0!</v>
      </c>
      <c r="S43" s="3522"/>
      <c r="T43" s="3522"/>
      <c r="U43" s="3522"/>
      <c r="V43" s="3522"/>
      <c r="W43" s="3522"/>
      <c r="X43" s="687"/>
      <c r="Y43" s="687"/>
      <c r="Z43" s="687"/>
      <c r="AA43" s="687"/>
      <c r="AB43" s="687"/>
      <c r="AC43" s="687"/>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49" customFormat="1" ht="14.5" thickBot="1">
      <c r="A49" s="2889"/>
      <c r="B49" s="2892"/>
      <c r="C49" s="690"/>
      <c r="D49" s="688"/>
      <c r="E49" s="688"/>
      <c r="F49" s="688"/>
      <c r="G49" s="688"/>
      <c r="H49" s="688"/>
      <c r="I49" s="688"/>
      <c r="J49" s="688"/>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8">
      <c r="A50" s="630" t="s">
        <v>2338</v>
      </c>
      <c r="B50" s="631" t="s">
        <v>2339</v>
      </c>
      <c r="C50" s="2107" t="s">
        <v>2340</v>
      </c>
      <c r="D50" s="2108" t="s">
        <v>2341</v>
      </c>
      <c r="E50" s="632" t="s">
        <v>2342</v>
      </c>
      <c r="F50" s="633" t="s">
        <v>2343</v>
      </c>
      <c r="G50" s="3501" t="s">
        <v>2344</v>
      </c>
      <c r="H50" s="3523"/>
      <c r="I50" s="1478" t="s">
        <v>2380</v>
      </c>
      <c r="J50" s="1478">
        <f>项目基本情况!F35</f>
        <v>0</v>
      </c>
      <c r="K50" s="2110" t="s">
        <v>2346</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38" customFormat="1">
      <c r="A51" s="634" t="s">
        <v>2347</v>
      </c>
      <c r="B51" s="635" t="e">
        <f>C43</f>
        <v>#DIV/0!</v>
      </c>
      <c r="C51" s="636">
        <v>1</v>
      </c>
      <c r="D51" s="1044">
        <v>1</v>
      </c>
      <c r="E51" s="636">
        <f>'数据-汇总表'!E8+'数据-汇总表'!E9</f>
        <v>56128.46</v>
      </c>
      <c r="F51" s="637" t="e">
        <f t="shared" ref="F51:F60" si="15">ROUND(B51*E51/10000,0)</f>
        <v>#DIV/0!</v>
      </c>
      <c r="G51" s="3524"/>
      <c r="H51" s="3500"/>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38" customFormat="1">
      <c r="A52" s="639" t="s">
        <v>2348</v>
      </c>
      <c r="B52" s="214" t="e">
        <f>ROUND($C$43*C52*D52,0)</f>
        <v>#DIV/0!</v>
      </c>
      <c r="C52" s="166">
        <f t="shared" ref="C52:C60" si="16">IF($C$50="北京市系数",I52,J52)</f>
        <v>0.6</v>
      </c>
      <c r="D52" s="1045">
        <v>0.25</v>
      </c>
      <c r="E52" s="640"/>
      <c r="F52" s="637" t="e">
        <f t="shared" si="15"/>
        <v>#DIV/0!</v>
      </c>
      <c r="G52" s="3204" t="s">
        <v>2349</v>
      </c>
      <c r="H52" s="987" t="str">
        <f>项目基本情况!B37</f>
        <v>四级</v>
      </c>
      <c r="I52" s="848">
        <f>SUMIF(修正!A57:A68,H52,修正!B57:B68)</f>
        <v>0.6</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38" customFormat="1">
      <c r="A53" s="639" t="s">
        <v>2350</v>
      </c>
      <c r="B53" s="214" t="e">
        <f t="shared" ref="B53:B60" si="17">ROUND($C$43*C53*D53,0)</f>
        <v>#DIV/0!</v>
      </c>
      <c r="C53" s="166">
        <f t="shared" si="16"/>
        <v>0.3</v>
      </c>
      <c r="D53" s="1045">
        <v>0.25</v>
      </c>
      <c r="E53" s="640"/>
      <c r="F53" s="637" t="e">
        <f t="shared" si="15"/>
        <v>#DIV/0!</v>
      </c>
      <c r="G53" s="3205"/>
      <c r="H53" s="987" t="str">
        <f>项目基本情况!B37</f>
        <v>四级</v>
      </c>
      <c r="I53" s="848">
        <f>SUMIF(修正!A57:A68,H53,修正!C57:C68)</f>
        <v>0.3</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38" customFormat="1">
      <c r="A54" s="639" t="s">
        <v>2351</v>
      </c>
      <c r="B54" s="214" t="e">
        <f t="shared" si="17"/>
        <v>#DIV/0!</v>
      </c>
      <c r="C54" s="166">
        <f t="shared" si="16"/>
        <v>0.25</v>
      </c>
      <c r="D54" s="1045">
        <v>0.25</v>
      </c>
      <c r="E54" s="640"/>
      <c r="F54" s="637" t="e">
        <f t="shared" si="15"/>
        <v>#DIV/0!</v>
      </c>
      <c r="G54" s="3205"/>
      <c r="H54" s="987" t="str">
        <f>项目基本情况!B37</f>
        <v>四级</v>
      </c>
      <c r="I54" s="848">
        <f>SUMIF(修正!A57:A68,H54,修正!D57:D68)</f>
        <v>0.25</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38" customFormat="1" hidden="1">
      <c r="A55" s="639"/>
      <c r="B55" s="214"/>
      <c r="C55" s="166"/>
      <c r="D55" s="1045"/>
      <c r="E55" s="640"/>
      <c r="F55" s="637"/>
      <c r="G55" s="3206"/>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38" customFormat="1">
      <c r="A56" s="639" t="s">
        <v>2352</v>
      </c>
      <c r="B56" s="214" t="e">
        <f t="shared" si="17"/>
        <v>#DIV/0!</v>
      </c>
      <c r="C56" s="166">
        <f t="shared" si="16"/>
        <v>0.25</v>
      </c>
      <c r="D56" s="1045">
        <v>0.25</v>
      </c>
      <c r="E56" s="213">
        <f>'数据-汇总表'!E11</f>
        <v>0</v>
      </c>
      <c r="F56" s="637" t="e">
        <f t="shared" si="15"/>
        <v>#DIV/0!</v>
      </c>
      <c r="G56" s="2111" t="s">
        <v>2353</v>
      </c>
      <c r="H56" s="987" t="str">
        <f>项目基本情况!C37</f>
        <v>四级</v>
      </c>
      <c r="I56" s="848">
        <f>SUMIF(修正!A57:A68,H56,修正!E57:E68)</f>
        <v>0.25</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38" customFormat="1">
      <c r="A57" s="639" t="s">
        <v>2354</v>
      </c>
      <c r="B57" s="214" t="e">
        <f t="shared" si="17"/>
        <v>#DIV/0!</v>
      </c>
      <c r="C57" s="166">
        <f t="shared" si="16"/>
        <v>0.25</v>
      </c>
      <c r="D57" s="1045">
        <v>0.25</v>
      </c>
      <c r="E57" s="213">
        <f>'数据-汇总表'!E12</f>
        <v>0</v>
      </c>
      <c r="F57" s="637" t="e">
        <f t="shared" si="15"/>
        <v>#DIV/0!</v>
      </c>
      <c r="G57" s="992" t="s">
        <v>2355</v>
      </c>
      <c r="H57" s="987" t="str">
        <f>IF(G57="商业",项目基本情况!B37,IF(G57="办公",项目基本情况!C37,IF(G57="住宅",项目基本情况!D37,项目基本情况!E37)))</f>
        <v>四级</v>
      </c>
      <c r="I57" s="848">
        <f>SUMIF(修正!A57:A68,H57,修正!F57:F68)</f>
        <v>0.25</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38" customFormat="1">
      <c r="A58" s="639" t="s">
        <v>2356</v>
      </c>
      <c r="B58" s="214" t="e">
        <f t="shared" si="17"/>
        <v>#DIV/0!</v>
      </c>
      <c r="C58" s="166">
        <f t="shared" si="16"/>
        <v>0.15</v>
      </c>
      <c r="D58" s="1045">
        <v>0.25</v>
      </c>
      <c r="E58" s="213">
        <f>'数据-汇总表'!E13</f>
        <v>0</v>
      </c>
      <c r="F58" s="637" t="e">
        <f t="shared" si="15"/>
        <v>#DIV/0!</v>
      </c>
      <c r="G58" s="992" t="s">
        <v>2357</v>
      </c>
      <c r="H58" s="987" t="str">
        <f>IF(G58="商业",项目基本情况!B37,IF(G58="办公",项目基本情况!C37,IF(G58="住宅",项目基本情况!D37,项目基本情况!E37)))</f>
        <v>四级</v>
      </c>
      <c r="I58" s="848">
        <f>SUMIF(修正!A57:A68,H58,修正!G57:G68)</f>
        <v>0.15</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38" customFormat="1">
      <c r="A59" s="639" t="s">
        <v>2358</v>
      </c>
      <c r="B59" s="214" t="e">
        <f t="shared" si="17"/>
        <v>#DIV/0!</v>
      </c>
      <c r="C59" s="166">
        <f t="shared" si="16"/>
        <v>0.15</v>
      </c>
      <c r="D59" s="1045">
        <v>0.25</v>
      </c>
      <c r="E59" s="213">
        <f>'数据-汇总表'!E14</f>
        <v>0</v>
      </c>
      <c r="F59" s="637" t="e">
        <f t="shared" si="15"/>
        <v>#DIV/0!</v>
      </c>
      <c r="G59" s="2111" t="s">
        <v>2349</v>
      </c>
      <c r="H59" s="987" t="str">
        <f>项目基本情况!B37</f>
        <v>四级</v>
      </c>
      <c r="I59" s="848">
        <f>SUMIF(修正!A57:A68,H59,修正!G57:G68)</f>
        <v>0.15</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38" customFormat="1" ht="14.5" thickBot="1">
      <c r="A60" s="639" t="s">
        <v>2359</v>
      </c>
      <c r="B60" s="214" t="e">
        <f t="shared" si="17"/>
        <v>#DIV/0!</v>
      </c>
      <c r="C60" s="166">
        <f t="shared" si="16"/>
        <v>0.15</v>
      </c>
      <c r="D60" s="1045">
        <v>0.25</v>
      </c>
      <c r="E60" s="213">
        <f>'数据-汇总表'!E15</f>
        <v>0</v>
      </c>
      <c r="F60" s="637" t="e">
        <f t="shared" si="15"/>
        <v>#DIV/0!</v>
      </c>
      <c r="G60" s="2112" t="s">
        <v>2353</v>
      </c>
      <c r="H60" s="997" t="str">
        <f>项目基本情况!C37</f>
        <v>四级</v>
      </c>
      <c r="I60" s="848">
        <f>SUMIF(修正!A57:A68,H60,修正!G57:G68)</f>
        <v>0.15</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38" customFormat="1" ht="14.5" thickBot="1">
      <c r="A61" s="641" t="s">
        <v>2360</v>
      </c>
      <c r="B61" s="642" t="s">
        <v>28</v>
      </c>
      <c r="C61" s="642" t="s">
        <v>29</v>
      </c>
      <c r="D61" s="642" t="s">
        <v>816</v>
      </c>
      <c r="E61" s="642">
        <f>IF(B41="楼面地价",SUM(E51:E60),'数据-汇总表'!D3)</f>
        <v>28178.74</v>
      </c>
      <c r="F61" s="643"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86"/>
      <c r="Q63" s="2886"/>
      <c r="R63" s="2886"/>
      <c r="S63" s="2886"/>
      <c r="T63" s="2886"/>
      <c r="U63" s="2886"/>
      <c r="V63" s="2886"/>
      <c r="W63" s="2886"/>
      <c r="X63" s="2886"/>
      <c r="Y63" s="2886"/>
      <c r="Z63" s="2886"/>
      <c r="AA63" s="2886"/>
      <c r="AB63" s="2886"/>
      <c r="AC63" s="2886"/>
      <c r="AD63" s="2886"/>
      <c r="AE63" s="2886"/>
    </row>
    <row r="64" spans="1:31" ht="21.5" thickBot="1">
      <c r="A64" s="691" t="s">
        <v>2254</v>
      </c>
      <c r="B64" s="687"/>
      <c r="C64" s="692"/>
      <c r="D64" s="692"/>
      <c r="E64" s="692"/>
      <c r="F64" s="693"/>
      <c r="G64" s="693"/>
      <c r="H64" s="692"/>
      <c r="I64" s="692"/>
      <c r="J64" s="692"/>
      <c r="K64" s="694"/>
      <c r="L64" s="695"/>
      <c r="M64" s="692"/>
      <c r="N64" s="692"/>
      <c r="O64" s="1040"/>
      <c r="P64" s="2930"/>
      <c r="Q64" s="2900"/>
      <c r="R64" s="2886"/>
      <c r="S64" s="2886"/>
      <c r="T64" s="2886"/>
      <c r="U64" s="2886"/>
      <c r="V64" s="2886"/>
      <c r="W64" s="2886"/>
      <c r="X64" s="2886"/>
      <c r="Y64" s="2886"/>
      <c r="Z64" s="2886"/>
      <c r="AA64" s="2886"/>
      <c r="AB64" s="2886"/>
      <c r="AC64" s="2886"/>
      <c r="AD64" s="2886"/>
      <c r="AE64" s="2886"/>
    </row>
    <row r="65" spans="1:31" s="455" customFormat="1">
      <c r="A65" s="2113" t="s">
        <v>2361</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37"/>
      <c r="Q65" s="2902"/>
      <c r="R65" s="2902"/>
      <c r="S65" s="2902"/>
      <c r="T65" s="2902"/>
      <c r="U65" s="2902"/>
      <c r="V65" s="2902"/>
      <c r="W65" s="2902"/>
      <c r="X65" s="2902"/>
      <c r="Y65" s="2902"/>
      <c r="Z65" s="2902"/>
      <c r="AA65" s="2902"/>
      <c r="AB65" s="2902"/>
      <c r="AC65" s="2902"/>
      <c r="AD65" s="2902"/>
      <c r="AE65" s="2902"/>
    </row>
    <row r="66" spans="1:31" s="110" customFormat="1" ht="30.75" customHeight="1">
      <c r="A66" s="2118" t="s">
        <v>2381</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900"/>
      <c r="Q66" s="2821"/>
      <c r="R66" s="2821"/>
      <c r="S66" s="2821"/>
      <c r="T66" s="2821"/>
      <c r="U66" s="2821"/>
      <c r="V66" s="2821"/>
      <c r="W66" s="2821"/>
      <c r="X66" s="2821"/>
      <c r="Y66" s="2821"/>
      <c r="Z66" s="2821"/>
      <c r="AA66" s="2821"/>
      <c r="AB66" s="2821"/>
      <c r="AC66" s="2821"/>
      <c r="AD66" s="2821"/>
      <c r="AE66" s="2821"/>
    </row>
    <row r="67" spans="1:31" s="110" customFormat="1" ht="14.5" thickBot="1">
      <c r="A67" s="462" t="s">
        <v>2165</v>
      </c>
      <c r="B67" s="463"/>
      <c r="C67" s="464"/>
      <c r="D67" s="465"/>
      <c r="E67" s="465"/>
      <c r="F67" s="465"/>
      <c r="G67" s="465"/>
      <c r="H67" s="465"/>
      <c r="I67" s="465"/>
      <c r="J67" s="465"/>
      <c r="K67" s="465"/>
      <c r="L67" s="465"/>
      <c r="M67" s="466"/>
      <c r="N67" s="466"/>
      <c r="O67" s="467"/>
      <c r="P67" s="2900"/>
      <c r="Q67" s="2900"/>
      <c r="R67" s="2821"/>
      <c r="S67" s="2821"/>
      <c r="T67" s="2821"/>
      <c r="U67" s="2821"/>
      <c r="V67" s="2821"/>
      <c r="W67" s="2821"/>
      <c r="X67" s="2821"/>
      <c r="Y67" s="2821"/>
      <c r="Z67" s="2821"/>
      <c r="AA67" s="2821"/>
      <c r="AB67" s="2821"/>
      <c r="AC67" s="2821"/>
      <c r="AD67" s="2821"/>
      <c r="AE67" s="2821"/>
    </row>
    <row r="68" spans="1:31" s="110" customFormat="1">
      <c r="A68" s="468" t="s">
        <v>2130</v>
      </c>
      <c r="B68" s="457"/>
      <c r="C68" s="469" t="s">
        <v>2232</v>
      </c>
      <c r="D68" s="470"/>
      <c r="E68" s="470"/>
      <c r="F68" s="470"/>
      <c r="G68" s="470"/>
      <c r="H68" s="470"/>
      <c r="I68" s="470"/>
      <c r="J68" s="470"/>
      <c r="K68" s="470"/>
      <c r="L68" s="471"/>
      <c r="M68" s="472"/>
      <c r="N68" s="2913"/>
      <c r="O68" s="2913"/>
      <c r="P68" s="2938"/>
      <c r="Q68" s="2900"/>
      <c r="R68" s="2821"/>
      <c r="S68" s="2821"/>
      <c r="T68" s="2821"/>
      <c r="U68" s="2821"/>
      <c r="V68" s="2821"/>
      <c r="W68" s="2821"/>
      <c r="X68" s="2821"/>
      <c r="Y68" s="2821"/>
      <c r="Z68" s="2821"/>
      <c r="AA68" s="2821"/>
      <c r="AB68" s="2821"/>
      <c r="AC68" s="2821"/>
      <c r="AD68" s="2821"/>
      <c r="AE68" s="2821"/>
    </row>
    <row r="69" spans="1:31" s="110" customFormat="1" ht="14.5" thickBot="1">
      <c r="A69" s="468"/>
      <c r="B69" s="457"/>
      <c r="C69" s="585">
        <v>100</v>
      </c>
      <c r="D69" s="459"/>
      <c r="E69" s="459"/>
      <c r="F69" s="459"/>
      <c r="G69" s="459"/>
      <c r="H69" s="459"/>
      <c r="I69" s="459"/>
      <c r="J69" s="459"/>
      <c r="K69" s="459"/>
      <c r="L69" s="459"/>
      <c r="M69" s="461"/>
      <c r="N69" s="2913"/>
      <c r="O69" s="2913"/>
      <c r="P69" s="2900"/>
      <c r="Q69" s="2900"/>
      <c r="R69" s="2821"/>
      <c r="S69" s="2821"/>
      <c r="T69" s="2821"/>
      <c r="U69" s="2821"/>
      <c r="V69" s="2821"/>
      <c r="W69" s="2821"/>
      <c r="X69" s="2821"/>
      <c r="Y69" s="2821"/>
      <c r="Z69" s="2821"/>
      <c r="AA69" s="2821"/>
      <c r="AB69" s="2821"/>
      <c r="AC69" s="2821"/>
      <c r="AD69" s="2821"/>
      <c r="AE69" s="2821"/>
    </row>
    <row r="70" spans="1:31">
      <c r="A70" s="474" t="s">
        <v>2168</v>
      </c>
      <c r="B70" s="475" t="s">
        <v>2134</v>
      </c>
      <c r="C70" s="477"/>
      <c r="D70" s="477"/>
      <c r="E70" s="477"/>
      <c r="F70" s="477"/>
      <c r="G70" s="477"/>
      <c r="H70" s="477"/>
      <c r="I70" s="477"/>
      <c r="J70" s="477"/>
      <c r="K70" s="478"/>
      <c r="L70" s="479"/>
      <c r="M70" s="480"/>
      <c r="N70" s="2914"/>
      <c r="O70" s="2914"/>
      <c r="P70" s="2939"/>
      <c r="Q70" s="2900"/>
      <c r="R70" s="2886"/>
      <c r="S70" s="2886"/>
      <c r="T70" s="2886"/>
      <c r="U70" s="2886"/>
      <c r="V70" s="2886"/>
      <c r="W70" s="2886"/>
      <c r="X70" s="2886"/>
      <c r="Y70" s="2886"/>
      <c r="Z70" s="2886"/>
      <c r="AA70" s="2886"/>
      <c r="AB70" s="2886"/>
      <c r="AC70" s="2886"/>
      <c r="AD70" s="2886"/>
      <c r="AE70" s="2886"/>
    </row>
    <row r="71" spans="1:31" ht="14.5" thickBot="1">
      <c r="A71" s="481"/>
      <c r="B71" s="482"/>
      <c r="C71" s="483"/>
      <c r="D71" s="483"/>
      <c r="E71" s="483"/>
      <c r="F71" s="483"/>
      <c r="G71" s="483"/>
      <c r="H71" s="483"/>
      <c r="I71" s="483"/>
      <c r="J71" s="483"/>
      <c r="K71" s="483"/>
      <c r="L71" s="483"/>
      <c r="M71" s="484"/>
      <c r="N71" s="2915"/>
      <c r="O71" s="2915"/>
      <c r="P71" s="2939"/>
      <c r="Q71" s="2900"/>
      <c r="R71" s="2886"/>
      <c r="S71" s="2886"/>
      <c r="T71" s="2886"/>
      <c r="U71" s="2886"/>
      <c r="V71" s="2886"/>
      <c r="W71" s="2886"/>
      <c r="X71" s="2886"/>
      <c r="Y71" s="2886"/>
      <c r="Z71" s="2886"/>
      <c r="AA71" s="2886"/>
      <c r="AB71" s="2886"/>
      <c r="AC71" s="2886"/>
      <c r="AD71" s="2886"/>
      <c r="AE71" s="2886"/>
    </row>
    <row r="72" spans="1:31" ht="28.5" thickTop="1">
      <c r="A72" s="481"/>
      <c r="B72" s="485" t="s">
        <v>2137</v>
      </c>
      <c r="C72" s="486"/>
      <c r="D72" s="486"/>
      <c r="E72" s="486"/>
      <c r="F72" s="486"/>
      <c r="G72" s="486"/>
      <c r="H72" s="486"/>
      <c r="I72" s="486"/>
      <c r="J72" s="486"/>
      <c r="K72" s="487"/>
      <c r="L72" s="488"/>
      <c r="M72" s="489"/>
      <c r="N72" s="2914"/>
      <c r="O72" s="2914"/>
      <c r="P72" s="2939"/>
      <c r="Q72" s="2900"/>
      <c r="R72" s="2886"/>
      <c r="S72" s="2886"/>
      <c r="T72" s="2886"/>
      <c r="U72" s="2886"/>
      <c r="V72" s="2886"/>
      <c r="W72" s="2886"/>
      <c r="X72" s="2886"/>
      <c r="Y72" s="2886"/>
      <c r="Z72" s="2886"/>
      <c r="AA72" s="2886"/>
      <c r="AB72" s="2886"/>
      <c r="AC72" s="2886"/>
      <c r="AD72" s="2886"/>
      <c r="AE72" s="2886"/>
    </row>
    <row r="73" spans="1:31" ht="14.5" thickBot="1">
      <c r="A73" s="481"/>
      <c r="B73" s="490"/>
      <c r="C73" s="491"/>
      <c r="D73" s="491"/>
      <c r="E73" s="491"/>
      <c r="F73" s="491"/>
      <c r="G73" s="491"/>
      <c r="H73" s="491"/>
      <c r="I73" s="491"/>
      <c r="J73" s="491"/>
      <c r="K73" s="491"/>
      <c r="L73" s="491"/>
      <c r="M73" s="492"/>
      <c r="N73" s="2915"/>
      <c r="O73" s="2915"/>
      <c r="P73" s="2939"/>
      <c r="Q73" s="2900"/>
      <c r="R73" s="2886"/>
      <c r="S73" s="2886"/>
      <c r="T73" s="2886"/>
      <c r="U73" s="2886"/>
      <c r="V73" s="2886"/>
      <c r="W73" s="2886"/>
      <c r="X73" s="2886"/>
      <c r="Y73" s="2886"/>
      <c r="Z73" s="2886"/>
      <c r="AA73" s="2886"/>
      <c r="AB73" s="2886"/>
      <c r="AC73" s="2886"/>
      <c r="AD73" s="2886"/>
      <c r="AE73" s="2886"/>
    </row>
    <row r="74" spans="1:31" ht="14.5" thickTop="1">
      <c r="A74" s="481"/>
      <c r="B74" s="493" t="s">
        <v>2138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c r="A75" s="481"/>
      <c r="B75" s="495"/>
      <c r="C75" s="496"/>
      <c r="D75" s="496"/>
      <c r="E75" s="496"/>
      <c r="F75" s="496"/>
      <c r="G75" s="496"/>
      <c r="H75" s="496"/>
      <c r="I75" s="496"/>
      <c r="J75" s="496"/>
      <c r="K75" s="497"/>
      <c r="L75" s="498"/>
      <c r="M75" s="499"/>
      <c r="N75" s="2914"/>
      <c r="O75" s="2914"/>
      <c r="P75" s="2939"/>
      <c r="Q75" s="2900"/>
      <c r="R75" s="2886"/>
      <c r="S75" s="2886"/>
      <c r="T75" s="2886"/>
      <c r="U75" s="2886"/>
      <c r="V75" s="2886"/>
      <c r="W75" s="2886"/>
      <c r="X75" s="2886"/>
      <c r="Y75" s="2886"/>
      <c r="Z75" s="2886"/>
      <c r="AA75" s="2886"/>
      <c r="AB75" s="2886"/>
      <c r="AC75" s="2886"/>
      <c r="AD75" s="2886"/>
      <c r="AE75" s="288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0" customFormat="1" ht="14.5" thickTop="1">
      <c r="A77" s="500"/>
      <c r="B77" s="485">
        <f>B12</f>
        <v>111</v>
      </c>
      <c r="C77" s="501"/>
      <c r="D77" s="501"/>
      <c r="E77" s="501"/>
      <c r="F77" s="501"/>
      <c r="G77" s="501"/>
      <c r="H77" s="502"/>
      <c r="I77" s="502"/>
      <c r="J77" s="502"/>
      <c r="K77" s="502"/>
      <c r="L77" s="503"/>
      <c r="M77" s="504"/>
      <c r="N77" s="2916"/>
      <c r="O77" s="2916"/>
      <c r="P77" s="2940"/>
      <c r="Q77" s="2907"/>
      <c r="R77" s="2908"/>
      <c r="S77" s="2908"/>
      <c r="T77" s="2908"/>
      <c r="U77" s="2908"/>
      <c r="V77" s="2908"/>
      <c r="W77" s="2908"/>
      <c r="X77" s="2908"/>
      <c r="Y77" s="2908"/>
      <c r="Z77" s="2908"/>
      <c r="AA77" s="2908"/>
      <c r="AB77" s="2908"/>
      <c r="AC77" s="2908"/>
      <c r="AD77" s="2908"/>
      <c r="AE77" s="2908"/>
    </row>
    <row r="78" spans="1:31" s="420" customFormat="1" ht="14.5" thickBot="1">
      <c r="A78" s="500"/>
      <c r="B78" s="490"/>
      <c r="C78" s="507"/>
      <c r="D78" s="483"/>
      <c r="E78" s="483"/>
      <c r="F78" s="483"/>
      <c r="G78" s="483"/>
      <c r="H78" s="483"/>
      <c r="I78" s="483"/>
      <c r="J78" s="483"/>
      <c r="K78" s="483"/>
      <c r="L78" s="483"/>
      <c r="M78" s="484"/>
      <c r="N78" s="2915"/>
      <c r="O78" s="2915"/>
      <c r="P78" s="2940"/>
      <c r="Q78" s="2907"/>
      <c r="R78" s="2908"/>
      <c r="S78" s="2908"/>
      <c r="T78" s="2908"/>
      <c r="U78" s="2908"/>
      <c r="V78" s="2908"/>
      <c r="W78" s="2908"/>
      <c r="X78" s="2908"/>
      <c r="Y78" s="2908"/>
      <c r="Z78" s="2908"/>
      <c r="AA78" s="2908"/>
      <c r="AB78" s="2908"/>
      <c r="AC78" s="2908"/>
      <c r="AD78" s="2908"/>
      <c r="AE78" s="2908"/>
    </row>
    <row r="79" spans="1:31" s="420" customFormat="1" ht="14.5" thickTop="1">
      <c r="A79" s="500"/>
      <c r="B79" s="485">
        <f>B13</f>
        <v>111</v>
      </c>
      <c r="C79" s="501"/>
      <c r="D79" s="501"/>
      <c r="E79" s="501"/>
      <c r="F79" s="501"/>
      <c r="G79" s="501"/>
      <c r="H79" s="502"/>
      <c r="I79" s="502"/>
      <c r="J79" s="502"/>
      <c r="K79" s="502"/>
      <c r="L79" s="503"/>
      <c r="M79" s="504"/>
      <c r="N79" s="2916"/>
      <c r="O79" s="2916"/>
      <c r="P79" s="2884"/>
      <c r="Q79" s="2910"/>
      <c r="R79" s="2908"/>
      <c r="S79" s="2908"/>
      <c r="T79" s="2908"/>
      <c r="U79" s="2908"/>
      <c r="V79" s="2908"/>
      <c r="W79" s="2908"/>
      <c r="X79" s="2908"/>
      <c r="Y79" s="2908"/>
      <c r="Z79" s="2908"/>
      <c r="AA79" s="2908"/>
      <c r="AB79" s="2908"/>
      <c r="AC79" s="2908"/>
      <c r="AD79" s="2908"/>
      <c r="AE79" s="2908"/>
    </row>
    <row r="80" spans="1:31" s="420" customFormat="1" ht="14.5" thickBot="1">
      <c r="A80" s="500"/>
      <c r="B80" s="490"/>
      <c r="C80" s="507"/>
      <c r="D80" s="507"/>
      <c r="E80" s="507"/>
      <c r="F80" s="507"/>
      <c r="G80" s="507"/>
      <c r="H80" s="509"/>
      <c r="I80" s="509"/>
      <c r="J80" s="509"/>
      <c r="K80" s="509"/>
      <c r="L80" s="509"/>
      <c r="M80" s="510"/>
      <c r="N80" s="2916"/>
      <c r="O80" s="2916"/>
      <c r="P80" s="2940"/>
      <c r="Q80" s="2907"/>
      <c r="R80" s="2908"/>
      <c r="S80" s="2908"/>
      <c r="T80" s="2908"/>
      <c r="U80" s="2908"/>
      <c r="V80" s="2908"/>
      <c r="W80" s="2908"/>
      <c r="X80" s="2908"/>
      <c r="Y80" s="2908"/>
      <c r="Z80" s="2908"/>
      <c r="AA80" s="2908"/>
      <c r="AB80" s="2908"/>
      <c r="AC80" s="2908"/>
      <c r="AD80" s="2908"/>
      <c r="AE80" s="2908"/>
    </row>
    <row r="81" spans="1:31" s="420" customFormat="1" ht="14.5" thickTop="1">
      <c r="A81" s="500"/>
      <c r="B81" s="493">
        <f>B14</f>
        <v>111</v>
      </c>
      <c r="C81" s="470"/>
      <c r="D81" s="470"/>
      <c r="E81" s="470"/>
      <c r="F81" s="470"/>
      <c r="G81" s="470"/>
      <c r="H81" s="511"/>
      <c r="I81" s="511"/>
      <c r="J81" s="511"/>
      <c r="K81" s="511"/>
      <c r="L81" s="512"/>
      <c r="M81" s="513"/>
      <c r="N81" s="2916"/>
      <c r="O81" s="2916"/>
      <c r="P81" s="2945"/>
      <c r="Q81" s="2907"/>
      <c r="R81" s="2908"/>
      <c r="S81" s="2908"/>
      <c r="T81" s="2908"/>
      <c r="U81" s="2908"/>
      <c r="V81" s="2908"/>
      <c r="W81" s="2908"/>
      <c r="X81" s="2908"/>
      <c r="Y81" s="2908"/>
      <c r="Z81" s="2908"/>
      <c r="AA81" s="2908"/>
      <c r="AB81" s="2908"/>
      <c r="AC81" s="2908"/>
      <c r="AD81" s="2908"/>
      <c r="AE81" s="2908"/>
    </row>
    <row r="82" spans="1:31" s="420" customFormat="1" ht="14.5" thickBot="1">
      <c r="A82" s="515"/>
      <c r="B82" s="516"/>
      <c r="C82" s="517"/>
      <c r="D82" s="517"/>
      <c r="E82" s="517"/>
      <c r="F82" s="517"/>
      <c r="G82" s="517"/>
      <c r="H82" s="518"/>
      <c r="I82" s="518"/>
      <c r="J82" s="518"/>
      <c r="K82" s="518"/>
      <c r="L82" s="518"/>
      <c r="M82" s="519"/>
      <c r="N82" s="2916"/>
      <c r="O82" s="2916"/>
      <c r="P82" s="2940"/>
      <c r="Q82" s="2907"/>
      <c r="R82" s="2908"/>
      <c r="S82" s="2908"/>
      <c r="T82" s="2908"/>
      <c r="U82" s="2908"/>
      <c r="V82" s="2908"/>
      <c r="W82" s="2908"/>
      <c r="X82" s="2908"/>
      <c r="Y82" s="2908"/>
      <c r="Z82" s="2908"/>
      <c r="AA82" s="2908"/>
      <c r="AB82" s="2908"/>
      <c r="AC82" s="2908"/>
      <c r="AD82" s="2908"/>
      <c r="AE82" s="2908"/>
    </row>
    <row r="83" spans="1:31">
      <c r="A83" s="474" t="s">
        <v>2139</v>
      </c>
      <c r="B83" s="475" t="s">
        <v>2285</v>
      </c>
      <c r="C83" s="520" t="s">
        <v>2177</v>
      </c>
      <c r="D83" s="520" t="s">
        <v>2178</v>
      </c>
      <c r="E83" s="520" t="s">
        <v>2179</v>
      </c>
      <c r="F83" s="520" t="s">
        <v>2180</v>
      </c>
      <c r="G83" s="520" t="s">
        <v>2181</v>
      </c>
      <c r="H83" s="476"/>
      <c r="I83" s="476"/>
      <c r="J83" s="476"/>
      <c r="K83" s="521"/>
      <c r="L83" s="522"/>
      <c r="M83" s="523"/>
      <c r="N83" s="2914"/>
      <c r="O83" s="2914"/>
      <c r="P83" s="2941"/>
      <c r="Q83" s="2900"/>
      <c r="R83" s="2886"/>
      <c r="S83" s="2886"/>
      <c r="T83" s="2886"/>
      <c r="U83" s="2886"/>
      <c r="V83" s="2886"/>
      <c r="W83" s="2886"/>
      <c r="X83" s="2886"/>
      <c r="Y83" s="2886"/>
      <c r="Z83" s="2886"/>
      <c r="AA83" s="2886"/>
      <c r="AB83" s="2886"/>
      <c r="AC83" s="2886"/>
      <c r="AD83" s="2886"/>
      <c r="AE83" s="288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15"/>
      <c r="O84" s="2915"/>
      <c r="P84" s="2939"/>
      <c r="Q84" s="2900"/>
      <c r="R84" s="2886"/>
      <c r="S84" s="2886"/>
      <c r="T84" s="2886"/>
      <c r="U84" s="2886"/>
      <c r="V84" s="2886"/>
      <c r="W84" s="2886"/>
      <c r="X84" s="2886"/>
      <c r="Y84" s="2886"/>
      <c r="Z84" s="2886"/>
      <c r="AA84" s="2886"/>
      <c r="AB84" s="2886"/>
      <c r="AC84" s="2886"/>
      <c r="AD84" s="2886"/>
      <c r="AE84" s="2886"/>
    </row>
    <row r="85" spans="1:31" ht="14.5" thickTop="1">
      <c r="A85" s="481"/>
      <c r="B85" s="485" t="s">
        <v>2182</v>
      </c>
      <c r="C85" s="525" t="s">
        <v>2177</v>
      </c>
      <c r="D85" s="525" t="s">
        <v>2178</v>
      </c>
      <c r="E85" s="525" t="s">
        <v>2179</v>
      </c>
      <c r="F85" s="525" t="s">
        <v>2180</v>
      </c>
      <c r="G85" s="525" t="s">
        <v>2181</v>
      </c>
      <c r="H85" s="486"/>
      <c r="I85" s="486"/>
      <c r="J85" s="486"/>
      <c r="K85" s="487"/>
      <c r="L85" s="488"/>
      <c r="M85" s="489"/>
      <c r="N85" s="2914"/>
      <c r="O85" s="2914"/>
      <c r="P85" s="2939"/>
      <c r="Q85" s="2900"/>
      <c r="R85" s="2886"/>
      <c r="S85" s="2886"/>
      <c r="T85" s="2886"/>
      <c r="U85" s="2886"/>
      <c r="V85" s="2886"/>
      <c r="W85" s="2886"/>
      <c r="X85" s="2886"/>
      <c r="Y85" s="2886"/>
      <c r="Z85" s="2886"/>
      <c r="AA85" s="2886"/>
      <c r="AB85" s="2886"/>
      <c r="AC85" s="2886"/>
      <c r="AD85" s="2886"/>
      <c r="AE85" s="288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15"/>
      <c r="O86" s="2915"/>
      <c r="P86" s="2939"/>
      <c r="Q86" s="2900"/>
      <c r="R86" s="2886"/>
      <c r="S86" s="2886"/>
      <c r="T86" s="2886"/>
      <c r="U86" s="2886"/>
      <c r="V86" s="2886"/>
      <c r="W86" s="2886"/>
      <c r="X86" s="2886"/>
      <c r="Y86" s="2886"/>
      <c r="Z86" s="2886"/>
      <c r="AA86" s="2886"/>
      <c r="AB86" s="2886"/>
      <c r="AC86" s="2886"/>
      <c r="AD86" s="2886"/>
      <c r="AE86" s="2886"/>
    </row>
    <row r="87" spans="1:31" s="110" customFormat="1" ht="28.5" thickTop="1">
      <c r="A87" s="526"/>
      <c r="B87" s="485" t="s">
        <v>2364</v>
      </c>
      <c r="C87" s="520" t="s">
        <v>2177</v>
      </c>
      <c r="D87" s="520" t="s">
        <v>2178</v>
      </c>
      <c r="E87" s="520" t="s">
        <v>2179</v>
      </c>
      <c r="F87" s="520" t="s">
        <v>2180</v>
      </c>
      <c r="G87" s="520" t="s">
        <v>2181</v>
      </c>
      <c r="H87" s="525"/>
      <c r="I87" s="525"/>
      <c r="J87" s="525"/>
      <c r="K87" s="525"/>
      <c r="L87" s="644"/>
      <c r="M87" s="568"/>
      <c r="N87" s="2913"/>
      <c r="O87" s="2913"/>
      <c r="P87" s="2939"/>
      <c r="Q87" s="2900"/>
      <c r="R87" s="2821"/>
      <c r="S87" s="2821"/>
      <c r="T87" s="2821"/>
      <c r="U87" s="2821"/>
      <c r="V87" s="2821"/>
      <c r="W87" s="2821"/>
      <c r="X87" s="2821"/>
      <c r="Y87" s="2821"/>
      <c r="Z87" s="2821"/>
      <c r="AA87" s="2821"/>
      <c r="AB87" s="2821"/>
      <c r="AC87" s="2821"/>
      <c r="AD87" s="2821"/>
      <c r="AE87" s="282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15"/>
      <c r="O88" s="2915"/>
      <c r="P88" s="2939"/>
      <c r="Q88" s="2900"/>
      <c r="R88" s="2821"/>
      <c r="S88" s="2821"/>
      <c r="T88" s="2821"/>
      <c r="U88" s="2821"/>
      <c r="V88" s="2821"/>
      <c r="W88" s="2821"/>
      <c r="X88" s="2821"/>
      <c r="Y88" s="2821"/>
      <c r="Z88" s="2821"/>
      <c r="AA88" s="2821"/>
      <c r="AB88" s="2821"/>
      <c r="AC88" s="2821"/>
      <c r="AD88" s="2821"/>
      <c r="AE88" s="2821"/>
    </row>
    <row r="89" spans="1:31" s="110" customFormat="1" ht="28.5" thickTop="1">
      <c r="A89" s="526"/>
      <c r="B89" s="485" t="s">
        <v>2365</v>
      </c>
      <c r="C89" s="520" t="s">
        <v>2177</v>
      </c>
      <c r="D89" s="520" t="s">
        <v>2178</v>
      </c>
      <c r="E89" s="520" t="s">
        <v>2179</v>
      </c>
      <c r="F89" s="520" t="s">
        <v>2180</v>
      </c>
      <c r="G89" s="520" t="s">
        <v>2181</v>
      </c>
      <c r="H89" s="525"/>
      <c r="I89" s="525"/>
      <c r="J89" s="525"/>
      <c r="K89" s="525"/>
      <c r="L89" s="525"/>
      <c r="M89" s="568"/>
      <c r="N89" s="2913"/>
      <c r="O89" s="2913"/>
      <c r="P89" s="2939"/>
      <c r="Q89" s="2900"/>
      <c r="R89" s="2821"/>
      <c r="S89" s="2821"/>
      <c r="T89" s="2821"/>
      <c r="U89" s="2821"/>
      <c r="V89" s="2821"/>
      <c r="W89" s="2821"/>
      <c r="X89" s="2821"/>
      <c r="Y89" s="2821"/>
      <c r="Z89" s="2821"/>
      <c r="AA89" s="2821"/>
      <c r="AB89" s="2821"/>
      <c r="AC89" s="2821"/>
      <c r="AD89" s="2821"/>
      <c r="AE89" s="282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15"/>
      <c r="O90" s="2915"/>
      <c r="P90" s="2939"/>
      <c r="Q90" s="2900"/>
      <c r="R90" s="2821"/>
      <c r="S90" s="2821"/>
      <c r="T90" s="2821"/>
      <c r="U90" s="2821"/>
      <c r="V90" s="2821"/>
      <c r="W90" s="2821"/>
      <c r="X90" s="2821"/>
      <c r="Y90" s="2821"/>
      <c r="Z90" s="2821"/>
      <c r="AA90" s="2821"/>
      <c r="AB90" s="2821"/>
      <c r="AC90" s="2821"/>
      <c r="AD90" s="2821"/>
      <c r="AE90" s="2821"/>
    </row>
    <row r="91" spans="1:31" s="420" customFormat="1" ht="14.5" thickTop="1">
      <c r="A91" s="500"/>
      <c r="B91" s="485" t="s">
        <v>2234</v>
      </c>
      <c r="C91" s="520" t="s">
        <v>2177</v>
      </c>
      <c r="D91" s="520" t="s">
        <v>2178</v>
      </c>
      <c r="E91" s="520" t="s">
        <v>2179</v>
      </c>
      <c r="F91" s="520" t="s">
        <v>2180</v>
      </c>
      <c r="G91" s="520" t="s">
        <v>2181</v>
      </c>
      <c r="H91" s="547"/>
      <c r="I91" s="547"/>
      <c r="J91" s="547"/>
      <c r="K91" s="547"/>
      <c r="L91" s="548"/>
      <c r="M91" s="549"/>
      <c r="N91" s="2916"/>
      <c r="O91" s="2916"/>
      <c r="P91" s="2940"/>
      <c r="Q91" s="2907"/>
      <c r="R91" s="2908"/>
      <c r="S91" s="2908"/>
      <c r="T91" s="2908"/>
      <c r="U91" s="2908"/>
      <c r="V91" s="2908"/>
      <c r="W91" s="2908"/>
      <c r="X91" s="2908"/>
      <c r="Y91" s="2908"/>
      <c r="Z91" s="2908"/>
      <c r="AA91" s="2908"/>
      <c r="AB91" s="2908"/>
      <c r="AC91" s="2908"/>
      <c r="AD91" s="2908"/>
      <c r="AE91" s="290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16"/>
      <c r="O92" s="2916"/>
      <c r="P92" s="2940"/>
      <c r="Q92" s="2907"/>
      <c r="R92" s="2908"/>
      <c r="S92" s="2908"/>
      <c r="T92" s="2908"/>
      <c r="U92" s="2908"/>
      <c r="V92" s="2908"/>
      <c r="W92" s="2908"/>
      <c r="X92" s="2908"/>
      <c r="Y92" s="2908"/>
      <c r="Z92" s="2908"/>
      <c r="AA92" s="2908"/>
      <c r="AB92" s="2908"/>
      <c r="AC92" s="2908"/>
      <c r="AD92" s="2908"/>
      <c r="AE92" s="2908"/>
    </row>
    <row r="93" spans="1:31" s="420" customFormat="1" ht="14.5" thickTop="1">
      <c r="A93" s="500"/>
      <c r="B93" s="493" t="s">
        <v>2382</v>
      </c>
      <c r="C93" s="606" t="s">
        <v>2255</v>
      </c>
      <c r="D93" s="606" t="s">
        <v>2256</v>
      </c>
      <c r="E93" s="606" t="s">
        <v>2257</v>
      </c>
      <c r="F93" s="606" t="s">
        <v>2258</v>
      </c>
      <c r="G93" s="606" t="s">
        <v>2259</v>
      </c>
      <c r="H93" s="547"/>
      <c r="I93" s="547"/>
      <c r="J93" s="547"/>
      <c r="K93" s="547"/>
      <c r="L93" s="547"/>
      <c r="M93" s="549"/>
      <c r="N93" s="2916"/>
      <c r="O93" s="2916"/>
      <c r="P93" s="2940"/>
      <c r="Q93" s="2907"/>
      <c r="R93" s="2908"/>
      <c r="S93" s="2908"/>
      <c r="T93" s="2908"/>
      <c r="U93" s="2908"/>
      <c r="V93" s="2908"/>
      <c r="W93" s="2908"/>
      <c r="X93" s="2908"/>
      <c r="Y93" s="2908"/>
      <c r="Z93" s="2908"/>
      <c r="AA93" s="2908"/>
      <c r="AB93" s="2908"/>
      <c r="AC93" s="2908"/>
      <c r="AD93" s="2908"/>
      <c r="AE93" s="290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35"/>
      <c r="N94" s="2916"/>
      <c r="O94" s="2916"/>
      <c r="P94" s="2940"/>
      <c r="Q94" s="2907"/>
      <c r="R94" s="2908"/>
      <c r="S94" s="2908"/>
      <c r="T94" s="2908"/>
      <c r="U94" s="2908"/>
      <c r="V94" s="2908"/>
      <c r="W94" s="2908"/>
      <c r="X94" s="2908"/>
      <c r="Y94" s="2908"/>
      <c r="Z94" s="2908"/>
      <c r="AA94" s="2908"/>
      <c r="AB94" s="2908"/>
      <c r="AC94" s="2908"/>
      <c r="AD94" s="2908"/>
      <c r="AE94" s="2908"/>
    </row>
    <row r="95" spans="1:31" ht="14.5" thickTop="1">
      <c r="A95" s="481"/>
      <c r="B95" s="485" t="str">
        <f>B27</f>
        <v>临街状况</v>
      </c>
      <c r="C95" s="486" t="s">
        <v>2366</v>
      </c>
      <c r="D95" s="486" t="s">
        <v>2367</v>
      </c>
      <c r="E95" s="486" t="s">
        <v>2368</v>
      </c>
      <c r="F95" s="486" t="s">
        <v>2369</v>
      </c>
      <c r="G95" s="486"/>
      <c r="H95" s="486"/>
      <c r="I95" s="486"/>
      <c r="J95" s="486"/>
      <c r="K95" s="487"/>
      <c r="L95" s="488"/>
      <c r="M95" s="489"/>
      <c r="N95" s="2914"/>
      <c r="O95" s="2914"/>
      <c r="P95" s="2939"/>
      <c r="Q95" s="2900"/>
      <c r="R95" s="2886"/>
      <c r="S95" s="2886"/>
      <c r="T95" s="2886"/>
      <c r="U95" s="2886"/>
      <c r="V95" s="2886"/>
      <c r="W95" s="2886"/>
      <c r="X95" s="2886"/>
      <c r="Y95" s="2886"/>
      <c r="Z95" s="2886"/>
      <c r="AA95" s="2886"/>
      <c r="AB95" s="2886"/>
      <c r="AC95" s="2886"/>
      <c r="AD95" s="2886"/>
      <c r="AE95" s="288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8.5" thickTop="1">
      <c r="A97" s="481"/>
      <c r="B97" s="485" t="s">
        <v>2271</v>
      </c>
      <c r="C97" s="501"/>
      <c r="D97" s="501"/>
      <c r="E97" s="501"/>
      <c r="F97" s="501"/>
      <c r="G97" s="501"/>
      <c r="H97" s="530"/>
      <c r="I97" s="530"/>
      <c r="J97" s="530"/>
      <c r="K97" s="531"/>
      <c r="L97" s="532"/>
      <c r="M97" s="533"/>
      <c r="N97" s="2914"/>
      <c r="O97" s="2914"/>
      <c r="P97" s="2939"/>
      <c r="Q97" s="2900"/>
      <c r="R97" s="2886"/>
      <c r="S97" s="2886"/>
      <c r="T97" s="2886"/>
      <c r="U97" s="2886"/>
      <c r="V97" s="2886"/>
      <c r="W97" s="2886"/>
      <c r="X97" s="2886"/>
      <c r="Y97" s="2886"/>
      <c r="Z97" s="2886"/>
      <c r="AA97" s="2886"/>
      <c r="AB97" s="2886"/>
      <c r="AC97" s="2886"/>
      <c r="AD97" s="2886"/>
      <c r="AE97" s="288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4.5" thickTop="1">
      <c r="A99" s="481"/>
      <c r="B99" s="485" t="s">
        <v>2330</v>
      </c>
      <c r="C99" s="530"/>
      <c r="D99" s="530"/>
      <c r="E99" s="530"/>
      <c r="F99" s="530"/>
      <c r="G99" s="530"/>
      <c r="H99" s="530"/>
      <c r="I99" s="530"/>
      <c r="J99" s="530"/>
      <c r="K99" s="531"/>
      <c r="L99" s="532"/>
      <c r="M99" s="533"/>
      <c r="N99" s="2914"/>
      <c r="O99" s="2914"/>
      <c r="P99" s="2939"/>
      <c r="Q99" s="2900"/>
      <c r="R99" s="2886"/>
      <c r="S99" s="2886"/>
      <c r="T99" s="2886"/>
      <c r="U99" s="2886"/>
      <c r="V99" s="2886"/>
      <c r="W99" s="2886"/>
      <c r="X99" s="2886"/>
      <c r="Y99" s="2886"/>
      <c r="Z99" s="2886"/>
      <c r="AA99" s="2886"/>
      <c r="AB99" s="2886"/>
      <c r="AC99" s="2886"/>
      <c r="AD99" s="2886"/>
      <c r="AE99" s="288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4.5" thickTop="1">
      <c r="A101" s="481"/>
      <c r="B101" s="493">
        <f>B31</f>
        <v>111</v>
      </c>
      <c r="C101" s="501"/>
      <c r="D101" s="501"/>
      <c r="E101" s="501"/>
      <c r="F101" s="501"/>
      <c r="G101" s="534"/>
      <c r="H101" s="534"/>
      <c r="I101" s="534"/>
      <c r="J101" s="534"/>
      <c r="K101" s="535"/>
      <c r="L101" s="536"/>
      <c r="M101" s="537"/>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4.5" thickBot="1">
      <c r="A102" s="481"/>
      <c r="B102" s="516"/>
      <c r="C102" s="507"/>
      <c r="D102" s="483"/>
      <c r="E102" s="483"/>
      <c r="F102" s="483"/>
      <c r="G102" s="538"/>
      <c r="H102" s="538"/>
      <c r="I102" s="538"/>
      <c r="J102" s="538"/>
      <c r="K102" s="538"/>
      <c r="L102" s="538"/>
      <c r="M102" s="539"/>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4.5" thickTop="1">
      <c r="A103" s="621"/>
      <c r="B103" s="485">
        <f>B32</f>
        <v>111</v>
      </c>
      <c r="C103" s="501"/>
      <c r="D103" s="501"/>
      <c r="E103" s="501"/>
      <c r="F103" s="501"/>
      <c r="G103" s="530"/>
      <c r="H103" s="530"/>
      <c r="I103" s="530"/>
      <c r="J103" s="530"/>
      <c r="K103" s="531"/>
      <c r="L103" s="532"/>
      <c r="M103" s="533"/>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4.5" thickBot="1">
      <c r="A104" s="481"/>
      <c r="B104" s="490"/>
      <c r="C104" s="507"/>
      <c r="D104" s="507"/>
      <c r="E104" s="507"/>
      <c r="F104" s="507"/>
      <c r="G104" s="483"/>
      <c r="H104" s="483"/>
      <c r="I104" s="483"/>
      <c r="J104" s="483"/>
      <c r="K104" s="483"/>
      <c r="L104" s="483"/>
      <c r="M104" s="484"/>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0" customFormat="1" ht="14.5" thickTop="1">
      <c r="A105" s="540"/>
      <c r="B105" s="541">
        <f>B33</f>
        <v>111</v>
      </c>
      <c r="C105" s="470"/>
      <c r="D105" s="470"/>
      <c r="E105" s="470"/>
      <c r="F105" s="470"/>
      <c r="G105" s="542"/>
      <c r="H105" s="542"/>
      <c r="I105" s="542"/>
      <c r="J105" s="543"/>
      <c r="K105" s="543"/>
      <c r="L105" s="544"/>
      <c r="M105" s="545"/>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0" customFormat="1" ht="14.5" thickBot="1">
      <c r="A106" s="500"/>
      <c r="B106" s="493"/>
      <c r="C106" s="517"/>
      <c r="D106" s="517"/>
      <c r="E106" s="517"/>
      <c r="F106" s="517"/>
      <c r="G106" s="623"/>
      <c r="H106" s="623"/>
      <c r="I106" s="623"/>
      <c r="J106" s="623"/>
      <c r="K106" s="623"/>
      <c r="L106" s="623"/>
      <c r="M106" s="645"/>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c r="A107" s="474" t="s">
        <v>2143</v>
      </c>
      <c r="B107" s="475" t="s">
        <v>2370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c r="A108" s="481"/>
      <c r="B108" s="493"/>
      <c r="C108" s="542"/>
      <c r="D108" s="542"/>
      <c r="E108" s="542"/>
      <c r="F108" s="542"/>
      <c r="G108" s="542"/>
      <c r="H108" s="542"/>
      <c r="I108" s="542"/>
      <c r="J108" s="543"/>
      <c r="K108" s="543"/>
      <c r="L108" s="544"/>
      <c r="M108" s="545"/>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4.5" thickBot="1">
      <c r="A109" s="481"/>
      <c r="B109" s="490"/>
      <c r="C109" s="517"/>
      <c r="D109" s="538"/>
      <c r="E109" s="538"/>
      <c r="F109" s="538"/>
      <c r="G109" s="538"/>
      <c r="H109" s="538"/>
      <c r="I109" s="538"/>
      <c r="J109" s="538"/>
      <c r="K109" s="538"/>
      <c r="L109" s="538"/>
      <c r="M109" s="539"/>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4.5" thickTop="1">
      <c r="A110" s="546"/>
      <c r="B110" s="485" t="s">
        <v>2371</v>
      </c>
      <c r="C110" s="530"/>
      <c r="D110" s="530"/>
      <c r="E110" s="530"/>
      <c r="F110" s="530"/>
      <c r="G110" s="530"/>
      <c r="H110" s="530"/>
      <c r="I110" s="530"/>
      <c r="J110" s="530"/>
      <c r="K110" s="531"/>
      <c r="L110" s="532"/>
      <c r="M110" s="533"/>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0" customFormat="1" ht="14.5" thickTop="1">
      <c r="A112" s="540"/>
      <c r="B112" s="485" t="s">
        <v>2373</v>
      </c>
      <c r="C112" s="501"/>
      <c r="D112" s="501"/>
      <c r="E112" s="501"/>
      <c r="F112" s="501"/>
      <c r="G112" s="501"/>
      <c r="H112" s="530"/>
      <c r="I112" s="530"/>
      <c r="J112" s="530"/>
      <c r="K112" s="531"/>
      <c r="L112" s="532"/>
      <c r="M112" s="533"/>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4.5" thickTop="1">
      <c r="A114" s="546"/>
      <c r="B114" s="485" t="s">
        <v>2374</v>
      </c>
      <c r="C114" s="501"/>
      <c r="D114" s="501"/>
      <c r="E114" s="530"/>
      <c r="F114" s="530"/>
      <c r="G114" s="530"/>
      <c r="H114" s="530"/>
      <c r="I114" s="530"/>
      <c r="J114" s="530"/>
      <c r="K114" s="531"/>
      <c r="L114" s="532"/>
      <c r="M114" s="533"/>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4.5" thickTop="1">
      <c r="A116" s="546"/>
      <c r="B116" s="485">
        <f>B38</f>
        <v>111</v>
      </c>
      <c r="C116" s="501"/>
      <c r="D116" s="501"/>
      <c r="E116" s="501"/>
      <c r="F116" s="501"/>
      <c r="G116" s="501"/>
      <c r="H116" s="530"/>
      <c r="I116" s="530"/>
      <c r="J116" s="530"/>
      <c r="K116" s="531"/>
      <c r="L116" s="532"/>
      <c r="M116" s="533"/>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4.5" thickBot="1">
      <c r="A117" s="481"/>
      <c r="B117" s="490"/>
      <c r="C117" s="507"/>
      <c r="D117" s="483"/>
      <c r="E117" s="483"/>
      <c r="F117" s="483"/>
      <c r="G117" s="483"/>
      <c r="H117" s="483"/>
      <c r="I117" s="483"/>
      <c r="J117" s="483"/>
      <c r="K117" s="483"/>
      <c r="L117" s="483"/>
      <c r="M117" s="484"/>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4.5" thickTop="1">
      <c r="A118" s="546"/>
      <c r="B118" s="485">
        <f>B39</f>
        <v>111</v>
      </c>
      <c r="C118" s="501"/>
      <c r="D118" s="501"/>
      <c r="E118" s="501"/>
      <c r="F118" s="501"/>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4.5" thickBot="1">
      <c r="A119" s="481"/>
      <c r="B119" s="490"/>
      <c r="C119" s="507"/>
      <c r="D119" s="507"/>
      <c r="E119" s="507"/>
      <c r="F119" s="507"/>
      <c r="G119" s="483"/>
      <c r="H119" s="483"/>
      <c r="I119" s="483"/>
      <c r="J119" s="483"/>
      <c r="K119" s="483"/>
      <c r="L119" s="483"/>
      <c r="M119" s="484"/>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0" customFormat="1" ht="14.5" thickTop="1">
      <c r="A120" s="540"/>
      <c r="B120" s="485">
        <f>B40</f>
        <v>111</v>
      </c>
      <c r="C120" s="470"/>
      <c r="D120" s="470"/>
      <c r="E120" s="470"/>
      <c r="F120" s="470"/>
      <c r="G120" s="502"/>
      <c r="H120" s="502"/>
      <c r="I120" s="502"/>
      <c r="J120" s="502"/>
      <c r="K120" s="502"/>
      <c r="L120" s="503"/>
      <c r="M120" s="504"/>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0" customFormat="1" ht="14.5" thickBot="1">
      <c r="A121" s="515"/>
      <c r="B121" s="646"/>
      <c r="C121" s="517"/>
      <c r="D121" s="517"/>
      <c r="E121" s="517"/>
      <c r="F121" s="517"/>
      <c r="G121" s="538"/>
      <c r="H121" s="538"/>
      <c r="I121" s="538"/>
      <c r="J121" s="538"/>
      <c r="K121" s="538"/>
      <c r="L121" s="538"/>
      <c r="M121" s="539"/>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88" customWidth="1"/>
    <col min="2" max="2" width="19.08984375" style="2291" customWidth="1"/>
    <col min="3" max="4" width="12" style="2122"/>
    <col min="5" max="5" width="14.6328125" style="2122" customWidth="1"/>
    <col min="6" max="8" width="12" style="2122"/>
    <col min="9" max="9" width="12.08984375" style="2122" bestFit="1" customWidth="1"/>
    <col min="10" max="10" width="12" style="2122"/>
    <col min="11" max="11" width="8.08984375" style="2183" customWidth="1"/>
    <col min="12" max="12" width="12" style="2122"/>
    <col min="13" max="13" width="8.453125" style="2122" customWidth="1"/>
    <col min="14" max="14" width="9.90625" style="2122" customWidth="1"/>
    <col min="15" max="25" width="12" style="2122"/>
    <col min="26" max="26" width="9.36328125" style="2188" customWidth="1"/>
    <col min="27" max="32" width="9.36328125" style="1223" customWidth="1"/>
    <col min="33" max="36" width="9.36328125" style="2188" customWidth="1"/>
    <col min="37" max="38" width="9.36328125" style="2122" customWidth="1"/>
    <col min="39" max="16384" width="12" style="2122"/>
  </cols>
  <sheetData>
    <row r="1" spans="1:36" ht="30">
      <c r="A1" s="192" t="s">
        <v>2383</v>
      </c>
      <c r="B1" s="193"/>
      <c r="C1" s="197" t="s">
        <v>2384</v>
      </c>
      <c r="D1" s="338">
        <f>SUM(D29:D30,D33:D39)</f>
        <v>0</v>
      </c>
      <c r="E1" s="2119"/>
      <c r="F1" s="2119"/>
      <c r="G1" s="2119"/>
      <c r="H1" s="2119"/>
      <c r="I1" s="2119"/>
      <c r="J1" s="2119"/>
      <c r="K1" s="1221"/>
      <c r="L1" s="2120" t="s">
        <v>2385</v>
      </c>
      <c r="M1" s="963">
        <f>SUMPRODUCT((区片价!B5:B9=I2)*(区片价!C3:F3=E2)*(区片价!C5:F9))</f>
        <v>0</v>
      </c>
      <c r="N1" s="966">
        <f>SUMPRODUCT((因素修正幅度!B5:B9=I2)*(因素修正幅度!C3:F3=E2)*(因素修正幅度!C5:F9))</f>
        <v>0</v>
      </c>
      <c r="O1" s="2121"/>
      <c r="P1" s="2121"/>
      <c r="Q1" s="1221"/>
      <c r="R1" s="1314" t="s">
        <v>2386</v>
      </c>
      <c r="S1" s="1314" t="s">
        <v>2387</v>
      </c>
      <c r="T1" s="1314" t="s">
        <v>2388</v>
      </c>
      <c r="U1" s="1314" t="s">
        <v>2389</v>
      </c>
      <c r="V1" s="1314" t="s">
        <v>2390</v>
      </c>
      <c r="W1" s="1318"/>
      <c r="X1" s="1318"/>
      <c r="Y1" s="1318"/>
      <c r="Z1" s="1318"/>
      <c r="AA1" s="1318"/>
      <c r="AB1" s="1318"/>
      <c r="AC1" s="1319"/>
      <c r="AD1" s="1320"/>
      <c r="AE1" s="1320"/>
      <c r="AF1" s="1320"/>
      <c r="AG1" s="1320"/>
      <c r="AH1" s="1320"/>
      <c r="AI1" s="1320"/>
      <c r="AJ1" s="1321"/>
    </row>
    <row r="2" spans="1:36" ht="15.5">
      <c r="A2" s="197" t="s">
        <v>2391</v>
      </c>
      <c r="B2" s="200" t="e">
        <f>C26</f>
        <v>#DIV/0!</v>
      </c>
      <c r="C2" s="2123" t="s">
        <v>2392</v>
      </c>
      <c r="D2" s="2124" t="s">
        <v>2393</v>
      </c>
      <c r="E2" s="2125"/>
      <c r="F2" s="2124" t="s">
        <v>2394</v>
      </c>
      <c r="G2" s="2126">
        <f>IF(E2="商业",项目基本情况!B37,IF(E2="办公",项目基本情况!C37,IF(E2="住宅",项目基本情况!D37,项目基本情况!E37)))</f>
        <v>0</v>
      </c>
      <c r="H2" s="2124" t="s">
        <v>2395</v>
      </c>
      <c r="I2" s="2126">
        <f>IF(E2="商业",项目基本情况!B38,IF(E2="办公",项目基本情况!C38,IF(E2="住宅",项目基本情况!D38,项目基本情况!E38)))</f>
        <v>0</v>
      </c>
      <c r="J2" s="2127"/>
      <c r="K2" s="1221"/>
      <c r="L2" s="2128" t="s">
        <v>2396</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5">
      <c r="A3" s="199" t="s">
        <v>2397</v>
      </c>
      <c r="B3" s="200" t="e">
        <f>ROUND(B2*10000/D1,0)</f>
        <v>#DIV/0!</v>
      </c>
      <c r="C3" s="2123" t="s">
        <v>2398</v>
      </c>
      <c r="D3" s="2124" t="s">
        <v>2399</v>
      </c>
      <c r="E3" s="2129"/>
      <c r="F3" s="2130" t="s">
        <v>2400</v>
      </c>
      <c r="G3" s="825">
        <f>IF(F3="宗地容积率",'数据-汇总表'!I4,IF(F3="估价对象容积率",'数据-汇总表'!I6,'数据-汇总表'!I7))</f>
        <v>1.99</v>
      </c>
      <c r="H3" s="165" t="s">
        <v>2401</v>
      </c>
      <c r="I3" s="850"/>
      <c r="J3" s="2127" t="s">
        <v>2402</v>
      </c>
      <c r="K3" s="1221"/>
      <c r="L3" s="2128" t="s">
        <v>2403</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5">
      <c r="A4" s="3601"/>
      <c r="B4" s="3602"/>
      <c r="C4" s="3602"/>
      <c r="D4" s="3603"/>
      <c r="E4" s="3603"/>
      <c r="F4" s="3603"/>
      <c r="G4" s="3603"/>
      <c r="H4" s="3603"/>
      <c r="I4" s="3603"/>
      <c r="J4" s="3604"/>
      <c r="K4" s="1221"/>
      <c r="L4" s="2128" t="s">
        <v>2404</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6" thickBot="1">
      <c r="A5" s="2131" t="s">
        <v>626</v>
      </c>
      <c r="B5" s="2132" t="s">
        <v>2405</v>
      </c>
      <c r="C5" s="826" t="e">
        <f>ROUND(IF(E2="商业",C6*C7+C16,(IF(E2="住宅",C6*C12+C16,C6+C16))),0)</f>
        <v>#DIV/0!</v>
      </c>
      <c r="D5" s="1461" t="e">
        <f>ROUND(C6+C16,0)</f>
        <v>#DIV/0!</v>
      </c>
      <c r="E5" s="1461"/>
      <c r="F5" s="2133"/>
      <c r="G5" s="2134"/>
      <c r="H5" s="2134"/>
      <c r="I5" s="2134"/>
      <c r="J5" s="2135"/>
      <c r="K5" s="2136"/>
      <c r="L5" s="2128" t="s">
        <v>2406</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6" thickBot="1">
      <c r="A6" s="2141" t="s">
        <v>2407</v>
      </c>
      <c r="B6" s="2142" t="s">
        <v>2408</v>
      </c>
      <c r="C6" s="827">
        <f>SUMIF(L1:L12,G2,M1:M12)</f>
        <v>0</v>
      </c>
      <c r="D6" s="2143" t="s">
        <v>2409</v>
      </c>
      <c r="E6" s="2144"/>
      <c r="F6" s="2144"/>
      <c r="G6" s="2145"/>
      <c r="H6" s="2145"/>
      <c r="I6" s="2145"/>
      <c r="J6" s="2146"/>
      <c r="K6" s="1506"/>
      <c r="L6" s="2128" t="s">
        <v>2410</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6">
      <c r="A7" s="3582" t="str">
        <f>IF(E2="商业",IF(C8="不临58条商业街","",2),"")</f>
        <v/>
      </c>
      <c r="B7" s="2147" t="s">
        <v>2411</v>
      </c>
      <c r="C7" s="828" t="e">
        <f>IF(C8="不临58条商业街",1,ROUND(1+(1.6*E8+1.2*E9+0.8*E10+0.4*E11)*C9,4))</f>
        <v>#DIV/0!</v>
      </c>
      <c r="D7" s="2148" t="s">
        <v>2412</v>
      </c>
      <c r="E7" s="851"/>
      <c r="F7" s="2149"/>
      <c r="G7" s="2150"/>
      <c r="H7" s="2150"/>
      <c r="I7" s="2150"/>
      <c r="J7" s="2151"/>
      <c r="K7" s="1506"/>
      <c r="L7" s="2128" t="s">
        <v>2413</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2414</v>
      </c>
      <c r="X7" s="1316">
        <f>G2</f>
        <v>0</v>
      </c>
      <c r="Y7" s="1316" t="s">
        <v>2415</v>
      </c>
      <c r="Z7" s="1317">
        <f>G3</f>
        <v>1.99</v>
      </c>
      <c r="AA7" s="1318"/>
      <c r="AB7" s="1318"/>
      <c r="AC7" s="1319"/>
      <c r="AD7" s="1320"/>
      <c r="AE7" s="1320"/>
      <c r="AF7" s="1320"/>
      <c r="AG7" s="1320"/>
      <c r="AH7" s="1320"/>
      <c r="AI7" s="1320"/>
      <c r="AJ7" s="1321"/>
    </row>
    <row r="8" spans="1:36" ht="15.5">
      <c r="A8" s="3605"/>
      <c r="B8" s="165" t="s">
        <v>2416</v>
      </c>
      <c r="C8" s="2152"/>
      <c r="D8" s="829" t="s">
        <v>139</v>
      </c>
      <c r="E8" s="830" t="e">
        <f>ROUND(C11/E7,4)</f>
        <v>#DIV/0!</v>
      </c>
      <c r="F8" s="2153" t="s">
        <v>2417</v>
      </c>
      <c r="G8" s="2154"/>
      <c r="H8" s="2154"/>
      <c r="I8" s="2154"/>
      <c r="J8" s="2155"/>
      <c r="K8" s="1221"/>
      <c r="L8" s="2128" t="s">
        <v>2418</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98" t="s">
        <v>2419</v>
      </c>
      <c r="X8" s="3599"/>
      <c r="Y8" s="1322" t="s">
        <v>2420</v>
      </c>
      <c r="Z8" s="1322" t="s">
        <v>2421</v>
      </c>
      <c r="AA8" s="1322" t="s">
        <v>2422</v>
      </c>
      <c r="AB8" s="1322" t="s">
        <v>2423</v>
      </c>
      <c r="AC8" s="1322" t="s">
        <v>2424</v>
      </c>
      <c r="AD8" s="1322" t="s">
        <v>2425</v>
      </c>
      <c r="AE8" s="1322" t="s">
        <v>2426</v>
      </c>
      <c r="AF8" s="1322" t="s">
        <v>2427</v>
      </c>
      <c r="AG8" s="1322" t="s">
        <v>2428</v>
      </c>
      <c r="AH8" s="1322" t="s">
        <v>2429</v>
      </c>
      <c r="AI8" s="1322" t="s">
        <v>2430</v>
      </c>
      <c r="AJ8" s="1322" t="s">
        <v>2431</v>
      </c>
    </row>
    <row r="9" spans="1:36" ht="15.5">
      <c r="A9" s="3605"/>
      <c r="B9" s="165" t="s">
        <v>2432</v>
      </c>
      <c r="C9" s="831">
        <f>SUMIF(修正!C71:C138,C8,修正!E71:E138)</f>
        <v>0</v>
      </c>
      <c r="D9" s="166" t="s">
        <v>140</v>
      </c>
      <c r="E9" s="166" t="e">
        <f>ROUND(C11/E7,4)</f>
        <v>#DIV/0!</v>
      </c>
      <c r="F9" s="2153" t="s">
        <v>2433</v>
      </c>
      <c r="G9" s="2154"/>
      <c r="H9" s="2154"/>
      <c r="I9" s="2154"/>
      <c r="J9" s="2155"/>
      <c r="K9" s="1221"/>
      <c r="L9" s="2128" t="s">
        <v>2434</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600" t="s">
        <v>2435</v>
      </c>
      <c r="X9" s="1323" t="s">
        <v>2436</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5">
      <c r="A10" s="3605"/>
      <c r="B10" s="165" t="s">
        <v>2437</v>
      </c>
      <c r="C10" s="166">
        <f>SUMIF(修正!C71:C138,C8,修正!F71:F138)</f>
        <v>0</v>
      </c>
      <c r="D10" s="166" t="s">
        <v>141</v>
      </c>
      <c r="E10" s="166" t="e">
        <f>ROUND(C11/E7,4)</f>
        <v>#DIV/0!</v>
      </c>
      <c r="F10" s="2153" t="s">
        <v>2438</v>
      </c>
      <c r="G10" s="2154"/>
      <c r="H10" s="2154"/>
      <c r="I10" s="2154"/>
      <c r="J10" s="2155"/>
      <c r="K10" s="1221"/>
      <c r="L10" s="2128" t="s">
        <v>2439</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600"/>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6" thickBot="1">
      <c r="A11" s="3605"/>
      <c r="B11" s="2156" t="s">
        <v>2440</v>
      </c>
      <c r="C11" s="832">
        <f>C10/4</f>
        <v>0</v>
      </c>
      <c r="D11" s="832" t="s">
        <v>142</v>
      </c>
      <c r="E11" s="832" t="e">
        <f>ROUND(C11/E7,4)</f>
        <v>#DIV/0!</v>
      </c>
      <c r="F11" s="2157" t="s">
        <v>2441</v>
      </c>
      <c r="G11" s="2158"/>
      <c r="H11" s="2158"/>
      <c r="I11" s="2158"/>
      <c r="J11" s="2159"/>
      <c r="K11" s="1221"/>
      <c r="L11" s="2128" t="s">
        <v>2442</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600" t="s">
        <v>2443</v>
      </c>
      <c r="X11" s="1326" t="s">
        <v>2444</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6.5" thickBot="1">
      <c r="A12" s="3582" t="s">
        <v>2445</v>
      </c>
      <c r="B12" s="2160" t="s">
        <v>2446</v>
      </c>
      <c r="C12" s="828">
        <f>ROUND(C15*D15*E15*F15*G15*H15*I15*J15,4)</f>
        <v>1</v>
      </c>
      <c r="D12" s="2161" t="s">
        <v>2447</v>
      </c>
      <c r="E12" s="2162"/>
      <c r="F12" s="2162"/>
      <c r="G12" s="2163"/>
      <c r="H12" s="2163"/>
      <c r="I12" s="2163"/>
      <c r="J12" s="2164"/>
      <c r="K12" s="1221"/>
      <c r="L12" s="2165" t="s">
        <v>2448</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600"/>
      <c r="X12" s="1328" t="s">
        <v>2449</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6">
      <c r="A13" s="3606"/>
      <c r="B13" s="2166" t="s">
        <v>2450</v>
      </c>
      <c r="C13" s="2167" t="s">
        <v>2451</v>
      </c>
      <c r="D13" s="1472" t="s">
        <v>2452</v>
      </c>
      <c r="E13" s="1472" t="s">
        <v>2453</v>
      </c>
      <c r="F13" s="30" t="s">
        <v>2454</v>
      </c>
      <c r="G13" s="2168" t="s">
        <v>2455</v>
      </c>
      <c r="H13" s="2168" t="s">
        <v>2455</v>
      </c>
      <c r="I13" s="2168" t="s">
        <v>2455</v>
      </c>
      <c r="J13" s="2169" t="s">
        <v>2455</v>
      </c>
      <c r="K13" s="1221"/>
      <c r="L13" s="1221"/>
      <c r="M13" s="1221"/>
      <c r="N13" s="1221"/>
      <c r="O13" s="1221"/>
      <c r="P13" s="1221"/>
      <c r="Q13" s="1221"/>
      <c r="R13" s="1314">
        <v>12</v>
      </c>
      <c r="S13" s="1315"/>
      <c r="T13" s="1314" t="e">
        <f t="shared" si="0"/>
        <v>#DIV/0!</v>
      </c>
      <c r="U13" s="1315"/>
      <c r="V13" s="1314" t="e">
        <f t="shared" si="1"/>
        <v>#DIV/0!</v>
      </c>
      <c r="W13" s="3600"/>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5">
      <c r="A14" s="3606"/>
      <c r="B14" s="2170"/>
      <c r="C14" s="2171"/>
      <c r="D14" s="2172"/>
      <c r="E14" s="2172"/>
      <c r="F14" s="2173"/>
      <c r="G14" s="2174" t="s">
        <v>2456</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52"/>
      <c r="AE14" s="2952"/>
      <c r="AF14" s="2952"/>
      <c r="AG14" s="2952"/>
      <c r="AH14" s="2952"/>
      <c r="AI14" s="2952"/>
      <c r="AJ14" s="2953"/>
    </row>
    <row r="15" spans="1:36" ht="16" thickBot="1">
      <c r="A15" s="3607"/>
      <c r="B15" s="2178" t="s">
        <v>2457</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52"/>
      <c r="AE15" s="2952"/>
      <c r="AF15" s="2952"/>
      <c r="AG15" s="2952"/>
      <c r="AH15" s="2952"/>
      <c r="AI15" s="2952"/>
      <c r="AJ15" s="2953"/>
    </row>
    <row r="16" spans="1:36" ht="24.65" customHeight="1">
      <c r="A16" s="3582" t="s">
        <v>2462</v>
      </c>
      <c r="B16" s="2147" t="s">
        <v>2463</v>
      </c>
      <c r="C16" s="2309" t="e">
        <f>ROUND(IF(F17="与级别开发程度一致",0,(G17-E17)/C17),0)</f>
        <v>#DIV/0!</v>
      </c>
      <c r="D16" s="3595" t="s">
        <v>2467</v>
      </c>
      <c r="E16" s="3596"/>
      <c r="F16" s="3595" t="s">
        <v>2464</v>
      </c>
      <c r="G16" s="3596"/>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52"/>
      <c r="AE16" s="2952"/>
      <c r="AF16" s="2952"/>
      <c r="AG16" s="2952"/>
      <c r="AH16" s="2952"/>
      <c r="AI16" s="2952"/>
      <c r="AJ16" s="2953"/>
    </row>
    <row r="17" spans="1:37" ht="13.5" thickBot="1">
      <c r="A17" s="3583"/>
      <c r="B17" s="2320" t="s">
        <v>2466</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4.5" thickBot="1">
      <c r="A18" s="2314" t="s">
        <v>627</v>
      </c>
      <c r="B18" s="2315" t="s">
        <v>2469</v>
      </c>
      <c r="C18" s="2316">
        <f>SUMIF(修正!C20:C51,E3,修正!E20:E51)</f>
        <v>0</v>
      </c>
      <c r="D18" s="2317"/>
      <c r="E18" s="2318"/>
      <c r="F18" s="2318"/>
      <c r="G18" s="2318"/>
      <c r="H18" s="2318"/>
      <c r="I18" s="2318"/>
      <c r="J18" s="2319"/>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51"/>
    </row>
    <row r="19" spans="1:37" s="2140" customFormat="1" ht="28.5" thickBot="1">
      <c r="A19" s="2184" t="s">
        <v>628</v>
      </c>
      <c r="B19" s="2185" t="s">
        <v>2470</v>
      </c>
      <c r="C19" s="833" t="e">
        <f>ROUND(IF(H19="按公示增长率计算",SUMPRODUCT((地价!A3:A37=YEAR(G19)&amp;"-"&amp;ROUNDUP(MONTH(G19)/3,0))*(地价!X2:AB2=E2)*(地价!X3:AB37)),IF(H19="地价指数",M20/M19,(1+I19)^O19)),4)</f>
        <v>#VALUE!</v>
      </c>
      <c r="D19" s="2189" t="s">
        <v>2471</v>
      </c>
      <c r="E19" s="834">
        <v>41640</v>
      </c>
      <c r="F19" s="2189" t="s">
        <v>2472</v>
      </c>
      <c r="G19" s="835">
        <f>'数据-取费表'!B2</f>
        <v>44692</v>
      </c>
      <c r="H19" s="2190"/>
      <c r="I19" s="836" t="str">
        <f>IF(H19="季度增幅（自定义）",SUMIF(N21:N24,E2,O21:O24),"")</f>
        <v/>
      </c>
      <c r="J19" s="2187"/>
      <c r="K19" s="1228"/>
      <c r="L19" s="2191" t="s">
        <v>2473</v>
      </c>
      <c r="M19" s="1436">
        <f>ROUND(SUMIF(地价!B2:F2,E2,地价!B37:F37),0)</f>
        <v>0</v>
      </c>
      <c r="N19" s="2192" t="s">
        <v>2474</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54"/>
      <c r="AH19" s="2278"/>
      <c r="AI19" s="2955"/>
      <c r="AJ19" s="2955"/>
      <c r="AK19" s="2193"/>
    </row>
    <row r="20" spans="1:37" s="2140" customFormat="1" ht="28.5" thickBot="1">
      <c r="A20" s="2194" t="s">
        <v>629</v>
      </c>
      <c r="B20" s="2195" t="s">
        <v>2475</v>
      </c>
      <c r="C20" s="838" t="e">
        <f>ROUND(POWER(1+G20,J20-I20)*(POWER(1+G20,I20)-1)/(POWER(1+G20,J20)-1),4)</f>
        <v>#DIV/0!</v>
      </c>
      <c r="D20" s="2196" t="s">
        <v>2476</v>
      </c>
      <c r="E20" s="1443">
        <f>存贷款利率!E20/100</f>
        <v>4.3499999999999997E-2</v>
      </c>
      <c r="F20" s="2196" t="s">
        <v>2468</v>
      </c>
      <c r="G20" s="842">
        <f>SUMIF(M26:P26,E2,M28:P28)</f>
        <v>0</v>
      </c>
      <c r="H20" s="2196" t="s">
        <v>2477</v>
      </c>
      <c r="I20" s="843" t="e">
        <f>SUMIF('数据-取费表'!C6:C15,E2,'数据-取费表'!F6:F15)/COUNTIF('数据-取费表'!C6:C15,E2)</f>
        <v>#DIV/0!</v>
      </c>
      <c r="J20" s="844">
        <f>IF(E2="住宅",70,IF(E2="商业",40,50))</f>
        <v>50</v>
      </c>
      <c r="K20" s="1228"/>
      <c r="L20" s="2197" t="s">
        <v>2478</v>
      </c>
      <c r="M20" s="1437">
        <f>ROUND(SUMPRODUCT((地价!A4:A37=YEAR(G19)&amp;"-"&amp;ROUNDUP(MONTH(G19)/3,0))*(地价!B2:F2=E2)*(地价!B4:F37)),0)</f>
        <v>0</v>
      </c>
      <c r="N20" s="2198" t="s">
        <v>2479</v>
      </c>
      <c r="O20" s="2199" t="s">
        <v>2480</v>
      </c>
      <c r="P20" s="2200" t="s">
        <v>2481</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40" customFormat="1" ht="14">
      <c r="A21" s="2201" t="s">
        <v>630</v>
      </c>
      <c r="B21" s="2202" t="s">
        <v>2482</v>
      </c>
      <c r="C21" s="845">
        <f>IF(B21="容积率修正",IF(G3&lt;=10,D22,J22),C23)</f>
        <v>0</v>
      </c>
      <c r="D21" s="2203"/>
      <c r="E21" s="2203"/>
      <c r="F21" s="2203"/>
      <c r="G21" s="2203"/>
      <c r="H21" s="2203"/>
      <c r="I21" s="2203"/>
      <c r="J21" s="2204"/>
      <c r="K21" s="1228"/>
      <c r="L21" s="2951"/>
      <c r="M21" s="2951"/>
      <c r="N21" s="2205" t="s">
        <v>2483</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40" customFormat="1" ht="14.5">
      <c r="A22" s="2079" t="s">
        <v>2484</v>
      </c>
      <c r="B22" s="2206" t="s">
        <v>2485</v>
      </c>
      <c r="C22" s="1474" t="s">
        <v>2486</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51"/>
      <c r="M22" s="2951"/>
      <c r="N22" s="2205" t="s">
        <v>2487</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8.5" thickBot="1">
      <c r="A23" s="2079" t="s">
        <v>2488</v>
      </c>
      <c r="B23" s="2207" t="s">
        <v>2489</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2490</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4.5" thickBot="1">
      <c r="A24" s="2194" t="s">
        <v>631</v>
      </c>
      <c r="B24" s="2185" t="s">
        <v>2491</v>
      </c>
      <c r="C24" s="833">
        <f>SUMIF(A45:A88,E2,B45:B88)</f>
        <v>0</v>
      </c>
      <c r="D24" s="2186"/>
      <c r="E24" s="2213"/>
      <c r="F24" s="2213"/>
      <c r="G24" s="2213"/>
      <c r="H24" s="2213"/>
      <c r="I24" s="2213"/>
      <c r="J24" s="2214"/>
      <c r="K24" s="1228"/>
      <c r="L24" s="2951"/>
      <c r="M24" s="2951"/>
      <c r="N24" s="2215" t="s">
        <v>2492</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4.5" thickBot="1">
      <c r="A25" s="2194" t="s">
        <v>632</v>
      </c>
      <c r="B25" s="2216" t="s">
        <v>2493</v>
      </c>
      <c r="C25" s="839"/>
      <c r="D25" s="2150"/>
      <c r="E25" s="2150"/>
      <c r="F25" s="2217"/>
      <c r="G25" s="2150"/>
      <c r="H25" s="2150"/>
      <c r="I25" s="2150"/>
      <c r="J25" s="2151"/>
      <c r="K25" s="1221"/>
      <c r="L25" s="2121"/>
      <c r="M25" s="2121"/>
      <c r="N25" s="2946" t="s">
        <v>2494</v>
      </c>
      <c r="O25" s="2947"/>
      <c r="P25" s="294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4">
      <c r="A26" s="2218"/>
      <c r="B26" s="2206" t="s">
        <v>2495</v>
      </c>
      <c r="C26" s="2480" t="e">
        <f>IF(B21="容积率修正",E29+SUM(E33:E39),SUM(V2:V16)+SUM(E33:E39))</f>
        <v>#DIV/0!</v>
      </c>
      <c r="D26" s="2219"/>
      <c r="E26" s="2175"/>
      <c r="F26" s="2220"/>
      <c r="G26" s="2175"/>
      <c r="H26" s="2175"/>
      <c r="I26" s="2175"/>
      <c r="J26" s="2221"/>
      <c r="K26" s="1221"/>
      <c r="L26" s="2949" t="s">
        <v>2393</v>
      </c>
      <c r="M26" s="2148" t="s">
        <v>2458</v>
      </c>
      <c r="N26" s="2148" t="s">
        <v>2459</v>
      </c>
      <c r="O26" s="2148" t="s">
        <v>2460</v>
      </c>
      <c r="P26" s="2950" t="s">
        <v>2461</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4.5" thickBot="1">
      <c r="A27" s="2218"/>
      <c r="B27" s="2222" t="s">
        <v>2496</v>
      </c>
      <c r="C27" s="840" t="e">
        <f>E30+SUM(I33:I39)</f>
        <v>#DIV/0!</v>
      </c>
      <c r="D27" s="2223"/>
      <c r="E27" s="2224"/>
      <c r="F27" s="2225"/>
      <c r="G27" s="2224"/>
      <c r="H27" s="2224"/>
      <c r="I27" s="2224"/>
      <c r="J27" s="2226"/>
      <c r="K27" s="1221"/>
      <c r="L27" s="2181" t="s">
        <v>2465</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4.5" thickBot="1">
      <c r="A28" s="2227"/>
      <c r="B28" s="2228" t="s">
        <v>2497</v>
      </c>
      <c r="C28" s="2229" t="s">
        <v>2498</v>
      </c>
      <c r="D28" s="2229" t="s">
        <v>2499</v>
      </c>
      <c r="E28" s="2230" t="s">
        <v>2500</v>
      </c>
      <c r="F28" s="2231"/>
      <c r="G28" s="2163"/>
      <c r="H28" s="2163"/>
      <c r="I28" s="2163"/>
      <c r="J28" s="2164"/>
      <c r="K28" s="1221"/>
      <c r="L28" s="2182" t="s">
        <v>2468</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2501</v>
      </c>
      <c r="C29" s="170" t="e">
        <f>ROUND(C5*C18*C19*C20*C21*C24,0)</f>
        <v>#DIV/0!</v>
      </c>
      <c r="D29" s="2234"/>
      <c r="E29" s="848" t="e">
        <f>ROUND(C29*D29/10000,0)</f>
        <v>#DIV/0!</v>
      </c>
      <c r="F29" s="2235" t="s">
        <v>2502</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6.5" thickBot="1">
      <c r="A30" s="2238"/>
      <c r="B30" s="2239" t="s">
        <v>2503</v>
      </c>
      <c r="C30" s="183" t="e">
        <f>ROUND(IF(E2="工业",C29*M39,C29*M38),0)</f>
        <v>#DIV/0!</v>
      </c>
      <c r="D30" s="2240"/>
      <c r="E30" s="848" t="e">
        <f>ROUND(C30*D30/10000,0)</f>
        <v>#DIV/0!</v>
      </c>
      <c r="F30" s="2241" t="s">
        <v>2504</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
      <c r="A31" s="2244"/>
      <c r="B31" s="2245" t="s">
        <v>2505</v>
      </c>
      <c r="C31" s="2246" t="s">
        <v>2506</v>
      </c>
      <c r="D31" s="2163"/>
      <c r="E31" s="2246"/>
      <c r="F31" s="2246"/>
      <c r="G31" s="2161" t="s">
        <v>2507</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6">
      <c r="A32" s="2232"/>
      <c r="B32" s="2248"/>
      <c r="C32" s="448" t="s">
        <v>2498</v>
      </c>
      <c r="D32" s="445" t="s">
        <v>2499</v>
      </c>
      <c r="E32" s="445" t="s">
        <v>2500</v>
      </c>
      <c r="F32" s="338" t="s">
        <v>2508</v>
      </c>
      <c r="G32" s="2249" t="s">
        <v>2498</v>
      </c>
      <c r="H32" s="2249" t="s">
        <v>2499</v>
      </c>
      <c r="I32" s="2249" t="s">
        <v>2500</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92"/>
      <c r="B33" s="2250" t="s">
        <v>2509</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597" t="s">
        <v>2807</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
      <c r="A34" s="3593"/>
      <c r="B34" s="2167" t="s">
        <v>2510</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93"/>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ht="13">
      <c r="A35" s="3593"/>
      <c r="B35" s="2167" t="s">
        <v>2511</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93"/>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94"/>
      <c r="B36" s="2167" t="s">
        <v>2512</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94"/>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ht="13">
      <c r="A37" s="2252"/>
      <c r="B37" s="2167" t="s">
        <v>2513</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2514</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ht="13">
      <c r="A38" s="2252"/>
      <c r="B38" s="2167" t="s">
        <v>2515</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2516</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2517</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2461</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ht="26">
      <c r="A41" s="1222"/>
      <c r="B41" s="2308" t="s">
        <v>2622</v>
      </c>
      <c r="C41" s="338" t="e">
        <f>ROUND(POWER(1+E41,H41-G41)*(POWER(1+E41,G41)-1)/(POWER(1+E41,H41)-1),4)</f>
        <v>#DIV/0!</v>
      </c>
      <c r="D41" s="166" t="s">
        <v>2468</v>
      </c>
      <c r="E41" s="2307">
        <f>G20</f>
        <v>0</v>
      </c>
      <c r="F41" s="166" t="s">
        <v>2477</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4.5" thickBot="1">
      <c r="A45" s="2261" t="s">
        <v>2518</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4">
      <c r="A46" s="2263" t="s">
        <v>2519</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6">
      <c r="A47" s="2267" t="s">
        <v>2520</v>
      </c>
      <c r="B47" s="1473" t="s">
        <v>2521</v>
      </c>
      <c r="C47" s="1473" t="s">
        <v>2522</v>
      </c>
      <c r="D47" s="1473" t="s">
        <v>2523</v>
      </c>
      <c r="E47" s="746" t="s">
        <v>2524</v>
      </c>
      <c r="F47" s="2268" t="s">
        <v>2525</v>
      </c>
      <c r="G47" s="1473" t="s">
        <v>574</v>
      </c>
      <c r="H47" s="2269" t="s">
        <v>2526</v>
      </c>
      <c r="I47" s="1473" t="s">
        <v>2527</v>
      </c>
      <c r="J47" s="550" t="s">
        <v>2177</v>
      </c>
      <c r="K47" s="550" t="s">
        <v>2178</v>
      </c>
      <c r="L47" s="550" t="s">
        <v>2179</v>
      </c>
      <c r="M47" s="550" t="s">
        <v>2180</v>
      </c>
      <c r="N47" s="550" t="s">
        <v>2181</v>
      </c>
      <c r="AA47" s="1222"/>
      <c r="AB47" s="1222"/>
      <c r="AC47" s="1222"/>
      <c r="AD47" s="1222"/>
      <c r="AE47" s="1222"/>
      <c r="AF47" s="1222"/>
      <c r="AG47" s="1222"/>
      <c r="AH47" s="1222"/>
      <c r="AI47" s="1222"/>
      <c r="AJ47" s="1222"/>
      <c r="AK47" s="1222"/>
    </row>
    <row r="48" spans="1:37" s="1221" customFormat="1" ht="62.5">
      <c r="A48" s="2267" t="s">
        <v>2528</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0">
      <c r="A49" s="2267" t="s">
        <v>2529</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6">
      <c r="A50" s="2267" t="s">
        <v>2530</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52">
      <c r="A51" s="2267" t="s">
        <v>2531</v>
      </c>
      <c r="B51" s="2272" t="s">
        <v>2532</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6">
      <c r="A52" s="2267" t="s">
        <v>2533</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6">
      <c r="A53" s="2267" t="s">
        <v>2534</v>
      </c>
      <c r="B53" s="2273" t="s">
        <v>2535</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6">
      <c r="A54" s="2274" t="s">
        <v>2536</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6">
      <c r="A55" s="2274" t="s">
        <v>2537</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63" thickBot="1">
      <c r="A56" s="2275" t="s">
        <v>2538</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4">
      <c r="A57" s="2263" t="s">
        <v>2539</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6">
      <c r="A58" s="2267" t="s">
        <v>2520</v>
      </c>
      <c r="B58" s="1473"/>
      <c r="C58" s="1473" t="s">
        <v>2522</v>
      </c>
      <c r="D58" s="1473" t="s">
        <v>2523</v>
      </c>
      <c r="E58" s="746" t="s">
        <v>2524</v>
      </c>
      <c r="F58" s="2268" t="s">
        <v>2540</v>
      </c>
      <c r="G58" s="1473" t="s">
        <v>574</v>
      </c>
      <c r="H58" s="2269" t="s">
        <v>2526</v>
      </c>
      <c r="I58" s="1473" t="s">
        <v>2527</v>
      </c>
      <c r="J58" s="550" t="s">
        <v>2177</v>
      </c>
      <c r="K58" s="550" t="s">
        <v>2178</v>
      </c>
      <c r="L58" s="550" t="s">
        <v>2179</v>
      </c>
      <c r="M58" s="550" t="s">
        <v>2180</v>
      </c>
      <c r="N58" s="550" t="s">
        <v>2181</v>
      </c>
      <c r="AA58" s="1222"/>
      <c r="AB58" s="1222"/>
      <c r="AC58" s="1222"/>
      <c r="AD58" s="1222"/>
      <c r="AE58" s="1222"/>
      <c r="AF58" s="1222"/>
      <c r="AG58" s="1222"/>
      <c r="AH58" s="1222"/>
      <c r="AI58" s="1222"/>
      <c r="AJ58" s="1222"/>
      <c r="AK58" s="1222"/>
    </row>
    <row r="59" spans="1:37" s="1221" customFormat="1" ht="26">
      <c r="A59" s="2267" t="s">
        <v>2541</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0">
      <c r="A60" s="2267" t="s">
        <v>2529</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6">
      <c r="A61" s="2267" t="s">
        <v>2530</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52">
      <c r="A62" s="2267" t="s">
        <v>2531</v>
      </c>
      <c r="B62" s="2272" t="s">
        <v>2532</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6">
      <c r="A63" s="2267" t="s">
        <v>2533</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6">
      <c r="A64" s="2267" t="s">
        <v>2534</v>
      </c>
      <c r="B64" s="2273" t="s">
        <v>2535</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6">
      <c r="A65" s="2267" t="s">
        <v>2536</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6">
      <c r="A66" s="2267" t="s">
        <v>2537</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63" thickBot="1">
      <c r="A67" s="2275" t="s">
        <v>2538</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4">
      <c r="A68" s="2263" t="s">
        <v>2542</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6">
      <c r="A69" s="2267" t="s">
        <v>2520</v>
      </c>
      <c r="B69" s="1473"/>
      <c r="C69" s="1473" t="s">
        <v>2522</v>
      </c>
      <c r="D69" s="1473" t="s">
        <v>2523</v>
      </c>
      <c r="E69" s="746" t="s">
        <v>2524</v>
      </c>
      <c r="F69" s="2268" t="s">
        <v>2540</v>
      </c>
      <c r="G69" s="1473" t="s">
        <v>574</v>
      </c>
      <c r="H69" s="2269" t="s">
        <v>2526</v>
      </c>
      <c r="I69" s="1473" t="s">
        <v>2527</v>
      </c>
      <c r="J69" s="550" t="s">
        <v>2177</v>
      </c>
      <c r="K69" s="550" t="s">
        <v>2178</v>
      </c>
      <c r="L69" s="550" t="s">
        <v>2179</v>
      </c>
      <c r="M69" s="550" t="s">
        <v>2180</v>
      </c>
      <c r="N69" s="550" t="s">
        <v>2181</v>
      </c>
      <c r="AA69" s="1222"/>
      <c r="AB69" s="1222"/>
      <c r="AC69" s="1222"/>
      <c r="AD69" s="1222"/>
      <c r="AE69" s="1222"/>
      <c r="AF69" s="1222"/>
      <c r="AG69" s="1222"/>
      <c r="AH69" s="1222"/>
      <c r="AI69" s="1222"/>
      <c r="AJ69" s="1222"/>
      <c r="AK69" s="1222"/>
    </row>
    <row r="70" spans="1:37" s="1221" customFormat="1" ht="26">
      <c r="A70" s="2267" t="s">
        <v>2543</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0">
      <c r="A71" s="2267" t="s">
        <v>2529</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6">
      <c r="A72" s="2267" t="s">
        <v>2530</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
      <c r="A73" s="2267" t="s">
        <v>2544</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6">
      <c r="A74" s="2267" t="s">
        <v>2536</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6">
      <c r="A75" s="2267" t="s">
        <v>2537</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6">
      <c r="A76" s="2267" t="s">
        <v>2534</v>
      </c>
      <c r="B76" s="2273" t="s">
        <v>2535</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62.5">
      <c r="A77" s="2267" t="s">
        <v>2538</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6.5" thickBot="1">
      <c r="A78" s="2275" t="s">
        <v>2545</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4">
      <c r="A79" s="2263" t="s">
        <v>2546</v>
      </c>
      <c r="B79" s="2264">
        <f>1+E81</f>
        <v>1</v>
      </c>
      <c r="C79" s="741"/>
      <c r="D79" s="741"/>
      <c r="E79" s="742"/>
      <c r="F79" s="2266"/>
      <c r="G79" s="6"/>
      <c r="H79" s="6"/>
      <c r="I79" s="6"/>
      <c r="J79" s="7"/>
      <c r="K79" s="7"/>
      <c r="L79" s="7"/>
      <c r="M79" s="7"/>
      <c r="N79" s="7"/>
      <c r="Z79" s="2122"/>
      <c r="AA79" s="2188"/>
      <c r="AG79" s="1223"/>
      <c r="AK79" s="2188"/>
    </row>
    <row r="80" spans="1:37" ht="26">
      <c r="A80" s="2267" t="s">
        <v>2520</v>
      </c>
      <c r="B80" s="1473"/>
      <c r="C80" s="1473" t="s">
        <v>2522</v>
      </c>
      <c r="D80" s="1473" t="s">
        <v>2523</v>
      </c>
      <c r="E80" s="746" t="s">
        <v>2524</v>
      </c>
      <c r="F80" s="2268" t="s">
        <v>2540</v>
      </c>
      <c r="G80" s="1473" t="s">
        <v>574</v>
      </c>
      <c r="H80" s="2269" t="s">
        <v>2526</v>
      </c>
      <c r="I80" s="1473" t="s">
        <v>2527</v>
      </c>
      <c r="J80" s="550" t="s">
        <v>2177</v>
      </c>
      <c r="K80" s="550" t="s">
        <v>2178</v>
      </c>
      <c r="L80" s="550" t="s">
        <v>2179</v>
      </c>
      <c r="M80" s="550" t="s">
        <v>2180</v>
      </c>
      <c r="N80" s="550" t="s">
        <v>2181</v>
      </c>
      <c r="Z80" s="2122"/>
      <c r="AA80" s="2188"/>
      <c r="AG80" s="1223"/>
      <c r="AK80" s="2188"/>
    </row>
    <row r="81" spans="1:37" ht="37.5">
      <c r="A81" s="2267" t="s">
        <v>2547</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0">
      <c r="A82" s="2267" t="s">
        <v>2529</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6">
      <c r="A83" s="2267" t="s">
        <v>2530</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
      <c r="A84" s="2267" t="s">
        <v>2544</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6">
      <c r="A85" s="2267" t="s">
        <v>2536</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6">
      <c r="A86" s="2267" t="s">
        <v>2537</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6">
      <c r="A87" s="2267" t="s">
        <v>2534</v>
      </c>
      <c r="B87" s="2273" t="s">
        <v>2548</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50.5" thickBot="1">
      <c r="A88" s="2275" t="s">
        <v>2549</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ht="13">
      <c r="A90" s="3584" t="s">
        <v>2550</v>
      </c>
      <c r="B90" s="3584"/>
      <c r="C90" s="3584"/>
      <c r="D90" s="3584"/>
      <c r="E90" s="3584"/>
      <c r="F90" s="3584"/>
      <c r="G90" s="3584"/>
      <c r="H90" s="3584"/>
      <c r="I90" s="3584"/>
      <c r="J90" s="3584"/>
      <c r="K90" s="2281"/>
      <c r="L90" s="2281"/>
      <c r="M90" s="2281"/>
      <c r="N90" s="2281"/>
    </row>
    <row r="91" spans="1:37" ht="13">
      <c r="A91" s="3586" t="s">
        <v>2551</v>
      </c>
      <c r="B91" s="3586" t="s">
        <v>2552</v>
      </c>
      <c r="C91" s="2235" t="s">
        <v>2553</v>
      </c>
      <c r="D91" s="2236"/>
      <c r="E91" s="2236"/>
      <c r="F91" s="2236"/>
      <c r="G91" s="2236"/>
      <c r="H91" s="2236"/>
      <c r="I91" s="2236"/>
      <c r="J91" s="2282"/>
      <c r="K91" s="2283"/>
      <c r="L91" s="2283"/>
      <c r="M91" s="2283"/>
      <c r="N91" s="2283"/>
    </row>
    <row r="92" spans="1:37" ht="13">
      <c r="A92" s="3586"/>
      <c r="B92" s="3586"/>
      <c r="C92" s="848" t="s">
        <v>2420</v>
      </c>
      <c r="D92" s="848" t="s">
        <v>2421</v>
      </c>
      <c r="E92" s="848" t="s">
        <v>2422</v>
      </c>
      <c r="F92" s="848" t="s">
        <v>2423</v>
      </c>
      <c r="G92" s="848" t="s">
        <v>2424</v>
      </c>
      <c r="H92" s="848" t="s">
        <v>2425</v>
      </c>
      <c r="I92" s="848" t="s">
        <v>2426</v>
      </c>
      <c r="J92" s="848" t="s">
        <v>2427</v>
      </c>
      <c r="K92" s="848" t="s">
        <v>2428</v>
      </c>
      <c r="L92" s="848" t="s">
        <v>2429</v>
      </c>
      <c r="M92" s="848" t="s">
        <v>2430</v>
      </c>
      <c r="N92" s="848" t="s">
        <v>2431</v>
      </c>
    </row>
    <row r="93" spans="1:37">
      <c r="A93" s="3587" t="s">
        <v>2554</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88"/>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88"/>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88"/>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88"/>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88"/>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ht="13">
      <c r="A99" s="3588"/>
      <c r="B99" s="2284" t="s">
        <v>2436</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89"/>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ht="13">
      <c r="A101" s="3587" t="s">
        <v>2555</v>
      </c>
      <c r="B101" s="2288" t="s">
        <v>2556</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88"/>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88"/>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88"/>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88"/>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88"/>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88"/>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88"/>
      <c r="B108" s="3590" t="s">
        <v>2557</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89"/>
      <c r="B109" s="3591"/>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ht="13">
      <c r="A110" s="3585" t="s">
        <v>2558</v>
      </c>
      <c r="B110" s="3585"/>
      <c r="C110" s="3585"/>
      <c r="D110" s="3585"/>
      <c r="E110" s="3585"/>
      <c r="F110" s="3585"/>
      <c r="G110" s="3585"/>
      <c r="H110" s="3585"/>
      <c r="I110" s="3585"/>
      <c r="J110" s="3585"/>
      <c r="K110" s="2290"/>
      <c r="L110" s="2290"/>
      <c r="M110" s="2290"/>
      <c r="N110" s="2290"/>
    </row>
    <row r="112" spans="1:14" ht="13" thickBot="1"/>
    <row r="113" spans="1:13" ht="26" thickBot="1">
      <c r="A113" s="812" t="s">
        <v>2559</v>
      </c>
      <c r="B113" s="1166">
        <f>G3</f>
        <v>1.99</v>
      </c>
      <c r="C113" s="813" t="s">
        <v>2560</v>
      </c>
      <c r="D113" s="814">
        <f>SUMPRODUCT((A115:A118=F113)*(B114:M114=H113)*B115:M118)</f>
        <v>0</v>
      </c>
      <c r="E113" s="2126" t="s">
        <v>2393</v>
      </c>
      <c r="F113" s="2292">
        <f>E2</f>
        <v>0</v>
      </c>
      <c r="G113" s="2126" t="s">
        <v>2394</v>
      </c>
      <c r="H113" s="2292">
        <f>G2</f>
        <v>0</v>
      </c>
      <c r="I113" s="2126"/>
      <c r="J113" s="2293"/>
      <c r="K113" s="2293"/>
      <c r="L113" s="2293"/>
      <c r="M113" s="2293"/>
    </row>
    <row r="114" spans="1:13" ht="13">
      <c r="A114" s="817"/>
      <c r="B114" s="2294" t="s">
        <v>2561</v>
      </c>
      <c r="C114" s="2294" t="s">
        <v>2562</v>
      </c>
      <c r="D114" s="2294" t="s">
        <v>2563</v>
      </c>
      <c r="E114" s="2295" t="s">
        <v>2564</v>
      </c>
      <c r="F114" s="2295" t="s">
        <v>2565</v>
      </c>
      <c r="G114" s="2295" t="s">
        <v>2566</v>
      </c>
      <c r="H114" s="2296" t="s">
        <v>2567</v>
      </c>
      <c r="I114" s="2296" t="s">
        <v>2568</v>
      </c>
      <c r="J114" s="2297" t="s">
        <v>2569</v>
      </c>
      <c r="K114" s="2297" t="s">
        <v>2570</v>
      </c>
      <c r="L114" s="2297" t="s">
        <v>2571</v>
      </c>
      <c r="M114" s="2298" t="s">
        <v>2572</v>
      </c>
    </row>
    <row r="115" spans="1:13" ht="13">
      <c r="A115" s="818" t="s">
        <v>2458</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ht="13">
      <c r="A116" s="818" t="s">
        <v>2459</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ht="13">
      <c r="A117" s="818" t="s">
        <v>2460</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5" thickBot="1">
      <c r="A118" s="660" t="s">
        <v>2461</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6328125" defaultRowHeight="19.5" customHeight="1"/>
  <cols>
    <col min="1" max="1" width="14.36328125" style="743"/>
    <col min="2" max="9" width="14.36328125" style="789"/>
    <col min="10" max="16384" width="14.3632812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3" t="s">
        <v>2940</v>
      </c>
      <c r="B2" s="3164">
        <v>3.5</v>
      </c>
      <c r="C2" s="3164">
        <v>3.5</v>
      </c>
      <c r="D2" s="3165">
        <v>2.5</v>
      </c>
      <c r="E2" s="3165">
        <v>2.5</v>
      </c>
      <c r="F2" s="3165">
        <v>2.5</v>
      </c>
      <c r="G2" s="3165">
        <v>2.5</v>
      </c>
      <c r="H2" s="3165">
        <v>2.5</v>
      </c>
      <c r="I2" s="3164">
        <v>2</v>
      </c>
      <c r="J2" s="3164">
        <v>2</v>
      </c>
      <c r="K2" s="3164">
        <v>2</v>
      </c>
      <c r="L2" s="3164">
        <v>2</v>
      </c>
      <c r="M2" s="3166">
        <v>2</v>
      </c>
    </row>
    <row r="3" spans="1:13" ht="19.5" customHeight="1">
      <c r="A3" s="3167" t="s">
        <v>2941</v>
      </c>
      <c r="B3" s="3168">
        <v>3.5</v>
      </c>
      <c r="C3" s="3168">
        <v>3.5</v>
      </c>
      <c r="D3" s="3169">
        <v>2.5</v>
      </c>
      <c r="E3" s="3169">
        <v>2.5</v>
      </c>
      <c r="F3" s="3169">
        <v>2.5</v>
      </c>
      <c r="G3" s="3169">
        <v>2.5</v>
      </c>
      <c r="H3" s="3169">
        <v>2.5</v>
      </c>
      <c r="I3" s="3168">
        <v>2</v>
      </c>
      <c r="J3" s="3168">
        <v>2</v>
      </c>
      <c r="K3" s="3168">
        <v>2</v>
      </c>
      <c r="L3" s="3168">
        <v>2</v>
      </c>
      <c r="M3" s="3170">
        <v>2</v>
      </c>
    </row>
    <row r="4" spans="1:13" ht="19.5" customHeight="1">
      <c r="A4" s="3167" t="s">
        <v>2942</v>
      </c>
      <c r="B4" s="3169">
        <v>2.5</v>
      </c>
      <c r="C4" s="3169">
        <v>2.5</v>
      </c>
      <c r="D4" s="3169">
        <v>2.5</v>
      </c>
      <c r="E4" s="3169">
        <v>2.5</v>
      </c>
      <c r="F4" s="3169">
        <v>2.5</v>
      </c>
      <c r="G4" s="3169">
        <v>2.5</v>
      </c>
      <c r="H4" s="3169">
        <v>2.5</v>
      </c>
      <c r="I4" s="3168">
        <v>1.5</v>
      </c>
      <c r="J4" s="3168">
        <v>1.5</v>
      </c>
      <c r="K4" s="3168">
        <v>1.5</v>
      </c>
      <c r="L4" s="3168">
        <v>1.5</v>
      </c>
      <c r="M4" s="3170">
        <v>1.5</v>
      </c>
    </row>
    <row r="5" spans="1:13" ht="19.5" customHeight="1">
      <c r="A5" s="3171" t="s">
        <v>2943</v>
      </c>
      <c r="B5" s="3168">
        <v>1.5</v>
      </c>
      <c r="C5" s="3168">
        <v>1.5</v>
      </c>
      <c r="D5" s="3168">
        <v>1.5</v>
      </c>
      <c r="E5" s="3168">
        <v>1.5</v>
      </c>
      <c r="F5" s="3168">
        <v>1.5</v>
      </c>
      <c r="G5" s="3168">
        <v>1.2</v>
      </c>
      <c r="H5" s="3168">
        <v>1.2</v>
      </c>
      <c r="I5" s="3168">
        <v>1</v>
      </c>
      <c r="J5" s="3168">
        <v>1</v>
      </c>
      <c r="K5" s="3168">
        <v>1</v>
      </c>
      <c r="L5" s="3168">
        <v>1</v>
      </c>
      <c r="M5" s="3170">
        <v>1</v>
      </c>
    </row>
    <row r="6" spans="1:13" ht="19.5" customHeight="1">
      <c r="A6" s="3172" t="s">
        <v>2944</v>
      </c>
      <c r="B6" s="3173">
        <v>2.5</v>
      </c>
      <c r="C6" s="3173">
        <v>2.5</v>
      </c>
      <c r="D6" s="3173">
        <v>2</v>
      </c>
      <c r="E6" s="3173">
        <v>2</v>
      </c>
      <c r="F6" s="3173">
        <v>2</v>
      </c>
      <c r="G6" s="3173">
        <v>2</v>
      </c>
      <c r="H6" s="3173">
        <v>2</v>
      </c>
      <c r="I6" s="3174">
        <v>1.5</v>
      </c>
      <c r="J6" s="3174">
        <v>1.5</v>
      </c>
      <c r="K6" s="3174">
        <v>1.5</v>
      </c>
      <c r="L6" s="3174">
        <v>1.5</v>
      </c>
      <c r="M6" s="3175">
        <v>1.5</v>
      </c>
    </row>
    <row r="7" spans="1:13" ht="19.5" customHeight="1" thickBot="1">
      <c r="A7" s="3176" t="s">
        <v>2945</v>
      </c>
      <c r="B7" s="3177">
        <v>2.5</v>
      </c>
      <c r="C7" s="3177">
        <v>2.5</v>
      </c>
      <c r="D7" s="3177">
        <v>2</v>
      </c>
      <c r="E7" s="3177">
        <v>2</v>
      </c>
      <c r="F7" s="3177">
        <v>2</v>
      </c>
      <c r="G7" s="3177">
        <v>2</v>
      </c>
      <c r="H7" s="3177">
        <v>2</v>
      </c>
      <c r="I7" s="3178">
        <v>1.5</v>
      </c>
      <c r="J7" s="3178">
        <v>1.5</v>
      </c>
      <c r="K7" s="3178">
        <v>1.5</v>
      </c>
      <c r="L7" s="3178">
        <v>1.5</v>
      </c>
      <c r="M7" s="3179">
        <v>1.5</v>
      </c>
    </row>
    <row r="8" spans="1:13" ht="19.5" customHeight="1">
      <c r="A8" s="784" t="s">
        <v>546</v>
      </c>
      <c r="B8" s="3180">
        <v>80</v>
      </c>
      <c r="C8" s="3180">
        <v>80</v>
      </c>
      <c r="D8" s="3180">
        <v>70</v>
      </c>
      <c r="E8" s="3180">
        <v>70</v>
      </c>
      <c r="F8" s="3180">
        <v>70</v>
      </c>
      <c r="G8" s="3180">
        <v>70</v>
      </c>
      <c r="H8" s="3180">
        <v>70</v>
      </c>
      <c r="I8" s="3180">
        <v>60</v>
      </c>
      <c r="J8" s="3180">
        <v>60</v>
      </c>
      <c r="K8" s="3180">
        <v>60</v>
      </c>
      <c r="L8" s="3180">
        <v>60</v>
      </c>
      <c r="M8" s="3181">
        <v>60</v>
      </c>
    </row>
    <row r="9" spans="1:13" ht="19.5" customHeight="1">
      <c r="A9" s="744" t="s">
        <v>547</v>
      </c>
      <c r="B9" s="3182">
        <v>70</v>
      </c>
      <c r="C9" s="3182">
        <v>70</v>
      </c>
      <c r="D9" s="3182">
        <v>60</v>
      </c>
      <c r="E9" s="3182">
        <v>60</v>
      </c>
      <c r="F9" s="3182">
        <v>60</v>
      </c>
      <c r="G9" s="3182">
        <v>60</v>
      </c>
      <c r="H9" s="3182">
        <v>60</v>
      </c>
      <c r="I9" s="3182">
        <v>50</v>
      </c>
      <c r="J9" s="3182">
        <v>50</v>
      </c>
      <c r="K9" s="3182">
        <v>50</v>
      </c>
      <c r="L9" s="3182">
        <v>50</v>
      </c>
      <c r="M9" s="3183">
        <v>50</v>
      </c>
    </row>
    <row r="10" spans="1:13" ht="19.5" customHeight="1">
      <c r="A10" s="744" t="s">
        <v>548</v>
      </c>
      <c r="B10" s="3182">
        <v>20</v>
      </c>
      <c r="C10" s="3182">
        <v>20</v>
      </c>
      <c r="D10" s="3182">
        <v>15</v>
      </c>
      <c r="E10" s="3182">
        <v>15</v>
      </c>
      <c r="F10" s="3182">
        <v>15</v>
      </c>
      <c r="G10" s="3182">
        <v>15</v>
      </c>
      <c r="H10" s="3182">
        <v>15</v>
      </c>
      <c r="I10" s="3182">
        <v>10</v>
      </c>
      <c r="J10" s="3182">
        <v>10</v>
      </c>
      <c r="K10" s="3182">
        <v>10</v>
      </c>
      <c r="L10" s="3182">
        <v>10</v>
      </c>
      <c r="M10" s="3183">
        <v>10</v>
      </c>
    </row>
    <row r="11" spans="1:13" ht="19.5" customHeight="1">
      <c r="A11" s="744" t="s">
        <v>549</v>
      </c>
      <c r="B11" s="3182">
        <v>30</v>
      </c>
      <c r="C11" s="3182">
        <v>30</v>
      </c>
      <c r="D11" s="3182">
        <v>25</v>
      </c>
      <c r="E11" s="3182">
        <v>25</v>
      </c>
      <c r="F11" s="3182">
        <v>25</v>
      </c>
      <c r="G11" s="3182">
        <v>25</v>
      </c>
      <c r="H11" s="3182">
        <v>25</v>
      </c>
      <c r="I11" s="3182">
        <v>20</v>
      </c>
      <c r="J11" s="3182">
        <v>20</v>
      </c>
      <c r="K11" s="3182">
        <v>20</v>
      </c>
      <c r="L11" s="3182">
        <v>20</v>
      </c>
      <c r="M11" s="3183">
        <v>20</v>
      </c>
    </row>
    <row r="12" spans="1:13" ht="19.5" customHeight="1">
      <c r="A12" s="744" t="s">
        <v>550</v>
      </c>
      <c r="B12" s="3182">
        <v>45</v>
      </c>
      <c r="C12" s="3182">
        <v>45</v>
      </c>
      <c r="D12" s="3182">
        <v>40</v>
      </c>
      <c r="E12" s="3182">
        <v>40</v>
      </c>
      <c r="F12" s="3182">
        <v>40</v>
      </c>
      <c r="G12" s="3182">
        <v>40</v>
      </c>
      <c r="H12" s="3182">
        <v>40</v>
      </c>
      <c r="I12" s="3182">
        <v>35</v>
      </c>
      <c r="J12" s="3182">
        <v>35</v>
      </c>
      <c r="K12" s="3182">
        <v>35</v>
      </c>
      <c r="L12" s="3182">
        <v>35</v>
      </c>
      <c r="M12" s="3183">
        <v>35</v>
      </c>
    </row>
    <row r="13" spans="1:13" ht="19.5" customHeight="1">
      <c r="A13" s="744" t="s">
        <v>551</v>
      </c>
      <c r="B13" s="3182">
        <v>60</v>
      </c>
      <c r="C13" s="3182">
        <v>60</v>
      </c>
      <c r="D13" s="3182">
        <v>50</v>
      </c>
      <c r="E13" s="3182">
        <v>50</v>
      </c>
      <c r="F13" s="3182">
        <v>50</v>
      </c>
      <c r="G13" s="3182">
        <v>50</v>
      </c>
      <c r="H13" s="3182">
        <v>50</v>
      </c>
      <c r="I13" s="3182">
        <v>40</v>
      </c>
      <c r="J13" s="3182">
        <v>40</v>
      </c>
      <c r="K13" s="3182">
        <v>40</v>
      </c>
      <c r="L13" s="3182">
        <v>40</v>
      </c>
      <c r="M13" s="3183">
        <v>40</v>
      </c>
    </row>
    <row r="14" spans="1:13" ht="19.5" customHeight="1">
      <c r="A14" s="744" t="s">
        <v>552</v>
      </c>
      <c r="B14" s="3182">
        <v>50</v>
      </c>
      <c r="C14" s="3182">
        <v>50</v>
      </c>
      <c r="D14" s="3182">
        <v>40</v>
      </c>
      <c r="E14" s="3182">
        <v>40</v>
      </c>
      <c r="F14" s="3182">
        <v>40</v>
      </c>
      <c r="G14" s="3182">
        <v>40</v>
      </c>
      <c r="H14" s="3182">
        <v>40</v>
      </c>
      <c r="I14" s="3182">
        <v>30</v>
      </c>
      <c r="J14" s="3182">
        <v>30</v>
      </c>
      <c r="K14" s="3182">
        <v>30</v>
      </c>
      <c r="L14" s="3182">
        <v>30</v>
      </c>
      <c r="M14" s="3183">
        <v>30</v>
      </c>
    </row>
    <row r="15" spans="1:13" ht="19.5" customHeight="1">
      <c r="A15" s="785" t="s">
        <v>553</v>
      </c>
      <c r="B15" s="3184">
        <v>20</v>
      </c>
      <c r="C15" s="3184">
        <v>20</v>
      </c>
      <c r="D15" s="3184">
        <v>15</v>
      </c>
      <c r="E15" s="3184">
        <v>15</v>
      </c>
      <c r="F15" s="3184">
        <v>15</v>
      </c>
      <c r="G15" s="3184">
        <v>15</v>
      </c>
      <c r="H15" s="3184">
        <v>15</v>
      </c>
      <c r="I15" s="3184">
        <v>10</v>
      </c>
      <c r="J15" s="3184">
        <v>10</v>
      </c>
      <c r="K15" s="3184">
        <v>10</v>
      </c>
      <c r="L15" s="3184">
        <v>10</v>
      </c>
      <c r="M15" s="318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2624</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84" t="s">
        <v>2946</v>
      </c>
      <c r="B19" s="3186" t="s">
        <v>2947</v>
      </c>
      <c r="C19" s="3187" t="s">
        <v>2948</v>
      </c>
      <c r="D19" s="3188"/>
      <c r="E19" s="3182" t="s">
        <v>2949</v>
      </c>
      <c r="F19" s="791"/>
      <c r="G19" s="791"/>
    </row>
    <row r="20" spans="1:13" s="796" customFormat="1" ht="19.5" customHeight="1">
      <c r="A20" s="3615" t="s">
        <v>2950</v>
      </c>
      <c r="B20" s="3608" t="s">
        <v>2951</v>
      </c>
      <c r="C20" s="3189" t="s">
        <v>2952</v>
      </c>
      <c r="D20" s="3190"/>
      <c r="E20" s="3191">
        <v>1</v>
      </c>
      <c r="F20" s="3192" t="s">
        <v>2953</v>
      </c>
      <c r="G20" s="795"/>
      <c r="H20" s="789"/>
      <c r="I20" s="789"/>
    </row>
    <row r="21" spans="1:13" s="796" customFormat="1" ht="19.5" customHeight="1">
      <c r="A21" s="3616"/>
      <c r="B21" s="3609"/>
      <c r="C21" s="793" t="s">
        <v>2954</v>
      </c>
      <c r="D21" s="794"/>
      <c r="E21" s="3193">
        <v>1</v>
      </c>
      <c r="F21" s="3192" t="s">
        <v>2955</v>
      </c>
      <c r="G21" s="795"/>
      <c r="H21" s="789"/>
      <c r="I21" s="789"/>
    </row>
    <row r="22" spans="1:13" s="796" customFormat="1" ht="19.5" customHeight="1">
      <c r="A22" s="3616"/>
      <c r="B22" s="3609"/>
      <c r="C22" s="793" t="s">
        <v>2956</v>
      </c>
      <c r="D22" s="794"/>
      <c r="E22" s="3193">
        <v>0.9</v>
      </c>
      <c r="F22" s="3192" t="s">
        <v>2957</v>
      </c>
      <c r="G22" s="795"/>
      <c r="H22" s="789"/>
      <c r="I22" s="789"/>
    </row>
    <row r="23" spans="1:13" s="796" customFormat="1" ht="19.5" customHeight="1">
      <c r="A23" s="3616"/>
      <c r="B23" s="3609"/>
      <c r="C23" s="793" t="s">
        <v>2958</v>
      </c>
      <c r="D23" s="794"/>
      <c r="E23" s="3193">
        <v>0.9</v>
      </c>
      <c r="F23" s="3192" t="s">
        <v>2959</v>
      </c>
      <c r="G23" s="795"/>
      <c r="H23" s="789"/>
      <c r="I23" s="789"/>
    </row>
    <row r="24" spans="1:13" s="796" customFormat="1" ht="19.5" customHeight="1">
      <c r="A24" s="3616"/>
      <c r="B24" s="3609"/>
      <c r="C24" s="793" t="s">
        <v>2960</v>
      </c>
      <c r="D24" s="794"/>
      <c r="E24" s="3193">
        <v>0.8</v>
      </c>
      <c r="F24" s="3192" t="s">
        <v>2961</v>
      </c>
      <c r="G24" s="795"/>
      <c r="H24" s="789"/>
      <c r="I24" s="789"/>
    </row>
    <row r="25" spans="1:13" s="796" customFormat="1" ht="19.5" customHeight="1" thickBot="1">
      <c r="A25" s="3617"/>
      <c r="B25" s="3610"/>
      <c r="C25" s="3194" t="s">
        <v>2962</v>
      </c>
      <c r="D25" s="3195"/>
      <c r="E25" s="3196">
        <v>0.8</v>
      </c>
      <c r="F25" s="3192" t="s">
        <v>2963</v>
      </c>
      <c r="G25" s="795"/>
      <c r="H25" s="789"/>
      <c r="I25" s="789"/>
    </row>
    <row r="26" spans="1:13" s="796" customFormat="1" ht="19.5" customHeight="1" thickBot="1">
      <c r="A26" s="3197" t="s">
        <v>2964</v>
      </c>
      <c r="B26" s="3198" t="s">
        <v>2951</v>
      </c>
      <c r="C26" s="3199" t="s">
        <v>2965</v>
      </c>
      <c r="D26" s="3200"/>
      <c r="E26" s="3201">
        <v>1</v>
      </c>
      <c r="F26" s="3192" t="s">
        <v>2966</v>
      </c>
      <c r="G26" s="795"/>
      <c r="H26" s="789"/>
      <c r="I26" s="789"/>
    </row>
    <row r="27" spans="1:13" s="796" customFormat="1" ht="19.5" customHeight="1">
      <c r="A27" s="3611" t="s">
        <v>2967</v>
      </c>
      <c r="B27" s="3608" t="s">
        <v>2967</v>
      </c>
      <c r="C27" s="3189" t="s">
        <v>2968</v>
      </c>
      <c r="D27" s="3190"/>
      <c r="E27" s="3191">
        <v>1</v>
      </c>
      <c r="F27" s="3192" t="s">
        <v>2969</v>
      </c>
      <c r="G27" s="795"/>
      <c r="H27" s="789"/>
      <c r="I27" s="789"/>
    </row>
    <row r="28" spans="1:13" s="796" customFormat="1" ht="19.5" customHeight="1">
      <c r="A28" s="3612"/>
      <c r="B28" s="3609"/>
      <c r="C28" s="793" t="s">
        <v>2970</v>
      </c>
      <c r="D28" s="794"/>
      <c r="E28" s="3193">
        <v>1</v>
      </c>
      <c r="F28" s="3192" t="s">
        <v>2971</v>
      </c>
      <c r="G28" s="795"/>
      <c r="H28" s="789"/>
      <c r="I28" s="789"/>
    </row>
    <row r="29" spans="1:13" s="796" customFormat="1" ht="19.5" customHeight="1">
      <c r="A29" s="3612"/>
      <c r="B29" s="3609"/>
      <c r="C29" s="793" t="s">
        <v>2972</v>
      </c>
      <c r="D29" s="794"/>
      <c r="E29" s="3193">
        <v>0.8</v>
      </c>
      <c r="F29" s="3192" t="s">
        <v>2973</v>
      </c>
      <c r="G29" s="795"/>
      <c r="H29" s="789"/>
      <c r="I29" s="789"/>
    </row>
    <row r="30" spans="1:13" s="796" customFormat="1" ht="19.5" customHeight="1">
      <c r="A30" s="3612"/>
      <c r="B30" s="3609"/>
      <c r="C30" s="793" t="s">
        <v>2974</v>
      </c>
      <c r="D30" s="794"/>
      <c r="E30" s="3193">
        <v>0.8</v>
      </c>
      <c r="F30" s="3192" t="s">
        <v>2975</v>
      </c>
      <c r="G30" s="795"/>
      <c r="H30" s="789"/>
      <c r="I30" s="789"/>
    </row>
    <row r="31" spans="1:13" s="796" customFormat="1" ht="19.5" customHeight="1">
      <c r="A31" s="3612"/>
      <c r="B31" s="3609"/>
      <c r="C31" s="793" t="s">
        <v>2976</v>
      </c>
      <c r="D31" s="794"/>
      <c r="E31" s="3193">
        <v>0.8</v>
      </c>
      <c r="F31" s="3192" t="s">
        <v>2977</v>
      </c>
      <c r="G31" s="795"/>
      <c r="H31" s="789"/>
      <c r="I31" s="789"/>
    </row>
    <row r="32" spans="1:13" s="796" customFormat="1" ht="19.5" customHeight="1">
      <c r="A32" s="3612"/>
      <c r="B32" s="3609"/>
      <c r="C32" s="793" t="s">
        <v>2978</v>
      </c>
      <c r="D32" s="794"/>
      <c r="E32" s="3193">
        <v>0.7</v>
      </c>
      <c r="F32" s="3192" t="s">
        <v>2979</v>
      </c>
      <c r="G32" s="795"/>
      <c r="H32" s="789"/>
      <c r="I32" s="789"/>
    </row>
    <row r="33" spans="1:9" s="796" customFormat="1" ht="19.5" customHeight="1">
      <c r="A33" s="3612"/>
      <c r="B33" s="3609"/>
      <c r="C33" s="793" t="s">
        <v>2980</v>
      </c>
      <c r="D33" s="794"/>
      <c r="E33" s="3193">
        <v>0.8</v>
      </c>
      <c r="F33" s="3192" t="s">
        <v>2981</v>
      </c>
      <c r="G33" s="795"/>
      <c r="H33" s="789"/>
      <c r="I33" s="789"/>
    </row>
    <row r="34" spans="1:9" s="796" customFormat="1" ht="19.5" customHeight="1">
      <c r="A34" s="3612"/>
      <c r="B34" s="3609"/>
      <c r="C34" s="793" t="s">
        <v>2982</v>
      </c>
      <c r="D34" s="794"/>
      <c r="E34" s="3193">
        <v>0.6</v>
      </c>
      <c r="F34" s="3192" t="s">
        <v>2983</v>
      </c>
      <c r="G34" s="795"/>
      <c r="H34" s="789"/>
      <c r="I34" s="789"/>
    </row>
    <row r="35" spans="1:9" s="796" customFormat="1" ht="19.5" customHeight="1">
      <c r="A35" s="3612"/>
      <c r="B35" s="3609"/>
      <c r="C35" s="793" t="s">
        <v>2984</v>
      </c>
      <c r="D35" s="794"/>
      <c r="E35" s="3193">
        <v>0.2</v>
      </c>
      <c r="F35" s="3192" t="s">
        <v>2985</v>
      </c>
      <c r="G35" s="795"/>
      <c r="H35" s="789"/>
      <c r="I35" s="789"/>
    </row>
    <row r="36" spans="1:9" s="796" customFormat="1" ht="19.5" customHeight="1">
      <c r="A36" s="3612"/>
      <c r="B36" s="3609"/>
      <c r="C36" s="793" t="s">
        <v>2986</v>
      </c>
      <c r="D36" s="794"/>
      <c r="E36" s="3193">
        <v>0.2</v>
      </c>
      <c r="F36" s="3192" t="s">
        <v>2987</v>
      </c>
      <c r="G36" s="795"/>
      <c r="H36" s="789"/>
      <c r="I36" s="789"/>
    </row>
    <row r="37" spans="1:9" s="796" customFormat="1" ht="19.5" customHeight="1">
      <c r="A37" s="3612"/>
      <c r="B37" s="3614" t="s">
        <v>2988</v>
      </c>
      <c r="C37" s="793" t="s">
        <v>2989</v>
      </c>
      <c r="D37" s="794"/>
      <c r="E37" s="3193">
        <v>0.6</v>
      </c>
      <c r="F37" s="3192" t="s">
        <v>2990</v>
      </c>
      <c r="G37" s="795"/>
      <c r="H37" s="789"/>
      <c r="I37" s="789"/>
    </row>
    <row r="38" spans="1:9" s="796" customFormat="1" ht="19.5" customHeight="1">
      <c r="A38" s="3612"/>
      <c r="B38" s="3609"/>
      <c r="C38" s="793" t="s">
        <v>2991</v>
      </c>
      <c r="D38" s="794"/>
      <c r="E38" s="3193">
        <v>0.6</v>
      </c>
      <c r="F38" s="3192" t="s">
        <v>2992</v>
      </c>
      <c r="G38" s="795"/>
      <c r="H38" s="789"/>
      <c r="I38" s="789"/>
    </row>
    <row r="39" spans="1:9" s="796" customFormat="1" ht="19.5" customHeight="1" thickBot="1">
      <c r="A39" s="3613"/>
      <c r="B39" s="3610"/>
      <c r="C39" s="3194" t="s">
        <v>2993</v>
      </c>
      <c r="D39" s="3195"/>
      <c r="E39" s="3196">
        <v>0.6</v>
      </c>
      <c r="F39" s="3192" t="s">
        <v>2994</v>
      </c>
      <c r="G39" s="795"/>
      <c r="H39" s="789"/>
      <c r="I39" s="789"/>
    </row>
    <row r="40" spans="1:9" s="796" customFormat="1" ht="19.5" customHeight="1" thickBot="1">
      <c r="A40" s="3197" t="s">
        <v>2995</v>
      </c>
      <c r="B40" s="3198" t="s">
        <v>2995</v>
      </c>
      <c r="C40" s="3199" t="s">
        <v>2996</v>
      </c>
      <c r="D40" s="3200"/>
      <c r="E40" s="3201">
        <v>1</v>
      </c>
      <c r="F40" s="3192" t="s">
        <v>2997</v>
      </c>
      <c r="G40" s="795"/>
      <c r="H40" s="789"/>
      <c r="I40" s="789"/>
    </row>
    <row r="41" spans="1:9" s="796" customFormat="1" ht="19.5" customHeight="1">
      <c r="A41" s="3615" t="s">
        <v>2998</v>
      </c>
      <c r="B41" s="3608" t="s">
        <v>2999</v>
      </c>
      <c r="C41" s="3189" t="s">
        <v>3000</v>
      </c>
      <c r="D41" s="3190"/>
      <c r="E41" s="3191">
        <v>1</v>
      </c>
      <c r="F41" s="3192" t="s">
        <v>3001</v>
      </c>
      <c r="G41" s="795"/>
      <c r="H41" s="789"/>
      <c r="I41" s="789"/>
    </row>
    <row r="42" spans="1:9" s="796" customFormat="1" ht="19.5" customHeight="1">
      <c r="A42" s="3616"/>
      <c r="B42" s="3609"/>
      <c r="C42" s="793" t="s">
        <v>3002</v>
      </c>
      <c r="D42" s="794"/>
      <c r="E42" s="3193">
        <v>1</v>
      </c>
      <c r="F42" s="3192" t="s">
        <v>3003</v>
      </c>
      <c r="G42" s="795"/>
      <c r="H42" s="789"/>
      <c r="I42" s="789"/>
    </row>
    <row r="43" spans="1:9" s="796" customFormat="1" ht="19.5" customHeight="1">
      <c r="A43" s="3616"/>
      <c r="B43" s="3618"/>
      <c r="C43" s="793" t="s">
        <v>3004</v>
      </c>
      <c r="D43" s="794"/>
      <c r="E43" s="3193">
        <v>1.5</v>
      </c>
      <c r="F43" s="3192" t="s">
        <v>3005</v>
      </c>
      <c r="G43" s="795"/>
      <c r="H43" s="789"/>
      <c r="I43" s="789"/>
    </row>
    <row r="44" spans="1:9" s="796" customFormat="1" ht="19.5" customHeight="1">
      <c r="A44" s="3616"/>
      <c r="B44" s="3202" t="s">
        <v>2967</v>
      </c>
      <c r="C44" s="793" t="s">
        <v>3006</v>
      </c>
      <c r="D44" s="794"/>
      <c r="E44" s="3193">
        <v>2</v>
      </c>
      <c r="F44" s="3192" t="s">
        <v>3007</v>
      </c>
      <c r="G44" s="795"/>
      <c r="H44" s="789"/>
      <c r="I44" s="789"/>
    </row>
    <row r="45" spans="1:9" s="796" customFormat="1" ht="19.5" customHeight="1">
      <c r="A45" s="3616"/>
      <c r="B45" s="3614" t="s">
        <v>3008</v>
      </c>
      <c r="C45" s="793" t="s">
        <v>3009</v>
      </c>
      <c r="D45" s="794"/>
      <c r="E45" s="3193">
        <v>1</v>
      </c>
      <c r="F45" s="3192" t="s">
        <v>3010</v>
      </c>
      <c r="G45" s="795"/>
      <c r="H45" s="789"/>
      <c r="I45" s="789"/>
    </row>
    <row r="46" spans="1:9" s="796" customFormat="1" ht="19.5" customHeight="1">
      <c r="A46" s="3616"/>
      <c r="B46" s="3609"/>
      <c r="C46" s="793" t="s">
        <v>3011</v>
      </c>
      <c r="D46" s="794"/>
      <c r="E46" s="3193">
        <v>1</v>
      </c>
      <c r="F46" s="3192" t="s">
        <v>3012</v>
      </c>
      <c r="G46" s="795"/>
      <c r="H46" s="789"/>
      <c r="I46" s="789"/>
    </row>
    <row r="47" spans="1:9" s="796" customFormat="1" ht="19.5" customHeight="1">
      <c r="A47" s="3616"/>
      <c r="B47" s="3609"/>
      <c r="C47" s="793" t="s">
        <v>3013</v>
      </c>
      <c r="D47" s="794"/>
      <c r="E47" s="3193">
        <v>1</v>
      </c>
      <c r="F47" s="3192" t="s">
        <v>3014</v>
      </c>
      <c r="G47" s="795"/>
      <c r="H47" s="789"/>
      <c r="I47" s="789"/>
    </row>
    <row r="48" spans="1:9" s="796" customFormat="1" ht="19.5" customHeight="1">
      <c r="A48" s="3616"/>
      <c r="B48" s="3609"/>
      <c r="C48" s="793" t="s">
        <v>3015</v>
      </c>
      <c r="D48" s="794"/>
      <c r="E48" s="3193">
        <v>1</v>
      </c>
      <c r="F48" s="3192" t="s">
        <v>3016</v>
      </c>
      <c r="G48" s="795"/>
      <c r="H48" s="789"/>
      <c r="I48" s="789"/>
    </row>
    <row r="49" spans="1:9" s="796" customFormat="1" ht="19.5" customHeight="1">
      <c r="A49" s="3616"/>
      <c r="B49" s="3609"/>
      <c r="C49" s="793" t="s">
        <v>3017</v>
      </c>
      <c r="D49" s="794"/>
      <c r="E49" s="3193">
        <v>1</v>
      </c>
      <c r="F49" s="3192" t="s">
        <v>3018</v>
      </c>
      <c r="G49" s="795"/>
      <c r="H49" s="789"/>
      <c r="I49" s="789"/>
    </row>
    <row r="50" spans="1:9" s="796" customFormat="1" ht="19.5" customHeight="1">
      <c r="A50" s="3616"/>
      <c r="B50" s="3609"/>
      <c r="C50" s="793" t="s">
        <v>3019</v>
      </c>
      <c r="D50" s="794"/>
      <c r="E50" s="3193">
        <v>1</v>
      </c>
      <c r="F50" s="3192" t="s">
        <v>3020</v>
      </c>
      <c r="G50" s="795"/>
      <c r="H50" s="789"/>
      <c r="I50" s="789"/>
    </row>
    <row r="51" spans="1:9" s="796" customFormat="1" ht="19.5" customHeight="1" thickBot="1">
      <c r="A51" s="3617"/>
      <c r="B51" s="3610"/>
      <c r="C51" s="3194" t="s">
        <v>3021</v>
      </c>
      <c r="D51" s="3195"/>
      <c r="E51" s="3196">
        <v>1</v>
      </c>
      <c r="F51" s="3192" t="s">
        <v>3022</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2">
        <v>0.7</v>
      </c>
      <c r="C57" s="3182">
        <v>0.4</v>
      </c>
      <c r="D57" s="3182">
        <v>0.3</v>
      </c>
      <c r="E57" s="3188">
        <v>0.3</v>
      </c>
      <c r="F57" s="3182">
        <v>0.3</v>
      </c>
      <c r="G57" s="3182">
        <v>0.2</v>
      </c>
      <c r="I57" s="743"/>
    </row>
    <row r="58" spans="1:9" ht="19.5" customHeight="1">
      <c r="A58" s="802" t="s">
        <v>158</v>
      </c>
      <c r="B58" s="3182">
        <v>0.7</v>
      </c>
      <c r="C58" s="3182">
        <v>0.4</v>
      </c>
      <c r="D58" s="3182">
        <v>0.3</v>
      </c>
      <c r="E58" s="3182">
        <v>0.3</v>
      </c>
      <c r="F58" s="3182">
        <v>0.3</v>
      </c>
      <c r="G58" s="3182">
        <v>0.2</v>
      </c>
      <c r="I58" s="743"/>
    </row>
    <row r="59" spans="1:9" ht="19.5" customHeight="1">
      <c r="A59" s="802" t="s">
        <v>159</v>
      </c>
      <c r="B59" s="3182">
        <v>0.6</v>
      </c>
      <c r="C59" s="3182">
        <v>0.3</v>
      </c>
      <c r="D59" s="3182">
        <v>0.25</v>
      </c>
      <c r="E59" s="3182">
        <v>0.25</v>
      </c>
      <c r="F59" s="3182">
        <v>0.25</v>
      </c>
      <c r="G59" s="3182">
        <v>0.15</v>
      </c>
      <c r="I59" s="743"/>
    </row>
    <row r="60" spans="1:9" ht="19.5" customHeight="1">
      <c r="A60" s="802" t="s">
        <v>160</v>
      </c>
      <c r="B60" s="3182">
        <v>0.6</v>
      </c>
      <c r="C60" s="3182">
        <v>0.3</v>
      </c>
      <c r="D60" s="3182">
        <v>0.25</v>
      </c>
      <c r="E60" s="3182">
        <v>0.25</v>
      </c>
      <c r="F60" s="3182">
        <v>0.25</v>
      </c>
      <c r="G60" s="3182">
        <v>0.15</v>
      </c>
      <c r="I60" s="743"/>
    </row>
    <row r="61" spans="1:9" s="789" customFormat="1" ht="19.5" customHeight="1">
      <c r="A61" s="802" t="s">
        <v>161</v>
      </c>
      <c r="B61" s="3182">
        <v>0.6</v>
      </c>
      <c r="C61" s="3182">
        <v>0.3</v>
      </c>
      <c r="D61" s="3182">
        <v>0.25</v>
      </c>
      <c r="E61" s="3182">
        <v>0.25</v>
      </c>
      <c r="F61" s="3182">
        <v>0.25</v>
      </c>
      <c r="G61" s="3182">
        <v>0.15</v>
      </c>
    </row>
    <row r="62" spans="1:9" s="789" customFormat="1" ht="19.5" customHeight="1">
      <c r="A62" s="802" t="s">
        <v>162</v>
      </c>
      <c r="B62" s="3182">
        <v>0.6</v>
      </c>
      <c r="C62" s="3182">
        <v>0.3</v>
      </c>
      <c r="D62" s="3182">
        <v>0.25</v>
      </c>
      <c r="E62" s="3182">
        <v>0.25</v>
      </c>
      <c r="F62" s="3182">
        <v>0.25</v>
      </c>
      <c r="G62" s="3182">
        <v>0.15</v>
      </c>
    </row>
    <row r="63" spans="1:9" s="789" customFormat="1" ht="19.5" customHeight="1">
      <c r="A63" s="802" t="s">
        <v>163</v>
      </c>
      <c r="B63" s="3182">
        <v>0.6</v>
      </c>
      <c r="C63" s="3182">
        <v>0.3</v>
      </c>
      <c r="D63" s="3182">
        <v>0.25</v>
      </c>
      <c r="E63" s="3182">
        <v>0.25</v>
      </c>
      <c r="F63" s="3182">
        <v>0.25</v>
      </c>
      <c r="G63" s="3182">
        <v>0.15</v>
      </c>
    </row>
    <row r="64" spans="1:9" s="789" customFormat="1" ht="19.5" customHeight="1">
      <c r="A64" s="802" t="s">
        <v>164</v>
      </c>
      <c r="B64" s="3182">
        <v>0.5</v>
      </c>
      <c r="C64" s="3182">
        <v>0.2</v>
      </c>
      <c r="D64" s="3182">
        <v>0.2</v>
      </c>
      <c r="E64" s="3182">
        <v>0.2</v>
      </c>
      <c r="F64" s="3182">
        <v>0.2</v>
      </c>
      <c r="G64" s="3182">
        <v>0.1</v>
      </c>
    </row>
    <row r="65" spans="1:7" s="789" customFormat="1" ht="19.5" customHeight="1">
      <c r="A65" s="802" t="s">
        <v>165</v>
      </c>
      <c r="B65" s="3182">
        <v>0.5</v>
      </c>
      <c r="C65" s="3182">
        <v>0.2</v>
      </c>
      <c r="D65" s="3182">
        <v>0.2</v>
      </c>
      <c r="E65" s="3182">
        <v>0.2</v>
      </c>
      <c r="F65" s="3182">
        <v>0.2</v>
      </c>
      <c r="G65" s="3182">
        <v>0.1</v>
      </c>
    </row>
    <row r="66" spans="1:7" s="789" customFormat="1" ht="19.5" customHeight="1">
      <c r="A66" s="802" t="s">
        <v>166</v>
      </c>
      <c r="B66" s="3182">
        <v>0.5</v>
      </c>
      <c r="C66" s="3182">
        <v>0.2</v>
      </c>
      <c r="D66" s="3182">
        <v>0.2</v>
      </c>
      <c r="E66" s="3182">
        <v>0.2</v>
      </c>
      <c r="F66" s="3182">
        <v>0.2</v>
      </c>
      <c r="G66" s="3182">
        <v>0.1</v>
      </c>
    </row>
    <row r="67" spans="1:7" s="789" customFormat="1" ht="19.5" customHeight="1">
      <c r="A67" s="802" t="s">
        <v>167</v>
      </c>
      <c r="B67" s="3182">
        <v>0.5</v>
      </c>
      <c r="C67" s="3182">
        <v>0.2</v>
      </c>
      <c r="D67" s="3182">
        <v>0.2</v>
      </c>
      <c r="E67" s="3182">
        <v>0.2</v>
      </c>
      <c r="F67" s="3182">
        <v>0.2</v>
      </c>
      <c r="G67" s="3182">
        <v>0.1</v>
      </c>
    </row>
    <row r="68" spans="1:7" s="789" customFormat="1" ht="19.5" customHeight="1">
      <c r="A68" s="802" t="s">
        <v>168</v>
      </c>
      <c r="B68" s="3182">
        <v>0.5</v>
      </c>
      <c r="C68" s="3182">
        <v>0.2</v>
      </c>
      <c r="D68" s="3182">
        <v>0.2</v>
      </c>
      <c r="E68" s="3182">
        <v>0.2</v>
      </c>
      <c r="F68" s="3182">
        <v>0.2</v>
      </c>
      <c r="G68" s="318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4">
      <c r="A72" s="847"/>
      <c r="B72" s="847"/>
      <c r="C72" s="847" t="s">
        <v>3023</v>
      </c>
      <c r="D72" s="847"/>
      <c r="E72" s="804" t="s">
        <v>1</v>
      </c>
      <c r="F72" s="847" t="s">
        <v>1</v>
      </c>
    </row>
    <row r="73" spans="1:7" s="789" customFormat="1" ht="14">
      <c r="A73" s="3202">
        <v>1</v>
      </c>
      <c r="B73" s="3614" t="s">
        <v>3024</v>
      </c>
      <c r="C73" s="3182" t="s">
        <v>3025</v>
      </c>
      <c r="D73" s="3182" t="s">
        <v>3026</v>
      </c>
      <c r="E73" s="3203">
        <v>0.2</v>
      </c>
      <c r="F73" s="3202">
        <v>25</v>
      </c>
    </row>
    <row r="74" spans="1:7" s="789" customFormat="1" ht="26">
      <c r="A74" s="3202">
        <v>2</v>
      </c>
      <c r="B74" s="3609"/>
      <c r="C74" s="3182" t="s">
        <v>3027</v>
      </c>
      <c r="D74" s="3182" t="s">
        <v>3028</v>
      </c>
      <c r="E74" s="3203">
        <v>0.2</v>
      </c>
      <c r="F74" s="3202">
        <v>25</v>
      </c>
    </row>
    <row r="75" spans="1:7" s="789" customFormat="1" ht="26">
      <c r="A75" s="3202">
        <v>3</v>
      </c>
      <c r="B75" s="3609"/>
      <c r="C75" s="3182" t="s">
        <v>3029</v>
      </c>
      <c r="D75" s="3182" t="s">
        <v>3030</v>
      </c>
      <c r="E75" s="3203">
        <v>0.2</v>
      </c>
      <c r="F75" s="3202">
        <v>25</v>
      </c>
    </row>
    <row r="76" spans="1:7" s="789" customFormat="1" ht="14">
      <c r="A76" s="3202">
        <v>4</v>
      </c>
      <c r="B76" s="3609"/>
      <c r="C76" s="3182" t="s">
        <v>3031</v>
      </c>
      <c r="D76" s="3182" t="s">
        <v>3032</v>
      </c>
      <c r="E76" s="3203">
        <v>0.15</v>
      </c>
      <c r="F76" s="3202">
        <v>20</v>
      </c>
    </row>
    <row r="77" spans="1:7" s="789" customFormat="1" ht="26">
      <c r="A77" s="3202">
        <v>5</v>
      </c>
      <c r="B77" s="3609"/>
      <c r="C77" s="3182" t="s">
        <v>3033</v>
      </c>
      <c r="D77" s="3182" t="s">
        <v>3034</v>
      </c>
      <c r="E77" s="3203">
        <v>0.15</v>
      </c>
      <c r="F77" s="3202">
        <v>20</v>
      </c>
    </row>
    <row r="78" spans="1:7" s="789" customFormat="1" ht="26">
      <c r="A78" s="3202">
        <v>6</v>
      </c>
      <c r="B78" s="3609"/>
      <c r="C78" s="3182" t="s">
        <v>3035</v>
      </c>
      <c r="D78" s="3182" t="s">
        <v>3036</v>
      </c>
      <c r="E78" s="3203">
        <v>0.15</v>
      </c>
      <c r="F78" s="3202">
        <v>20</v>
      </c>
    </row>
    <row r="79" spans="1:7" s="789" customFormat="1" ht="26">
      <c r="A79" s="3202">
        <v>7</v>
      </c>
      <c r="B79" s="3609"/>
      <c r="C79" s="3182" t="s">
        <v>3037</v>
      </c>
      <c r="D79" s="3182" t="s">
        <v>3038</v>
      </c>
      <c r="E79" s="3203">
        <v>0.15</v>
      </c>
      <c r="F79" s="3202">
        <v>20</v>
      </c>
    </row>
    <row r="80" spans="1:7" s="789" customFormat="1" ht="26">
      <c r="A80" s="3202">
        <v>8</v>
      </c>
      <c r="B80" s="3609"/>
      <c r="C80" s="3182" t="s">
        <v>3039</v>
      </c>
      <c r="D80" s="3182" t="s">
        <v>3040</v>
      </c>
      <c r="E80" s="3203">
        <v>0.1</v>
      </c>
      <c r="F80" s="3202">
        <v>15</v>
      </c>
    </row>
    <row r="81" spans="1:6" s="789" customFormat="1" ht="26">
      <c r="A81" s="3202">
        <v>9</v>
      </c>
      <c r="B81" s="3609"/>
      <c r="C81" s="3182" t="s">
        <v>3041</v>
      </c>
      <c r="D81" s="3182" t="s">
        <v>3042</v>
      </c>
      <c r="E81" s="3203">
        <v>0.1</v>
      </c>
      <c r="F81" s="3202">
        <v>15</v>
      </c>
    </row>
    <row r="82" spans="1:6" s="789" customFormat="1" ht="26">
      <c r="A82" s="3202">
        <v>10</v>
      </c>
      <c r="B82" s="3609"/>
      <c r="C82" s="3182" t="s">
        <v>3043</v>
      </c>
      <c r="D82" s="3182" t="s">
        <v>3044</v>
      </c>
      <c r="E82" s="3203">
        <v>0.1</v>
      </c>
      <c r="F82" s="3202">
        <v>15</v>
      </c>
    </row>
    <row r="83" spans="1:6" s="789" customFormat="1" ht="26">
      <c r="A83" s="3202">
        <v>11</v>
      </c>
      <c r="B83" s="3609"/>
      <c r="C83" s="3182" t="s">
        <v>3045</v>
      </c>
      <c r="D83" s="3182" t="s">
        <v>3046</v>
      </c>
      <c r="E83" s="3203">
        <v>0.1</v>
      </c>
      <c r="F83" s="3202">
        <v>15</v>
      </c>
    </row>
    <row r="84" spans="1:6" s="789" customFormat="1" ht="26">
      <c r="A84" s="3202">
        <v>12</v>
      </c>
      <c r="B84" s="3609"/>
      <c r="C84" s="3182" t="s">
        <v>3047</v>
      </c>
      <c r="D84" s="3182" t="s">
        <v>3048</v>
      </c>
      <c r="E84" s="3203">
        <v>0.1</v>
      </c>
      <c r="F84" s="3202">
        <v>15</v>
      </c>
    </row>
    <row r="85" spans="1:6" s="789" customFormat="1" ht="26">
      <c r="A85" s="3202">
        <v>13</v>
      </c>
      <c r="B85" s="3609"/>
      <c r="C85" s="3182" t="s">
        <v>3049</v>
      </c>
      <c r="D85" s="3182" t="s">
        <v>3050</v>
      </c>
      <c r="E85" s="3203">
        <v>0.1</v>
      </c>
      <c r="F85" s="3202">
        <v>15</v>
      </c>
    </row>
    <row r="86" spans="1:6" s="789" customFormat="1" ht="26">
      <c r="A86" s="3202">
        <v>14</v>
      </c>
      <c r="B86" s="3609"/>
      <c r="C86" s="3182" t="s">
        <v>3051</v>
      </c>
      <c r="D86" s="3182" t="s">
        <v>3052</v>
      </c>
      <c r="E86" s="3203">
        <v>0.1</v>
      </c>
      <c r="F86" s="3202">
        <v>15</v>
      </c>
    </row>
    <row r="87" spans="1:6" s="789" customFormat="1" ht="26">
      <c r="A87" s="3202">
        <v>15</v>
      </c>
      <c r="B87" s="3609"/>
      <c r="C87" s="3182" t="s">
        <v>3053</v>
      </c>
      <c r="D87" s="3182" t="s">
        <v>3054</v>
      </c>
      <c r="E87" s="3203">
        <v>0.1</v>
      </c>
      <c r="F87" s="3202">
        <v>15</v>
      </c>
    </row>
    <row r="88" spans="1:6" s="789" customFormat="1" ht="26">
      <c r="A88" s="3202">
        <v>16</v>
      </c>
      <c r="B88" s="3609"/>
      <c r="C88" s="3182" t="s">
        <v>3055</v>
      </c>
      <c r="D88" s="3182" t="s">
        <v>3056</v>
      </c>
      <c r="E88" s="3203">
        <v>0.1</v>
      </c>
      <c r="F88" s="3202">
        <v>15</v>
      </c>
    </row>
    <row r="89" spans="1:6" s="789" customFormat="1" ht="26">
      <c r="A89" s="3202">
        <v>17</v>
      </c>
      <c r="B89" s="3618"/>
      <c r="C89" s="3182" t="s">
        <v>3057</v>
      </c>
      <c r="D89" s="3182" t="s">
        <v>3058</v>
      </c>
      <c r="E89" s="3203">
        <v>0.1</v>
      </c>
      <c r="F89" s="3202">
        <v>15</v>
      </c>
    </row>
    <row r="90" spans="1:6" s="789" customFormat="1" ht="14">
      <c r="A90" s="3202">
        <v>18</v>
      </c>
      <c r="B90" s="3614" t="s">
        <v>3059</v>
      </c>
      <c r="C90" s="3182" t="s">
        <v>3060</v>
      </c>
      <c r="D90" s="3182" t="s">
        <v>3061</v>
      </c>
      <c r="E90" s="3203">
        <v>0.2</v>
      </c>
      <c r="F90" s="3202">
        <v>25</v>
      </c>
    </row>
    <row r="91" spans="1:6" s="789" customFormat="1" ht="26">
      <c r="A91" s="3202">
        <v>19</v>
      </c>
      <c r="B91" s="3609"/>
      <c r="C91" s="3182" t="s">
        <v>3062</v>
      </c>
      <c r="D91" s="3182" t="s">
        <v>3063</v>
      </c>
      <c r="E91" s="3203">
        <v>0.2</v>
      </c>
      <c r="F91" s="3202">
        <v>25</v>
      </c>
    </row>
    <row r="92" spans="1:6" s="789" customFormat="1" ht="14">
      <c r="A92" s="3202">
        <v>20</v>
      </c>
      <c r="B92" s="3609"/>
      <c r="C92" s="3182" t="s">
        <v>3064</v>
      </c>
      <c r="D92" s="3182" t="s">
        <v>3065</v>
      </c>
      <c r="E92" s="3203">
        <v>0.15</v>
      </c>
      <c r="F92" s="3202">
        <v>20</v>
      </c>
    </row>
    <row r="93" spans="1:6" s="789" customFormat="1" ht="26">
      <c r="A93" s="3202">
        <v>21</v>
      </c>
      <c r="B93" s="3609"/>
      <c r="C93" s="3182" t="s">
        <v>3066</v>
      </c>
      <c r="D93" s="3182" t="s">
        <v>3067</v>
      </c>
      <c r="E93" s="3203">
        <v>0.15</v>
      </c>
      <c r="F93" s="3202">
        <v>20</v>
      </c>
    </row>
    <row r="94" spans="1:6" s="789" customFormat="1" ht="26">
      <c r="A94" s="3202">
        <v>22</v>
      </c>
      <c r="B94" s="3609"/>
      <c r="C94" s="3182" t="s">
        <v>3068</v>
      </c>
      <c r="D94" s="3182" t="s">
        <v>3069</v>
      </c>
      <c r="E94" s="3203">
        <v>0.15</v>
      </c>
      <c r="F94" s="3202">
        <v>20</v>
      </c>
    </row>
    <row r="95" spans="1:6" s="789" customFormat="1" ht="39">
      <c r="A95" s="3202">
        <v>23</v>
      </c>
      <c r="B95" s="3609"/>
      <c r="C95" s="3182" t="s">
        <v>3070</v>
      </c>
      <c r="D95" s="3182" t="s">
        <v>3071</v>
      </c>
      <c r="E95" s="3203">
        <v>0.15</v>
      </c>
      <c r="F95" s="3202">
        <v>20</v>
      </c>
    </row>
    <row r="96" spans="1:6" s="789" customFormat="1" ht="26">
      <c r="A96" s="3202">
        <v>24</v>
      </c>
      <c r="B96" s="3609"/>
      <c r="C96" s="3182" t="s">
        <v>3072</v>
      </c>
      <c r="D96" s="3182" t="s">
        <v>3073</v>
      </c>
      <c r="E96" s="3203">
        <v>0.1</v>
      </c>
      <c r="F96" s="3202">
        <v>15</v>
      </c>
    </row>
    <row r="97" spans="1:6" s="789" customFormat="1" ht="26">
      <c r="A97" s="3202">
        <v>25</v>
      </c>
      <c r="B97" s="3609"/>
      <c r="C97" s="3182" t="s">
        <v>3074</v>
      </c>
      <c r="D97" s="3182" t="s">
        <v>3075</v>
      </c>
      <c r="E97" s="3203">
        <v>0.1</v>
      </c>
      <c r="F97" s="3202">
        <v>15</v>
      </c>
    </row>
    <row r="98" spans="1:6" s="789" customFormat="1" ht="26">
      <c r="A98" s="3202">
        <v>26</v>
      </c>
      <c r="B98" s="3609"/>
      <c r="C98" s="3182" t="s">
        <v>3076</v>
      </c>
      <c r="D98" s="3182" t="s">
        <v>3077</v>
      </c>
      <c r="E98" s="3203">
        <v>0.1</v>
      </c>
      <c r="F98" s="3202">
        <v>15</v>
      </c>
    </row>
    <row r="99" spans="1:6" s="789" customFormat="1" ht="26">
      <c r="A99" s="3202">
        <v>27</v>
      </c>
      <c r="B99" s="3609"/>
      <c r="C99" s="3182" t="s">
        <v>3078</v>
      </c>
      <c r="D99" s="3182" t="s">
        <v>3079</v>
      </c>
      <c r="E99" s="3203">
        <v>0.1</v>
      </c>
      <c r="F99" s="3202">
        <v>15</v>
      </c>
    </row>
    <row r="100" spans="1:6" s="789" customFormat="1" ht="26">
      <c r="A100" s="3202">
        <v>28</v>
      </c>
      <c r="B100" s="3609"/>
      <c r="C100" s="3182" t="s">
        <v>3080</v>
      </c>
      <c r="D100" s="3182" t="s">
        <v>3081</v>
      </c>
      <c r="E100" s="3203">
        <v>0.1</v>
      </c>
      <c r="F100" s="3202">
        <v>15</v>
      </c>
    </row>
    <row r="101" spans="1:6" s="789" customFormat="1" ht="26">
      <c r="A101" s="3202">
        <v>29</v>
      </c>
      <c r="B101" s="3609"/>
      <c r="C101" s="3182" t="s">
        <v>3082</v>
      </c>
      <c r="D101" s="3182" t="s">
        <v>3083</v>
      </c>
      <c r="E101" s="3203">
        <v>0.1</v>
      </c>
      <c r="F101" s="3202">
        <v>15</v>
      </c>
    </row>
    <row r="102" spans="1:6" s="789" customFormat="1" ht="26">
      <c r="A102" s="3202">
        <v>30</v>
      </c>
      <c r="B102" s="3609"/>
      <c r="C102" s="3182" t="s">
        <v>3084</v>
      </c>
      <c r="D102" s="3182" t="s">
        <v>3085</v>
      </c>
      <c r="E102" s="3203">
        <v>0.1</v>
      </c>
      <c r="F102" s="3202">
        <v>15</v>
      </c>
    </row>
    <row r="103" spans="1:6" s="789" customFormat="1" ht="26">
      <c r="A103" s="3202">
        <v>31</v>
      </c>
      <c r="B103" s="3609"/>
      <c r="C103" s="3182" t="s">
        <v>3086</v>
      </c>
      <c r="D103" s="3182" t="s">
        <v>3087</v>
      </c>
      <c r="E103" s="3203">
        <v>0.1</v>
      </c>
      <c r="F103" s="3202">
        <v>15</v>
      </c>
    </row>
    <row r="104" spans="1:6" s="789" customFormat="1" ht="26">
      <c r="A104" s="3202">
        <v>32</v>
      </c>
      <c r="B104" s="3609"/>
      <c r="C104" s="3182" t="s">
        <v>3088</v>
      </c>
      <c r="D104" s="3182" t="s">
        <v>3089</v>
      </c>
      <c r="E104" s="3203">
        <v>0.1</v>
      </c>
      <c r="F104" s="3202">
        <v>15</v>
      </c>
    </row>
    <row r="105" spans="1:6" s="789" customFormat="1" ht="26">
      <c r="A105" s="3202">
        <v>33</v>
      </c>
      <c r="B105" s="3609"/>
      <c r="C105" s="3182" t="s">
        <v>3090</v>
      </c>
      <c r="D105" s="3182" t="s">
        <v>3091</v>
      </c>
      <c r="E105" s="3203">
        <v>0.1</v>
      </c>
      <c r="F105" s="3202">
        <v>15</v>
      </c>
    </row>
    <row r="106" spans="1:6" s="789" customFormat="1" ht="26">
      <c r="A106" s="3202">
        <v>34</v>
      </c>
      <c r="B106" s="3618"/>
      <c r="C106" s="3182" t="s">
        <v>3092</v>
      </c>
      <c r="D106" s="3182" t="s">
        <v>3093</v>
      </c>
      <c r="E106" s="3203">
        <v>0.1</v>
      </c>
      <c r="F106" s="3202">
        <v>15</v>
      </c>
    </row>
    <row r="107" spans="1:6" s="789" customFormat="1" ht="39">
      <c r="A107" s="3202">
        <v>35</v>
      </c>
      <c r="B107" s="3614" t="s">
        <v>3094</v>
      </c>
      <c r="C107" s="3202" t="s">
        <v>3095</v>
      </c>
      <c r="D107" s="3182" t="s">
        <v>3096</v>
      </c>
      <c r="E107" s="3203">
        <v>0.15</v>
      </c>
      <c r="F107" s="3202">
        <v>20</v>
      </c>
    </row>
    <row r="108" spans="1:6" s="789" customFormat="1" ht="26">
      <c r="A108" s="3202">
        <v>36</v>
      </c>
      <c r="B108" s="3609"/>
      <c r="C108" s="3202" t="s">
        <v>3097</v>
      </c>
      <c r="D108" s="3182" t="s">
        <v>3098</v>
      </c>
      <c r="E108" s="3203">
        <v>0.15</v>
      </c>
      <c r="F108" s="3202">
        <v>20</v>
      </c>
    </row>
    <row r="109" spans="1:6" s="789" customFormat="1" ht="26">
      <c r="A109" s="3202">
        <v>37</v>
      </c>
      <c r="B109" s="3609"/>
      <c r="C109" s="3202" t="s">
        <v>3099</v>
      </c>
      <c r="D109" s="3182" t="s">
        <v>3100</v>
      </c>
      <c r="E109" s="3203">
        <v>0.15</v>
      </c>
      <c r="F109" s="3202">
        <v>20</v>
      </c>
    </row>
    <row r="110" spans="1:6" s="789" customFormat="1" ht="26">
      <c r="A110" s="3202">
        <v>38</v>
      </c>
      <c r="B110" s="3609"/>
      <c r="C110" s="3202" t="s">
        <v>3101</v>
      </c>
      <c r="D110" s="3182" t="s">
        <v>3102</v>
      </c>
      <c r="E110" s="3203">
        <v>0.1</v>
      </c>
      <c r="F110" s="3202">
        <v>15</v>
      </c>
    </row>
    <row r="111" spans="1:6" s="789" customFormat="1" ht="26">
      <c r="A111" s="3202">
        <v>39</v>
      </c>
      <c r="B111" s="3609"/>
      <c r="C111" s="3202" t="s">
        <v>3103</v>
      </c>
      <c r="D111" s="3182" t="s">
        <v>3104</v>
      </c>
      <c r="E111" s="3203">
        <v>0.1</v>
      </c>
      <c r="F111" s="3202">
        <v>15</v>
      </c>
    </row>
    <row r="112" spans="1:6" s="789" customFormat="1" ht="26">
      <c r="A112" s="3202">
        <v>40</v>
      </c>
      <c r="B112" s="3618"/>
      <c r="C112" s="3202" t="s">
        <v>3105</v>
      </c>
      <c r="D112" s="3182" t="s">
        <v>3106</v>
      </c>
      <c r="E112" s="3203">
        <v>0.1</v>
      </c>
      <c r="F112" s="3202">
        <v>15</v>
      </c>
    </row>
    <row r="113" spans="1:6" s="789" customFormat="1" ht="26">
      <c r="A113" s="3202">
        <v>41</v>
      </c>
      <c r="B113" s="3619" t="s">
        <v>3107</v>
      </c>
      <c r="C113" s="3202" t="s">
        <v>3108</v>
      </c>
      <c r="D113" s="3182" t="s">
        <v>3109</v>
      </c>
      <c r="E113" s="3203">
        <v>0.1</v>
      </c>
      <c r="F113" s="3202">
        <v>15</v>
      </c>
    </row>
    <row r="114" spans="1:6" s="789" customFormat="1" ht="26">
      <c r="A114" s="3202">
        <v>42</v>
      </c>
      <c r="B114" s="3619"/>
      <c r="C114" s="3202" t="s">
        <v>3110</v>
      </c>
      <c r="D114" s="3182" t="s">
        <v>3111</v>
      </c>
      <c r="E114" s="3203">
        <v>0.1</v>
      </c>
      <c r="F114" s="3202">
        <v>15</v>
      </c>
    </row>
    <row r="115" spans="1:6" s="789" customFormat="1" ht="26">
      <c r="A115" s="3202">
        <v>43</v>
      </c>
      <c r="B115" s="3619"/>
      <c r="C115" s="3202" t="s">
        <v>3112</v>
      </c>
      <c r="D115" s="3182" t="s">
        <v>3113</v>
      </c>
      <c r="E115" s="3203">
        <v>0.1</v>
      </c>
      <c r="F115" s="3202">
        <v>15</v>
      </c>
    </row>
    <row r="116" spans="1:6" s="789" customFormat="1" ht="26">
      <c r="A116" s="3202">
        <v>44</v>
      </c>
      <c r="B116" s="3614" t="s">
        <v>3114</v>
      </c>
      <c r="C116" s="3202" t="s">
        <v>3115</v>
      </c>
      <c r="D116" s="3182" t="s">
        <v>3116</v>
      </c>
      <c r="E116" s="3203">
        <v>0.1</v>
      </c>
      <c r="F116" s="3202">
        <v>15</v>
      </c>
    </row>
    <row r="117" spans="1:6" s="789" customFormat="1" ht="26">
      <c r="A117" s="3202">
        <v>45</v>
      </c>
      <c r="B117" s="3618"/>
      <c r="C117" s="3182" t="s">
        <v>3117</v>
      </c>
      <c r="D117" s="3182" t="s">
        <v>3118</v>
      </c>
      <c r="E117" s="3203">
        <v>0.1</v>
      </c>
      <c r="F117" s="3202">
        <v>15</v>
      </c>
    </row>
    <row r="118" spans="1:6" s="789" customFormat="1" ht="26">
      <c r="A118" s="3202">
        <v>46</v>
      </c>
      <c r="B118" s="3614" t="s">
        <v>3119</v>
      </c>
      <c r="C118" s="3202" t="s">
        <v>3120</v>
      </c>
      <c r="D118" s="3182" t="s">
        <v>3121</v>
      </c>
      <c r="E118" s="3203">
        <v>0.1</v>
      </c>
      <c r="F118" s="3202">
        <v>15</v>
      </c>
    </row>
    <row r="119" spans="1:6" s="789" customFormat="1" ht="26">
      <c r="A119" s="3202">
        <v>47</v>
      </c>
      <c r="B119" s="3618"/>
      <c r="C119" s="3202" t="s">
        <v>3122</v>
      </c>
      <c r="D119" s="3182" t="s">
        <v>3123</v>
      </c>
      <c r="E119" s="3203">
        <v>0.1</v>
      </c>
      <c r="F119" s="3202">
        <v>15</v>
      </c>
    </row>
    <row r="120" spans="1:6" s="789" customFormat="1" ht="26">
      <c r="A120" s="3202">
        <v>48</v>
      </c>
      <c r="B120" s="3614" t="s">
        <v>3124</v>
      </c>
      <c r="C120" s="3202" t="s">
        <v>3125</v>
      </c>
      <c r="D120" s="3182" t="s">
        <v>3126</v>
      </c>
      <c r="E120" s="3203">
        <v>0.1</v>
      </c>
      <c r="F120" s="3202">
        <v>15</v>
      </c>
    </row>
    <row r="121" spans="1:6" s="789" customFormat="1" ht="26">
      <c r="A121" s="3202">
        <v>49</v>
      </c>
      <c r="B121" s="3618"/>
      <c r="C121" s="3202" t="s">
        <v>3127</v>
      </c>
      <c r="D121" s="3182" t="s">
        <v>3128</v>
      </c>
      <c r="E121" s="3203">
        <v>0.1</v>
      </c>
      <c r="F121" s="3202">
        <v>15</v>
      </c>
    </row>
    <row r="122" spans="1:6" s="789" customFormat="1" ht="26">
      <c r="A122" s="3202">
        <v>50</v>
      </c>
      <c r="B122" s="3619" t="s">
        <v>3129</v>
      </c>
      <c r="C122" s="3202" t="s">
        <v>3130</v>
      </c>
      <c r="D122" s="3182" t="s">
        <v>3131</v>
      </c>
      <c r="E122" s="3203">
        <v>0.1</v>
      </c>
      <c r="F122" s="3202">
        <v>15</v>
      </c>
    </row>
    <row r="123" spans="1:6" s="789" customFormat="1" ht="26">
      <c r="A123" s="3202">
        <v>51</v>
      </c>
      <c r="B123" s="3619"/>
      <c r="C123" s="3202" t="s">
        <v>3132</v>
      </c>
      <c r="D123" s="3182" t="s">
        <v>3133</v>
      </c>
      <c r="E123" s="3203">
        <v>0.1</v>
      </c>
      <c r="F123" s="3202">
        <v>15</v>
      </c>
    </row>
    <row r="124" spans="1:6" s="789" customFormat="1" ht="26">
      <c r="A124" s="3202">
        <v>52</v>
      </c>
      <c r="B124" s="3619" t="s">
        <v>3134</v>
      </c>
      <c r="C124" s="3202" t="s">
        <v>3135</v>
      </c>
      <c r="D124" s="3182" t="s">
        <v>3136</v>
      </c>
      <c r="E124" s="3203">
        <v>0.1</v>
      </c>
      <c r="F124" s="3202">
        <v>15</v>
      </c>
    </row>
    <row r="125" spans="1:6" s="789" customFormat="1" ht="26">
      <c r="A125" s="3202">
        <v>53</v>
      </c>
      <c r="B125" s="3619"/>
      <c r="C125" s="3202" t="s">
        <v>3137</v>
      </c>
      <c r="D125" s="3182" t="s">
        <v>3138</v>
      </c>
      <c r="E125" s="3203">
        <v>0.1</v>
      </c>
      <c r="F125" s="3202">
        <v>15</v>
      </c>
    </row>
    <row r="126" spans="1:6" ht="26">
      <c r="A126" s="3202">
        <v>54</v>
      </c>
      <c r="B126" s="3202" t="s">
        <v>3139</v>
      </c>
      <c r="C126" s="3202" t="s">
        <v>3140</v>
      </c>
      <c r="D126" s="3182" t="s">
        <v>3141</v>
      </c>
      <c r="E126" s="3203">
        <v>0.1</v>
      </c>
      <c r="F126" s="3202">
        <v>15</v>
      </c>
    </row>
    <row r="127" spans="1:6" ht="26">
      <c r="A127" s="3202">
        <v>55</v>
      </c>
      <c r="B127" s="3619" t="s">
        <v>3142</v>
      </c>
      <c r="C127" s="3202" t="s">
        <v>3143</v>
      </c>
      <c r="D127" s="3182" t="s">
        <v>3144</v>
      </c>
      <c r="E127" s="3203">
        <v>0.1</v>
      </c>
      <c r="F127" s="3202">
        <v>15</v>
      </c>
    </row>
    <row r="128" spans="1:6" ht="26">
      <c r="A128" s="3202">
        <v>56</v>
      </c>
      <c r="B128" s="3619"/>
      <c r="C128" s="3202" t="s">
        <v>3145</v>
      </c>
      <c r="D128" s="3182" t="s">
        <v>3146</v>
      </c>
      <c r="E128" s="3203">
        <v>0.1</v>
      </c>
      <c r="F128" s="3202">
        <v>15</v>
      </c>
    </row>
    <row r="129" spans="1:6" ht="26">
      <c r="A129" s="3202">
        <v>57</v>
      </c>
      <c r="B129" s="3619"/>
      <c r="C129" s="3202" t="s">
        <v>3147</v>
      </c>
      <c r="D129" s="3182" t="s">
        <v>3148</v>
      </c>
      <c r="E129" s="3203">
        <v>0.1</v>
      </c>
      <c r="F129" s="3202">
        <v>15</v>
      </c>
    </row>
    <row r="130" spans="1:6" ht="26">
      <c r="A130" s="3202">
        <v>58</v>
      </c>
      <c r="B130" s="3619" t="s">
        <v>3149</v>
      </c>
      <c r="C130" s="3202" t="s">
        <v>3150</v>
      </c>
      <c r="D130" s="3182" t="s">
        <v>3151</v>
      </c>
      <c r="E130" s="3203">
        <v>0.1</v>
      </c>
      <c r="F130" s="3202">
        <v>15</v>
      </c>
    </row>
    <row r="131" spans="1:6" ht="26">
      <c r="A131" s="3202">
        <v>59</v>
      </c>
      <c r="B131" s="3619"/>
      <c r="C131" s="3202" t="s">
        <v>3152</v>
      </c>
      <c r="D131" s="3182" t="s">
        <v>3153</v>
      </c>
      <c r="E131" s="3203">
        <v>0.1</v>
      </c>
      <c r="F131" s="3202">
        <v>15</v>
      </c>
    </row>
    <row r="132" spans="1:6" ht="26">
      <c r="A132" s="3202">
        <v>60</v>
      </c>
      <c r="B132" s="3614" t="s">
        <v>3154</v>
      </c>
      <c r="C132" s="3202" t="s">
        <v>3155</v>
      </c>
      <c r="D132" s="3182" t="s">
        <v>3156</v>
      </c>
      <c r="E132" s="3203">
        <v>0.1</v>
      </c>
      <c r="F132" s="3202">
        <v>15</v>
      </c>
    </row>
    <row r="133" spans="1:6" ht="26">
      <c r="A133" s="3202">
        <v>61</v>
      </c>
      <c r="B133" s="3618"/>
      <c r="C133" s="3202" t="s">
        <v>3157</v>
      </c>
      <c r="D133" s="3182" t="s">
        <v>3158</v>
      </c>
      <c r="E133" s="3203">
        <v>0.1</v>
      </c>
      <c r="F133" s="3202">
        <v>15</v>
      </c>
    </row>
    <row r="134" spans="1:6" ht="26">
      <c r="A134" s="3202">
        <v>62</v>
      </c>
      <c r="B134" s="3202" t="s">
        <v>3159</v>
      </c>
      <c r="C134" s="3202" t="s">
        <v>3160</v>
      </c>
      <c r="D134" s="3182" t="s">
        <v>3161</v>
      </c>
      <c r="E134" s="3203">
        <v>0.1</v>
      </c>
      <c r="F134" s="3202">
        <v>15</v>
      </c>
    </row>
    <row r="135" spans="1:6" ht="26">
      <c r="A135" s="3202">
        <v>63</v>
      </c>
      <c r="B135" s="3619" t="s">
        <v>3162</v>
      </c>
      <c r="C135" s="3202" t="s">
        <v>3163</v>
      </c>
      <c r="D135" s="3182" t="s">
        <v>3164</v>
      </c>
      <c r="E135" s="3203">
        <v>0.1</v>
      </c>
      <c r="F135" s="3202">
        <v>15</v>
      </c>
    </row>
    <row r="136" spans="1:6" ht="26">
      <c r="A136" s="3202">
        <v>64</v>
      </c>
      <c r="B136" s="3619"/>
      <c r="C136" s="3202" t="s">
        <v>3165</v>
      </c>
      <c r="D136" s="3182" t="s">
        <v>3166</v>
      </c>
      <c r="E136" s="3203">
        <v>0.1</v>
      </c>
      <c r="F136" s="3202">
        <v>15</v>
      </c>
    </row>
    <row r="137" spans="1:6" ht="26">
      <c r="A137" s="3202">
        <v>65</v>
      </c>
      <c r="B137" s="3202" t="s">
        <v>3167</v>
      </c>
      <c r="C137" s="3202" t="s">
        <v>3168</v>
      </c>
      <c r="D137" s="3182" t="s">
        <v>3169</v>
      </c>
      <c r="E137" s="3203">
        <v>0.1</v>
      </c>
      <c r="F137" s="3202">
        <v>15</v>
      </c>
    </row>
    <row r="138" spans="1:6" ht="14">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824"/>
    <col min="2" max="16384" width="9" style="807"/>
  </cols>
  <sheetData>
    <row r="1" spans="1:14" ht="1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5">
      <c r="A103" s="805" t="s">
        <v>569</v>
      </c>
      <c r="B103" s="806"/>
      <c r="C103" s="806"/>
      <c r="D103" s="806"/>
      <c r="E103" s="806"/>
      <c r="F103" s="806"/>
      <c r="G103" s="806"/>
      <c r="H103" s="806"/>
      <c r="I103" s="806"/>
      <c r="J103" s="806"/>
      <c r="K103" s="806"/>
      <c r="L103" s="806"/>
      <c r="M103" s="806"/>
      <c r="N103" s="806"/>
    </row>
    <row r="104" spans="1:14" ht="1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00" customWidth="1"/>
    <col min="2" max="2" width="12.453125" style="1600" customWidth="1"/>
    <col min="3" max="3" width="12.08984375" style="1600" customWidth="1"/>
    <col min="4" max="4" width="14.08984375" style="1600" customWidth="1"/>
    <col min="5" max="5" width="12.453125" style="1600" customWidth="1"/>
    <col min="6" max="16384" width="9" style="1600"/>
  </cols>
  <sheetData>
    <row r="1" spans="1:16" ht="21">
      <c r="A1" s="1991" t="s">
        <v>2581</v>
      </c>
      <c r="B1" s="2301"/>
      <c r="C1" s="2301"/>
      <c r="D1" s="2301"/>
      <c r="E1" s="2301"/>
      <c r="F1" s="2956"/>
      <c r="G1" s="2956"/>
      <c r="H1" s="2956"/>
      <c r="I1" s="2956"/>
      <c r="J1" s="2956"/>
      <c r="K1" s="2956"/>
      <c r="L1" s="2956"/>
      <c r="M1" s="2956"/>
      <c r="N1" s="2956"/>
      <c r="O1" s="2956"/>
      <c r="P1" s="2956"/>
    </row>
    <row r="2" spans="1:16" ht="15.5">
      <c r="A2" s="2299" t="s">
        <v>2573</v>
      </c>
      <c r="B2" s="2761" t="e">
        <f ca="1">SUMIF(B6:B13,"&lt;&gt;#ref!",B6:B13)</f>
        <v>#DIV/0!</v>
      </c>
      <c r="C2" s="2299" t="s">
        <v>2574</v>
      </c>
      <c r="D2" s="2299" t="s">
        <v>2575</v>
      </c>
      <c r="E2" s="2771">
        <f ca="1">SUMIF(E6:E13,"&lt;&gt;#ref!",E6:E13)</f>
        <v>0</v>
      </c>
      <c r="F2" s="2956"/>
      <c r="G2" s="2956"/>
      <c r="H2" s="2956"/>
      <c r="I2" s="2956"/>
      <c r="J2" s="2956"/>
      <c r="K2" s="2956"/>
      <c r="L2" s="2956"/>
      <c r="M2" s="2956"/>
      <c r="N2" s="2956"/>
      <c r="O2" s="2956"/>
      <c r="P2" s="2956"/>
    </row>
    <row r="3" spans="1:16" ht="15.5">
      <c r="A3" s="2299" t="s">
        <v>2576</v>
      </c>
      <c r="B3" s="2761" t="e">
        <f ca="1">ROUND(B2*10000/E2,0)</f>
        <v>#DIV/0!</v>
      </c>
      <c r="C3" s="2299" t="s">
        <v>2582</v>
      </c>
      <c r="D3" s="2956"/>
      <c r="E3" s="2956"/>
      <c r="F3" s="2956"/>
      <c r="G3" s="2956"/>
      <c r="H3" s="2956"/>
      <c r="I3" s="2956"/>
      <c r="J3" s="2956"/>
      <c r="K3" s="2956"/>
      <c r="L3" s="2956"/>
      <c r="M3" s="2956"/>
      <c r="N3" s="2956"/>
      <c r="O3" s="2956"/>
      <c r="P3" s="2956"/>
    </row>
    <row r="4" spans="1:16" ht="15.5">
      <c r="A4" s="2957"/>
      <c r="B4" s="2956"/>
      <c r="C4" s="2956"/>
      <c r="D4" s="2956"/>
      <c r="E4" s="2956"/>
      <c r="F4" s="2956"/>
      <c r="G4" s="2956"/>
      <c r="H4" s="2956"/>
      <c r="I4" s="2956"/>
      <c r="J4" s="2956"/>
      <c r="K4" s="2956"/>
      <c r="L4" s="2956"/>
      <c r="M4" s="2956"/>
      <c r="N4" s="2956"/>
      <c r="O4" s="2956"/>
      <c r="P4" s="2956"/>
    </row>
    <row r="5" spans="1:16" ht="30">
      <c r="A5" s="2767" t="s">
        <v>2577</v>
      </c>
      <c r="B5" s="2769" t="s">
        <v>2578</v>
      </c>
      <c r="C5" s="2300"/>
      <c r="D5" s="2956"/>
      <c r="E5" s="2770" t="s">
        <v>2579</v>
      </c>
      <c r="F5" s="2956"/>
      <c r="G5" s="2956"/>
      <c r="H5" s="2956"/>
      <c r="I5" s="2956"/>
      <c r="J5" s="2956"/>
      <c r="K5" s="2956"/>
      <c r="L5" s="2956"/>
      <c r="M5" s="2956"/>
      <c r="N5" s="2956"/>
      <c r="O5" s="2956"/>
      <c r="P5" s="2956"/>
    </row>
    <row r="6" spans="1:16" ht="15.5">
      <c r="A6" s="2768" t="s">
        <v>2580</v>
      </c>
      <c r="B6" s="2761" t="e">
        <f ca="1">SUMIF(INDIRECT("'"&amp;A6&amp;"'"&amp;"!A:A"),"总价",INDIRECT("'"&amp;A6&amp;"'"&amp;"!B:B"))</f>
        <v>#DIV/0!</v>
      </c>
      <c r="C6" s="2299" t="s">
        <v>2574</v>
      </c>
      <c r="D6" s="2956"/>
      <c r="E6" s="2771">
        <f ca="1">SUMIF(INDIRECT("'"&amp;A6&amp;"'"&amp;"!C:C"),"建筑面积",INDIRECT("'"&amp;A6&amp;"'"&amp;"!D:D"))</f>
        <v>0</v>
      </c>
      <c r="F6" s="2956"/>
      <c r="G6" s="2956"/>
      <c r="H6" s="2956"/>
      <c r="I6" s="2956"/>
      <c r="J6" s="2956"/>
      <c r="K6" s="2956"/>
      <c r="L6" s="2956"/>
      <c r="M6" s="2956"/>
      <c r="N6" s="2956"/>
      <c r="O6" s="2956"/>
      <c r="P6" s="2956"/>
    </row>
    <row r="7" spans="1:16" ht="15.5">
      <c r="A7" s="2768"/>
      <c r="B7" s="2761" t="e">
        <f ca="1">SUMIF(INDIRECT("'"&amp;A7&amp;"'"&amp;"!A:A"),"总价",INDIRECT("'"&amp;A7&amp;"'"&amp;"!B:B"))</f>
        <v>#REF!</v>
      </c>
      <c r="C7" s="2299" t="s">
        <v>2574</v>
      </c>
      <c r="D7" s="2956"/>
      <c r="E7" s="2771" t="e">
        <f t="shared" ref="E7:E13" ca="1" si="0">SUMIF(INDIRECT("'"&amp;A7&amp;"'"&amp;"!C:C"),"建筑面积",INDIRECT("'"&amp;A7&amp;"'"&amp;"!D:D"))</f>
        <v>#REF!</v>
      </c>
      <c r="F7" s="2956"/>
      <c r="G7" s="2956"/>
      <c r="H7" s="2956"/>
      <c r="I7" s="2956"/>
      <c r="J7" s="2956"/>
      <c r="K7" s="2956"/>
      <c r="L7" s="2956"/>
      <c r="M7" s="2956"/>
      <c r="N7" s="2956"/>
      <c r="O7" s="2956"/>
      <c r="P7" s="2956"/>
    </row>
    <row r="8" spans="1:16" ht="15.5">
      <c r="A8" s="2768"/>
      <c r="B8" s="2761" t="e">
        <f t="shared" ref="B8:B13" ca="1" si="1">SUMIF(INDIRECT("'"&amp;A8&amp;"'"&amp;"!A:A"),"总价",INDIRECT("'"&amp;A8&amp;"'"&amp;"!B:B"))</f>
        <v>#REF!</v>
      </c>
      <c r="C8" s="2299" t="s">
        <v>2574</v>
      </c>
      <c r="D8" s="2956"/>
      <c r="E8" s="2771" t="e">
        <f t="shared" ca="1" si="0"/>
        <v>#REF!</v>
      </c>
      <c r="F8" s="2956"/>
      <c r="G8" s="2956"/>
      <c r="H8" s="2956"/>
      <c r="I8" s="2956"/>
      <c r="J8" s="2956"/>
      <c r="K8" s="2956"/>
      <c r="L8" s="2956"/>
      <c r="M8" s="2956"/>
      <c r="N8" s="2956"/>
      <c r="O8" s="2956"/>
      <c r="P8" s="2956"/>
    </row>
    <row r="9" spans="1:16" ht="15.5">
      <c r="A9" s="2768"/>
      <c r="B9" s="2761" t="e">
        <f t="shared" ca="1" si="1"/>
        <v>#REF!</v>
      </c>
      <c r="C9" s="2299" t="s">
        <v>2574</v>
      </c>
      <c r="D9" s="2956"/>
      <c r="E9" s="2771" t="e">
        <f t="shared" ca="1" si="0"/>
        <v>#REF!</v>
      </c>
      <c r="F9" s="2956"/>
      <c r="G9" s="2956"/>
      <c r="H9" s="2956"/>
      <c r="I9" s="2956"/>
      <c r="J9" s="2956"/>
      <c r="K9" s="2956"/>
      <c r="L9" s="2956"/>
      <c r="M9" s="2956"/>
      <c r="N9" s="2956"/>
      <c r="O9" s="2956"/>
      <c r="P9" s="2956"/>
    </row>
    <row r="10" spans="1:16" ht="15.5">
      <c r="A10" s="2768"/>
      <c r="B10" s="2761" t="e">
        <f t="shared" ca="1" si="1"/>
        <v>#REF!</v>
      </c>
      <c r="C10" s="2299" t="s">
        <v>2574</v>
      </c>
      <c r="D10" s="2956"/>
      <c r="E10" s="2771" t="e">
        <f t="shared" ca="1" si="0"/>
        <v>#REF!</v>
      </c>
      <c r="F10" s="2956"/>
      <c r="G10" s="2956"/>
      <c r="H10" s="2956"/>
      <c r="I10" s="2956"/>
      <c r="J10" s="2956"/>
      <c r="K10" s="2956"/>
      <c r="L10" s="2956"/>
      <c r="M10" s="2956"/>
      <c r="N10" s="2956"/>
      <c r="O10" s="2956"/>
      <c r="P10" s="2956"/>
    </row>
    <row r="11" spans="1:16" ht="15.5">
      <c r="A11" s="2768"/>
      <c r="B11" s="2761" t="e">
        <f t="shared" ca="1" si="1"/>
        <v>#REF!</v>
      </c>
      <c r="C11" s="2299" t="s">
        <v>2574</v>
      </c>
      <c r="D11" s="2956"/>
      <c r="E11" s="2771" t="e">
        <f t="shared" ca="1" si="0"/>
        <v>#REF!</v>
      </c>
      <c r="F11" s="2956"/>
      <c r="G11" s="2956"/>
      <c r="H11" s="2956"/>
      <c r="I11" s="2956"/>
      <c r="J11" s="2956"/>
      <c r="K11" s="2956"/>
      <c r="L11" s="2956"/>
      <c r="M11" s="2956"/>
      <c r="N11" s="2956"/>
      <c r="O11" s="2956"/>
      <c r="P11" s="2956"/>
    </row>
    <row r="12" spans="1:16" ht="15.5">
      <c r="A12" s="2768"/>
      <c r="B12" s="2761" t="e">
        <f t="shared" ca="1" si="1"/>
        <v>#REF!</v>
      </c>
      <c r="C12" s="2299" t="s">
        <v>2574</v>
      </c>
      <c r="D12" s="2956"/>
      <c r="E12" s="2771" t="e">
        <f t="shared" ca="1" si="0"/>
        <v>#REF!</v>
      </c>
      <c r="F12" s="2956"/>
      <c r="G12" s="2956"/>
      <c r="H12" s="2956"/>
      <c r="I12" s="2956"/>
      <c r="J12" s="2956"/>
      <c r="K12" s="2956"/>
      <c r="L12" s="2956"/>
      <c r="M12" s="2956"/>
      <c r="N12" s="2956"/>
      <c r="O12" s="2956"/>
      <c r="P12" s="2956"/>
    </row>
    <row r="13" spans="1:16" ht="15.5">
      <c r="A13" s="2768"/>
      <c r="B13" s="2761" t="e">
        <f t="shared" ca="1" si="1"/>
        <v>#REF!</v>
      </c>
      <c r="C13" s="2299" t="s">
        <v>2574</v>
      </c>
      <c r="D13" s="2956"/>
      <c r="E13" s="2771"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36" sqref="D36"/>
    </sheetView>
  </sheetViews>
  <sheetFormatPr defaultColWidth="9" defaultRowHeight="12.5"/>
  <cols>
    <col min="1" max="1" width="9" style="2348"/>
    <col min="2" max="6" width="9" style="2348" customWidth="1"/>
    <col min="7" max="7" width="9" style="2386"/>
    <col min="8" max="8" width="9" style="2348"/>
    <col min="9" max="12" width="9" style="2348" customWidth="1"/>
    <col min="13" max="13" width="2.08984375" style="2348" customWidth="1"/>
    <col min="14" max="14" width="9" style="2386" customWidth="1"/>
    <col min="15" max="17" width="9" style="2348" customWidth="1"/>
    <col min="18" max="18" width="2.36328125" style="2348" customWidth="1"/>
    <col min="19" max="19" width="7.08984375" style="2386" customWidth="1"/>
    <col min="20" max="22" width="7.08984375" style="2348" customWidth="1"/>
    <col min="23" max="23" width="24.08984375" style="2348" customWidth="1"/>
    <col min="24" max="25" width="9" style="2348"/>
    <col min="26" max="27" width="11.6328125" style="2348" customWidth="1"/>
    <col min="28" max="28" width="9" style="2348"/>
    <col min="29" max="29" width="2" style="2348" customWidth="1"/>
    <col min="30" max="16384" width="9" style="2348"/>
  </cols>
  <sheetData>
    <row r="1" spans="1:34" s="2327" customFormat="1" ht="13">
      <c r="B1" s="3625" t="s">
        <v>877</v>
      </c>
      <c r="C1" s="3625"/>
      <c r="D1" s="3625"/>
      <c r="E1" s="3625"/>
      <c r="F1" s="3625"/>
      <c r="G1" s="3621" t="s">
        <v>878</v>
      </c>
      <c r="H1" s="3621"/>
      <c r="I1" s="3621"/>
      <c r="J1" s="3621"/>
      <c r="K1" s="3621"/>
      <c r="L1" s="3621"/>
      <c r="N1" s="3621" t="s">
        <v>879</v>
      </c>
      <c r="O1" s="3621"/>
      <c r="P1" s="3621"/>
      <c r="Q1" s="3621"/>
      <c r="S1" s="3621" t="s">
        <v>880</v>
      </c>
      <c r="T1" s="3621"/>
      <c r="U1" s="3621"/>
      <c r="V1" s="3621"/>
      <c r="X1" s="3620" t="s">
        <v>881</v>
      </c>
      <c r="Y1" s="3621"/>
      <c r="Z1" s="3621"/>
      <c r="AA1" s="3621"/>
      <c r="AB1" s="3621"/>
      <c r="AD1" s="3620" t="s">
        <v>882</v>
      </c>
      <c r="AE1" s="3621"/>
      <c r="AF1" s="3621"/>
      <c r="AG1" s="3621"/>
      <c r="AH1" s="3621"/>
    </row>
    <row r="2" spans="1:34" s="2328" customFormat="1" ht="14.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
      <c r="A3" s="2332" t="s">
        <v>2614</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ht="13">
      <c r="A5" s="2350" t="s">
        <v>2937</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6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2615</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ht="13">
      <c r="A6" s="2361" t="s">
        <v>2936</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6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ht="13">
      <c r="A7" s="2361" t="s">
        <v>2814</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9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ht="13">
      <c r="A8" s="2361" t="s">
        <v>2813</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9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ht="13">
      <c r="A9" s="2361" t="s">
        <v>2812</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7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ht="13">
      <c r="A10" s="2361" t="s">
        <v>2810</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7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ht="13">
      <c r="A11" s="2361" t="s">
        <v>2809</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7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ht="13">
      <c r="A12" s="2361" t="s">
        <v>2631</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ht="13">
      <c r="A13" s="2361" t="s">
        <v>2629</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ht="13">
      <c r="A14" s="2361" t="s">
        <v>2628</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2627</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ht="13">
      <c r="A16" s="2361" t="s">
        <v>2625</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2623</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ht="13">
      <c r="A18" s="2361" t="s">
        <v>2626</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23">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5" customHeight="1">
      <c r="A19" s="2361" t="s">
        <v>2621</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23"/>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5" customHeight="1">
      <c r="A20" s="2361" t="s">
        <v>2620</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23"/>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2613</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30"/>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ht="13">
      <c r="A22" s="2361" t="s">
        <v>2611</v>
      </c>
      <c r="B22" s="2376">
        <v>439</v>
      </c>
      <c r="C22" s="2376">
        <v>327</v>
      </c>
      <c r="D22" s="2376">
        <f>C22</f>
        <v>327</v>
      </c>
      <c r="E22" s="2376">
        <v>627</v>
      </c>
      <c r="F22" s="2377">
        <v>283</v>
      </c>
      <c r="G22" s="3626">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5" customHeight="1">
      <c r="A23" s="2361" t="s">
        <v>2612</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23"/>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23"/>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30"/>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ht="13">
      <c r="A26" s="2361" t="s">
        <v>154</v>
      </c>
      <c r="B26" s="2376">
        <v>392</v>
      </c>
      <c r="C26" s="2376">
        <v>302</v>
      </c>
      <c r="D26" s="2376">
        <f>C26</f>
        <v>302</v>
      </c>
      <c r="E26" s="2376">
        <v>553</v>
      </c>
      <c r="F26" s="2377">
        <v>266</v>
      </c>
      <c r="G26" s="3626">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23"/>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23"/>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24"/>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22">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23"/>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23"/>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24"/>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22">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23"/>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23"/>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24"/>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7">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8"/>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ht="13">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8"/>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9"/>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22">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23"/>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23"/>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 thickBot="1">
      <c r="A45" s="2361" t="s">
        <v>897</v>
      </c>
      <c r="B45" s="2362">
        <f>B44/(1+N44)</f>
        <v>275.19025476197027</v>
      </c>
      <c r="C45" s="2413">
        <v>232</v>
      </c>
      <c r="D45" s="2413">
        <f t="shared" si="213"/>
        <v>232</v>
      </c>
      <c r="E45" s="2362">
        <f t="shared" si="224"/>
        <v>375.65990977608692</v>
      </c>
      <c r="F45" s="2362">
        <f t="shared" si="224"/>
        <v>214.12518283971252</v>
      </c>
      <c r="G45" s="3624"/>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22">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23">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23">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24">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22">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23">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23">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24">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22">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23">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23">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24">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22">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23">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23">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24">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22">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23">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23">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24">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22">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23">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23">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24">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22">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23">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23">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24">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22">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23">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23">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24">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22">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23">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23">
        <v>2003</v>
      </c>
      <c r="H80" s="2374">
        <v>2</v>
      </c>
      <c r="I80" s="2433"/>
      <c r="J80" s="2433"/>
      <c r="K80" s="2433"/>
      <c r="L80" s="2433"/>
      <c r="X80" s="2425"/>
      <c r="Y80" s="2425"/>
      <c r="Z80" s="2425"/>
    </row>
    <row r="81" spans="1:26" ht="13" thickBot="1">
      <c r="A81" s="2361" t="s">
        <v>933</v>
      </c>
      <c r="B81" s="2435">
        <f t="shared" si="249"/>
        <v>107.25</v>
      </c>
      <c r="C81" s="2435">
        <f t="shared" si="249"/>
        <v>108.75</v>
      </c>
      <c r="D81" s="2435">
        <f t="shared" si="213"/>
        <v>108.75</v>
      </c>
      <c r="E81" s="2435">
        <f t="shared" si="250"/>
        <v>105.75</v>
      </c>
      <c r="F81" s="2435">
        <f t="shared" si="250"/>
        <v>102.5</v>
      </c>
      <c r="G81" s="3624">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22">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23">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23">
        <v>2002</v>
      </c>
      <c r="H84" s="2374">
        <v>2</v>
      </c>
      <c r="I84" s="2433"/>
      <c r="J84" s="2433"/>
      <c r="K84" s="2433"/>
      <c r="L84" s="2433"/>
      <c r="X84" s="2425"/>
      <c r="Y84" s="2425"/>
      <c r="Z84" s="2425"/>
    </row>
    <row r="85" spans="1:26" s="2398" customFormat="1" ht="13" thickBot="1">
      <c r="A85" s="2394" t="s">
        <v>937</v>
      </c>
      <c r="B85" s="2401">
        <f t="shared" si="251"/>
        <v>103</v>
      </c>
      <c r="C85" s="2401">
        <f t="shared" si="251"/>
        <v>104</v>
      </c>
      <c r="D85" s="2401">
        <f t="shared" si="213"/>
        <v>104</v>
      </c>
      <c r="E85" s="2401">
        <f t="shared" si="252"/>
        <v>103.5</v>
      </c>
      <c r="F85" s="2401">
        <f t="shared" si="252"/>
        <v>100.5</v>
      </c>
      <c r="G85" s="3624">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ht="13">
      <c r="A88" s="2446" t="s">
        <v>938</v>
      </c>
      <c r="G88" s="2448"/>
      <c r="N88" s="2448"/>
      <c r="S88" s="2448"/>
    </row>
    <row r="89" spans="1:26" s="2447" customFormat="1" ht="13">
      <c r="A89" s="2447" t="s">
        <v>939</v>
      </c>
      <c r="G89" s="2448"/>
      <c r="N89" s="2448"/>
      <c r="S89" s="2448"/>
    </row>
    <row r="90" spans="1:26" s="2447" customFormat="1" ht="13">
      <c r="A90" s="2447" t="s">
        <v>940</v>
      </c>
      <c r="G90" s="2448"/>
      <c r="I90" s="2449"/>
      <c r="J90" s="2449"/>
      <c r="K90" s="2449"/>
      <c r="L90" s="2449"/>
      <c r="N90" s="2450"/>
      <c r="O90" s="2449"/>
      <c r="P90" s="2449"/>
      <c r="Q90" s="2449"/>
      <c r="S90" s="2450"/>
      <c r="T90" s="2449"/>
      <c r="U90" s="2449"/>
      <c r="V90" s="2449"/>
    </row>
    <row r="91" spans="1:26" s="2447" customFormat="1" ht="13">
      <c r="A91" s="2447" t="s">
        <v>941</v>
      </c>
      <c r="G91" s="2448"/>
      <c r="N91" s="2448"/>
      <c r="S91" s="2448"/>
    </row>
    <row r="98" spans="7:22" ht="13" thickBot="1"/>
    <row r="99" spans="7:22" ht="13">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15" customWidth="1"/>
    <col min="2" max="2" width="37.08984375" style="1615" customWidth="1"/>
    <col min="3" max="3" width="11.36328125" style="1615" customWidth="1"/>
    <col min="4" max="4" width="31.90625" style="1615" customWidth="1"/>
    <col min="5" max="5" width="0.453125" style="1615" customWidth="1"/>
    <col min="6" max="7" width="13" style="1615" customWidth="1"/>
    <col min="8" max="16384" width="9" style="1615"/>
  </cols>
  <sheetData>
    <row r="1" spans="1:5" ht="18">
      <c r="A1" s="1613" t="s">
        <v>1345</v>
      </c>
      <c r="B1" s="1614"/>
      <c r="C1" s="1614"/>
      <c r="D1" s="1614"/>
      <c r="E1" s="1614"/>
    </row>
    <row r="2" spans="1:5" ht="78" customHeight="1">
      <c r="A2" s="3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8">
      <c r="A3" s="3300" t="str">
        <f>IF(项目基本情况!B9="房地产市场价值","估价结果一览表（市场价值不需“结果表-1”）","估价结果一览表")</f>
        <v>估价结果一览表</v>
      </c>
      <c r="B3" s="3300"/>
      <c r="C3" s="3300"/>
      <c r="D3" s="3300"/>
      <c r="E3" s="3300"/>
    </row>
    <row r="4" spans="1:5" ht="18.5" thickBot="1">
      <c r="A4" s="1616"/>
      <c r="B4" s="3298" t="s">
        <v>1354</v>
      </c>
      <c r="C4" s="3298"/>
      <c r="D4" s="3298"/>
      <c r="E4" s="1616"/>
    </row>
    <row r="5" spans="1:5" ht="16" thickTop="1">
      <c r="A5" s="1614"/>
      <c r="B5" s="3296" t="s">
        <v>1346</v>
      </c>
      <c r="C5" s="1617" t="s">
        <v>1347</v>
      </c>
      <c r="D5" s="928">
        <f ca="1">结果表!H101</f>
        <v>335285</v>
      </c>
      <c r="E5" s="1614"/>
    </row>
    <row r="6" spans="1:5" ht="15.5">
      <c r="A6" s="1614"/>
      <c r="B6" s="3296"/>
      <c r="C6" s="1617" t="s">
        <v>1348</v>
      </c>
      <c r="D6" s="928" t="str">
        <f ca="1">NUMBERSTRING(INT(D5*10000),2)&amp;"元整"</f>
        <v>叁拾叁亿伍仟贰佰捌拾伍万元整</v>
      </c>
      <c r="E6" s="1614"/>
    </row>
    <row r="7" spans="1:5" ht="15.5">
      <c r="A7" s="1614"/>
      <c r="B7" s="3301"/>
      <c r="C7" s="1618" t="s">
        <v>1349</v>
      </c>
      <c r="D7" s="929">
        <f ca="1">结果表!H102</f>
        <v>34104</v>
      </c>
      <c r="E7" s="1614"/>
    </row>
    <row r="8" spans="1:5" ht="15.5">
      <c r="A8" s="1614"/>
      <c r="B8" s="3302" t="str">
        <f>结果表!E103</f>
        <v>2.估价师知悉的法定优先受偿款</v>
      </c>
      <c r="C8" s="1619" t="s">
        <v>1350</v>
      </c>
      <c r="D8" s="929">
        <f>结果表!H103</f>
        <v>0</v>
      </c>
      <c r="E8" s="1614"/>
    </row>
    <row r="9" spans="1:5" ht="15.5">
      <c r="A9" s="1614"/>
      <c r="B9" s="3304"/>
      <c r="C9" s="1617" t="s">
        <v>1348</v>
      </c>
      <c r="D9" s="928" t="str">
        <f>NUMBERSTRING(INT(D8*10000),2)&amp;"元整"</f>
        <v>零元整</v>
      </c>
      <c r="E9" s="1614"/>
    </row>
    <row r="10" spans="1:5" ht="16">
      <c r="A10" s="1614"/>
      <c r="B10" s="1620" t="s">
        <v>1353</v>
      </c>
      <c r="C10" s="1621" t="s">
        <v>1351</v>
      </c>
      <c r="D10" s="930">
        <f>结果表!H104</f>
        <v>0</v>
      </c>
      <c r="E10" s="1614"/>
    </row>
    <row r="11" spans="1:5" ht="16">
      <c r="A11" s="1614"/>
      <c r="B11" s="1620" t="s">
        <v>1355</v>
      </c>
      <c r="C11" s="1621" t="s">
        <v>1356</v>
      </c>
      <c r="D11" s="930">
        <f>结果表!H105</f>
        <v>0</v>
      </c>
      <c r="E11" s="1614"/>
    </row>
    <row r="12" spans="1:5" ht="16">
      <c r="A12" s="1614"/>
      <c r="B12" s="1620" t="s">
        <v>1357</v>
      </c>
      <c r="C12" s="1621" t="s">
        <v>1356</v>
      </c>
      <c r="D12" s="930">
        <f>结果表!H106</f>
        <v>0</v>
      </c>
      <c r="E12" s="1614"/>
    </row>
    <row r="13" spans="1:5" ht="15.5">
      <c r="A13" s="1614"/>
      <c r="B13" s="3295" t="str">
        <f>结果表!E107</f>
        <v>3.房地产抵押价值</v>
      </c>
      <c r="C13" s="1622" t="s">
        <v>1347</v>
      </c>
      <c r="D13" s="931">
        <f ca="1">结果表!H107</f>
        <v>335285</v>
      </c>
      <c r="E13" s="1614"/>
    </row>
    <row r="14" spans="1:5" ht="15.5">
      <c r="A14" s="1614"/>
      <c r="B14" s="3296"/>
      <c r="C14" s="1617" t="s">
        <v>1348</v>
      </c>
      <c r="D14" s="928" t="str">
        <f ca="1">NUMBERSTRING(INT(D13*10000),2)&amp;"元整"</f>
        <v>叁拾叁亿伍仟贰佰捌拾伍万元整</v>
      </c>
      <c r="E14" s="1614"/>
    </row>
    <row r="15" spans="1:5" ht="15.5">
      <c r="A15" s="1614"/>
      <c r="B15" s="3301"/>
      <c r="C15" s="1618" t="s">
        <v>1358</v>
      </c>
      <c r="D15" s="937">
        <f ca="1">结果表!H108</f>
        <v>34104</v>
      </c>
      <c r="E15" s="1614"/>
    </row>
    <row r="16" spans="1:5" ht="15">
      <c r="A16" s="1614"/>
      <c r="B16" s="3302" t="str">
        <f>结果表!E109</f>
        <v>——</v>
      </c>
      <c r="C16" s="1622" t="s">
        <v>1359</v>
      </c>
      <c r="D16" s="1623" t="str">
        <f>结果表!H109</f>
        <v>——</v>
      </c>
      <c r="E16" s="1614"/>
    </row>
    <row r="17" spans="1:5" ht="15.5">
      <c r="A17" s="1614"/>
      <c r="B17" s="3303"/>
      <c r="C17" s="1617" t="s">
        <v>1360</v>
      </c>
      <c r="D17" s="928" t="e">
        <f>NUMBERSTRING(INT(D16*10000),2)&amp;"元整"</f>
        <v>#VALUE!</v>
      </c>
      <c r="E17" s="1614"/>
    </row>
    <row r="18" spans="1:5" ht="15.5">
      <c r="A18" s="1614"/>
      <c r="B18" s="3304"/>
      <c r="C18" s="1618" t="s">
        <v>1349</v>
      </c>
      <c r="D18" s="937" t="str">
        <f>结果表!H110</f>
        <v>——</v>
      </c>
      <c r="E18" s="1614"/>
    </row>
    <row r="19" spans="1:5" ht="15.5">
      <c r="A19" s="1614"/>
      <c r="B19" s="3295" t="str">
        <f>结果表!E111</f>
        <v>——</v>
      </c>
      <c r="C19" s="1622" t="s">
        <v>1347</v>
      </c>
      <c r="D19" s="929" t="str">
        <f>结果表!H111</f>
        <v>——</v>
      </c>
      <c r="E19" s="1614"/>
    </row>
    <row r="20" spans="1:5" ht="15.5">
      <c r="A20" s="1614"/>
      <c r="B20" s="3296"/>
      <c r="C20" s="1617" t="s">
        <v>1360</v>
      </c>
      <c r="D20" s="928" t="e">
        <f>NUMBERSTRING(INT(D19*10000),2)&amp;"元整"</f>
        <v>#VALUE!</v>
      </c>
      <c r="E20" s="1614"/>
    </row>
    <row r="21" spans="1:5" ht="16" thickBot="1">
      <c r="A21" s="1614"/>
      <c r="B21" s="3297"/>
      <c r="C21" s="1624" t="s">
        <v>1358</v>
      </c>
      <c r="D21" s="938" t="str">
        <f>结果表!H112</f>
        <v>——</v>
      </c>
      <c r="E21" s="1614"/>
    </row>
    <row r="22" spans="1:5" ht="14.5" thickTop="1">
      <c r="A22" s="1614"/>
      <c r="B22" s="1625" t="s">
        <v>1361</v>
      </c>
      <c r="C22" s="1614"/>
      <c r="D22" s="1614"/>
      <c r="E22" s="1614"/>
    </row>
    <row r="23" spans="1:5">
      <c r="A23" s="1614"/>
      <c r="B23" s="1614"/>
      <c r="C23" s="1614"/>
      <c r="D23" s="1614"/>
      <c r="E23" s="1614"/>
    </row>
    <row r="24" spans="1:5" ht="1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2583</v>
      </c>
      <c r="C1" s="3634" t="s">
        <v>2584</v>
      </c>
      <c r="D1" s="3635"/>
      <c r="E1" s="3635"/>
      <c r="F1" s="3635"/>
      <c r="G1" s="3635"/>
      <c r="H1" s="3635"/>
      <c r="I1" s="3635"/>
      <c r="J1" s="3635"/>
      <c r="K1" s="3635"/>
      <c r="L1" s="3635"/>
      <c r="M1" s="3635"/>
      <c r="N1" s="3635"/>
      <c r="O1" s="3635"/>
      <c r="P1" s="3635"/>
      <c r="Q1" s="3635"/>
      <c r="R1" s="3635"/>
      <c r="S1" s="3636"/>
      <c r="T1" s="1083" t="s">
        <v>2585</v>
      </c>
    </row>
    <row r="2" spans="1:45" s="653" customFormat="1" ht="13">
      <c r="A2" s="1084"/>
      <c r="B2" s="649" t="s">
        <v>2586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ht="13">
      <c r="A5" s="1094"/>
      <c r="B5" s="1444" t="s">
        <v>2587</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ht="13">
      <c r="A7" s="1094"/>
      <c r="B7" s="1445" t="s">
        <v>2588</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ht="13">
      <c r="A9" s="1094"/>
      <c r="B9" s="1445" t="s">
        <v>2589</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ht="13">
      <c r="A11" s="1094"/>
      <c r="B11" s="1444" t="s">
        <v>2590</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ht="13">
      <c r="A13" s="1094"/>
      <c r="B13" s="1444" t="s">
        <v>2591</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ht="13">
      <c r="A15" s="1094"/>
      <c r="B15" s="1444" t="s">
        <v>2592</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ht="13">
      <c r="A17" s="2302" t="s">
        <v>2593</v>
      </c>
      <c r="B17" s="2303" t="s">
        <v>2594</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ht="13">
      <c r="A19" s="124"/>
      <c r="B19" s="154"/>
      <c r="C19" s="154"/>
      <c r="D19" s="2304" t="s">
        <v>2595</v>
      </c>
      <c r="E19" s="1462"/>
      <c r="F19" s="1462"/>
      <c r="G19" s="1462"/>
      <c r="H19" s="1159"/>
      <c r="I19" s="154"/>
      <c r="J19" s="154"/>
      <c r="K19" s="154"/>
      <c r="L19" s="154"/>
      <c r="M19" s="154"/>
      <c r="N19" s="154"/>
      <c r="O19" s="154"/>
      <c r="P19" s="154"/>
      <c r="Q19" s="154"/>
      <c r="R19" s="715"/>
      <c r="S19" s="124"/>
    </row>
    <row r="20" spans="1:45" ht="16" thickBot="1">
      <c r="A20" s="661" t="s">
        <v>2596</v>
      </c>
      <c r="B20" s="290" t="e">
        <f ca="1">IF(D20="——",S22,S22-F20)</f>
        <v>#REF!</v>
      </c>
      <c r="C20" s="154"/>
      <c r="D20" s="2305"/>
      <c r="E20" s="1463"/>
      <c r="F20" s="1083" t="e">
        <f ca="1">SUMIF(INDIRECT("'"&amp;H20&amp;"'"&amp;"!A:A"),"承租人权益价值",INDIRECT("'"&amp;H20&amp;"'"&amp;"!c:c"))</f>
        <v>#REF!</v>
      </c>
      <c r="G20" s="1083" t="s">
        <v>2597</v>
      </c>
      <c r="H20" s="2306"/>
      <c r="I20" s="154"/>
      <c r="J20" s="154"/>
      <c r="K20" s="154"/>
      <c r="L20" s="154"/>
      <c r="M20" s="154"/>
      <c r="N20" s="154"/>
      <c r="O20" s="154"/>
      <c r="P20" s="154"/>
      <c r="Q20" s="154"/>
      <c r="R20" s="715"/>
      <c r="S20" s="124"/>
    </row>
    <row r="21" spans="1:45" ht="15.5">
      <c r="A21" s="661" t="s">
        <v>2598</v>
      </c>
      <c r="B21" s="290" t="e">
        <f ca="1">ROUND(B20*10000/B22,0)</f>
        <v>#REF!</v>
      </c>
      <c r="C21" s="154"/>
      <c r="D21" s="154"/>
      <c r="E21" s="154"/>
      <c r="F21" s="154"/>
      <c r="G21" s="154"/>
      <c r="H21" s="154"/>
      <c r="I21" s="154"/>
      <c r="J21" s="154"/>
      <c r="K21" s="154"/>
      <c r="L21" s="154"/>
      <c r="M21" s="154"/>
      <c r="N21" s="154"/>
      <c r="O21" s="154"/>
      <c r="P21" s="154"/>
      <c r="Q21" s="154"/>
      <c r="R21" s="715"/>
      <c r="S21" s="124"/>
    </row>
    <row r="22" spans="1:45" ht="13">
      <c r="A22" s="312" t="s">
        <v>2599</v>
      </c>
      <c r="B22" s="24">
        <f>SUM(B24:B10000)</f>
        <v>100</v>
      </c>
      <c r="C22" s="3631" t="s">
        <v>33</v>
      </c>
      <c r="D22" s="3632"/>
      <c r="E22" s="3632"/>
      <c r="F22" s="3632"/>
      <c r="G22" s="3632"/>
      <c r="H22" s="3632"/>
      <c r="I22" s="3632"/>
      <c r="J22" s="3632"/>
      <c r="K22" s="3632"/>
      <c r="L22" s="3632"/>
      <c r="M22" s="3632"/>
      <c r="N22" s="3632"/>
      <c r="O22" s="3632"/>
      <c r="P22" s="3632"/>
      <c r="Q22" s="3633"/>
      <c r="R22" s="662">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63" t="s">
        <v>2603</v>
      </c>
      <c r="S23" s="11" t="s">
        <v>2604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ht="13">
      <c r="A24" s="664" t="s">
        <v>2605</v>
      </c>
      <c r="B24" s="664">
        <v>100</v>
      </c>
      <c r="C24" s="2973">
        <v>1</v>
      </c>
      <c r="D24" s="2974"/>
      <c r="E24" s="2973">
        <v>1</v>
      </c>
      <c r="F24" s="2974"/>
      <c r="G24" s="2973">
        <v>1</v>
      </c>
      <c r="H24" s="2974"/>
      <c r="I24" s="2973">
        <v>1</v>
      </c>
      <c r="J24" s="2974"/>
      <c r="K24" s="2973">
        <v>1</v>
      </c>
      <c r="L24" s="2974"/>
      <c r="M24" s="2973">
        <v>1</v>
      </c>
      <c r="N24" s="2974"/>
      <c r="O24" s="2973">
        <v>1</v>
      </c>
      <c r="P24" s="2974"/>
      <c r="Q24" s="297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ht="13">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ht="13">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ht="13">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ht="13">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ht="13">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ht="13">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ht="13">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ht="13">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ht="13">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ht="13">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ht="13">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ht="13">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ht="13">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ht="13">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ht="13">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ht="13">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ht="13">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ht="13">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ht="13">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ht="13">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ht="13">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ht="13">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ht="13">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ht="13">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ht="13">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ht="13">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ht="13">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ht="13">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ht="13">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ht="13">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ht="13">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ht="13">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ht="13">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ht="13">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ht="13">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ht="13">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ht="13">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ht="13">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ht="13">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ht="13">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ht="13">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ht="13">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ht="13">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ht="13">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ht="13">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ht="13">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ht="13">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ht="13">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ht="13">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ht="13">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ht="13">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ht="13">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ht="13">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ht="13">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ht="13">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ht="13">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ht="13">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ht="13">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ht="13">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ht="13">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ht="13">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ht="13">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ht="13">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ht="13">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ht="13">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ht="13">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ht="13">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ht="13">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ht="13">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ht="13">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ht="13">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ht="13">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ht="13">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ht="13">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ht="13">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ht="13">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ht="13">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ht="13">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ht="13">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ht="13">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ht="13">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ht="13">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ht="13">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ht="13">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ht="13">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ht="13">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ht="13">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ht="13">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ht="13">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ht="13">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ht="13">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ht="13">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ht="13">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ht="13">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ht="13">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ht="13">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ht="13">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ht="13">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ht="13">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ht="13">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ht="13">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ht="13">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ht="13">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ht="13">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ht="13">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ht="13">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ht="13">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ht="13">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ht="13">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ht="13">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ht="13">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ht="13">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ht="13">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ht="13">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ht="13">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ht="13">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ht="13">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ht="13">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ht="13">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ht="13">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ht="13">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ht="13">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ht="13">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ht="13">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ht="13">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ht="13">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ht="13">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ht="13">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ht="13">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ht="13">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ht="13">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ht="13">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ht="13">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ht="13">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ht="13">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ht="13">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ht="13">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ht="13">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ht="13">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ht="13">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ht="13">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ht="13">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ht="13">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ht="13">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ht="13">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ht="13">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ht="13">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ht="13">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ht="13">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ht="13">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ht="13">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ht="13">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ht="13">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ht="13">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ht="13">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ht="13">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ht="13">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ht="13">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ht="13">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ht="13">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ht="13">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ht="13">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ht="13">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ht="13">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ht="13">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ht="13">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ht="13">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ht="13">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ht="13">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ht="13">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ht="13">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ht="13">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ht="13">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ht="13">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ht="13">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ht="13">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ht="13">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ht="13">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ht="13">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ht="13">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ht="13">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ht="13">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ht="13">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ht="13">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ht="13">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ht="13">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ht="13">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ht="13">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ht="13">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ht="13">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ht="13">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ht="13">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ht="13">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ht="13">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ht="13">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ht="13">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ht="13">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ht="13">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ht="13">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ht="13">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ht="13">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ht="13">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ht="13">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ht="13">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ht="13">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ht="13">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ht="13">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ht="13">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ht="13">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ht="13">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ht="13">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ht="13">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ht="13">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ht="13">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ht="13">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ht="13">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ht="13">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ht="13">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ht="13">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ht="13">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ht="13">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ht="13">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ht="13">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ht="13">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ht="13">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ht="13">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ht="13">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ht="13">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ht="13">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ht="13">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ht="13">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ht="13">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ht="13">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ht="13">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ht="13">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ht="13">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ht="13">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ht="13">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ht="13">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ht="13">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ht="13">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ht="13">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ht="13">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ht="13">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ht="13">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ht="13">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ht="13">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ht="13">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ht="13">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ht="13">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ht="13">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ht="13">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ht="13">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ht="13">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ht="13">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ht="13">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ht="13">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ht="13">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ht="13">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ht="13">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ht="13">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ht="13">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ht="13">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ht="13">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ht="13">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ht="13">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ht="13">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ht="13">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ht="13">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ht="13">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ht="13">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ht="13">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ht="13">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ht="13">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ht="13">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ht="13">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ht="13">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ht="13">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ht="13">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ht="13">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ht="13">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ht="13">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ht="13">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ht="13">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ht="13">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ht="13">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ht="13">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ht="13">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ht="13">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ht="13">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ht="13">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ht="13">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ht="13">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ht="13">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ht="13">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ht="13">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ht="13">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ht="13">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ht="13">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ht="13">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ht="13">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ht="13">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ht="13">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ht="13">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ht="13">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ht="13">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ht="13">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ht="13">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ht="13">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ht="13">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ht="13">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ht="13">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ht="13">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ht="13">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ht="13">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ht="13">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ht="13">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ht="13">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ht="13">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ht="13">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ht="13">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ht="13">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ht="13">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ht="13">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ht="13">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ht="13">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ht="13">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ht="13">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ht="13">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ht="13">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ht="13">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ht="13">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ht="13">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ht="13">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ht="13">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ht="13">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ht="13">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ht="13">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ht="13">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ht="13">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ht="13">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ht="13">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ht="13">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ht="13">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ht="13">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ht="13">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ht="13">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ht="13">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ht="13">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ht="13">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ht="13">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ht="13">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ht="13">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ht="13">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ht="13">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ht="13">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ht="13">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ht="13">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ht="13">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ht="13">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ht="13">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ht="13">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ht="13">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ht="13">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ht="13">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ht="13">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ht="13">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ht="13">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ht="13">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ht="13">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ht="13">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ht="13">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ht="13">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ht="13">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ht="13">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ht="13">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ht="13">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ht="13">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ht="13">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ht="13">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ht="13">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ht="13">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ht="13">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ht="13">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ht="13">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ht="13">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ht="13">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ht="13">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ht="13">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ht="13">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ht="13">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ht="13">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ht="13">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ht="13">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ht="13">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ht="13">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ht="13">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ht="13">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ht="13">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ht="13">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ht="13">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ht="13">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ht="13">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ht="13">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ht="13">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ht="13">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ht="13">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ht="13">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ht="13">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ht="13">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ht="13">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ht="13">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ht="13">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ht="13">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ht="13">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ht="13">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ht="13">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ht="13">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ht="13">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ht="13">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ht="13">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ht="13">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ht="13">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ht="13">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ht="13">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ht="13">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ht="13">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ht="13">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ht="13">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ht="13">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ht="13">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ht="13">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ht="13">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ht="13">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ht="13">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ht="13">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ht="13">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ht="13">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ht="13">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ht="13">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ht="13">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ht="13">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ht="13">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ht="13">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ht="13">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ht="13">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ht="13">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ht="13">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ht="13">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ht="13">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ht="13">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ht="13">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ht="13">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ht="13">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ht="13">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ht="13">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ht="13">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ht="13">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ht="13">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ht="13">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ht="13">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ht="13">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ht="13">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ht="13">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ht="13">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ht="13">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ht="13">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ht="13">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ht="13">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ht="13">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ht="13">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ht="13">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ht="13">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ht="13">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ht="13">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ht="13">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ht="13">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ht="13">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ht="13">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ht="13">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ht="13">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ht="13">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ht="13">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ht="13">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ht="13">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ht="13">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ht="13">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ht="13">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ht="13">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ht="13">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ht="13">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ht="13">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ht="13">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ht="13">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ht="13">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ht="13">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ht="13">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ht="13">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ht="13">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ht="13">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125654</v>
      </c>
      <c r="C2" s="2" t="s">
        <v>133</v>
      </c>
      <c r="D2" s="195"/>
      <c r="E2" s="195"/>
      <c r="F2" s="195"/>
      <c r="G2" s="195"/>
    </row>
    <row r="3" spans="1:7" s="196" customFormat="1" ht="18" customHeight="1" thickBot="1">
      <c r="A3" s="199" t="s">
        <v>85</v>
      </c>
      <c r="B3" s="200">
        <f ca="1">ROUND(B2*10000/'数据-汇总表'!E3,0)</f>
        <v>12781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ht="13">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3008</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258</v>
      </c>
      <c r="D24" s="234"/>
      <c r="E24" s="234"/>
      <c r="F24" s="235"/>
      <c r="G24" s="236" t="s">
        <v>109</v>
      </c>
    </row>
    <row r="25" spans="1:7" s="210" customFormat="1" ht="26">
      <c r="A25" s="857" t="s">
        <v>612</v>
      </c>
      <c r="B25" s="211" t="s">
        <v>845</v>
      </c>
      <c r="C25" s="1206">
        <f ca="1">ROUND(IF('数据-取费表'!B22&lt;=1,C20*F22*'数据-取费表'!B23/2,C20*(POWER((1+F22),'数据-取费表'!B23/2)-1)),0)</f>
        <v>43</v>
      </c>
      <c r="D25" s="234"/>
      <c r="E25" s="237"/>
      <c r="F25" s="235"/>
      <c r="G25" s="238" t="s">
        <v>110</v>
      </c>
    </row>
    <row r="26" spans="1:7" s="210" customFormat="1" ht="13">
      <c r="A26" s="857" t="s">
        <v>614</v>
      </c>
      <c r="B26" s="211" t="s">
        <v>847</v>
      </c>
      <c r="C26" s="234">
        <f ca="1">ROUND(IF('数据-取费表'!B22&lt;=1,F21*F22*'数据-取费表'!B23/2,F21*(POWER((1+F22),'数据-取费表'!B23/2)-1)),4)</f>
        <v>1.2999999999999999E-3</v>
      </c>
      <c r="D26" s="234"/>
      <c r="E26" s="237"/>
      <c r="F26" s="235"/>
      <c r="G26" s="239"/>
    </row>
    <row r="27" spans="1:7" s="210" customFormat="1" ht="27">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33550</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6">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5278</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5124</v>
      </c>
      <c r="D42" s="234"/>
      <c r="E42" s="234"/>
      <c r="F42" s="235"/>
      <c r="G42" s="3525" t="s">
        <v>121</v>
      </c>
    </row>
    <row r="43" spans="1:7" ht="13.5" customHeight="1">
      <c r="A43" s="857" t="s">
        <v>611</v>
      </c>
      <c r="B43" s="211" t="s">
        <v>851</v>
      </c>
      <c r="C43" s="234">
        <f ca="1">ROUND(IF('数据-取费表'!B22&lt;=1,C39*F22*'数据-取费表'!B21/2,C39*(POWER((1+F22),'数据-取费表'!B21/2)-1)),0)</f>
        <v>154</v>
      </c>
      <c r="D43" s="234"/>
      <c r="E43" s="234"/>
      <c r="F43" s="235"/>
      <c r="G43" s="3526"/>
    </row>
    <row r="44" spans="1:7" ht="13.5" customHeight="1">
      <c r="A44" s="857" t="s">
        <v>612</v>
      </c>
      <c r="B44" s="211" t="s">
        <v>853</v>
      </c>
      <c r="C44" s="234">
        <f ca="1">ROUND(IF('数据-取费表'!B22&lt;=1,C40*F22*'数据-取费表'!B21/2,C40*(POWER((1+F22),'数据-取费表'!B21/2)-1)),4)</f>
        <v>1.2999999999999999E-3</v>
      </c>
      <c r="D44" s="234"/>
      <c r="E44" s="234"/>
      <c r="F44" s="235"/>
      <c r="G44" s="3527"/>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113709</v>
      </c>
      <c r="D49" s="228"/>
      <c r="E49" s="228"/>
      <c r="F49" s="260"/>
      <c r="G49" s="230" t="s">
        <v>860</v>
      </c>
    </row>
    <row r="50" spans="1:7" s="254" customFormat="1" ht="26">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92104</v>
      </c>
      <c r="D51" s="228"/>
      <c r="E51" s="228"/>
      <c r="F51" s="260"/>
      <c r="G51" s="230" t="s">
        <v>64</v>
      </c>
    </row>
    <row r="52" spans="1:7" s="204" customFormat="1" ht="16.5" thickBot="1">
      <c r="A52" s="261" t="s">
        <v>65</v>
      </c>
      <c r="B52" s="262"/>
      <c r="C52" s="263">
        <f ca="1">C31+C51</f>
        <v>125654</v>
      </c>
      <c r="D52" s="262"/>
      <c r="E52" s="262"/>
      <c r="F52" s="262"/>
      <c r="G52" s="264"/>
    </row>
    <row r="55" spans="1:7" ht="15.5">
      <c r="B55" s="266" t="s">
        <v>66</v>
      </c>
      <c r="C55" s="267"/>
    </row>
    <row r="56" spans="1:7" ht="13">
      <c r="B56" s="269" t="s">
        <v>67</v>
      </c>
      <c r="C56" s="270">
        <f ca="1">ROUND(C51/C52,3)</f>
        <v>0.73299999999999998</v>
      </c>
    </row>
    <row r="57" spans="1:7" ht="13">
      <c r="B57" s="269" t="s">
        <v>68</v>
      </c>
      <c r="C57" s="271">
        <f ca="1">1-C56</f>
        <v>0.26700000000000002</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782" customWidth="1"/>
    <col min="2" max="5" width="10.08984375" style="740" customWidth="1"/>
    <col min="6" max="6" width="9" style="740"/>
    <col min="7" max="8" width="9" style="755"/>
    <col min="9" max="16384" width="9" style="740"/>
  </cols>
  <sheetData>
    <row r="1" spans="1:19">
      <c r="A1" s="3637" t="s">
        <v>156</v>
      </c>
      <c r="B1" s="3637"/>
      <c r="C1" s="3637"/>
      <c r="D1" s="3637"/>
      <c r="E1" s="3637"/>
      <c r="F1" s="3637"/>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5" thickBot="1">
      <c r="A2" s="3638" t="s">
        <v>169</v>
      </c>
      <c r="B2" s="3638"/>
      <c r="C2" s="3638"/>
      <c r="D2" s="3638"/>
      <c r="E2" s="3638"/>
      <c r="F2" s="3638"/>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9"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40"/>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782" customWidth="1"/>
    <col min="2" max="2" width="10.08984375" style="740" customWidth="1"/>
  </cols>
  <sheetData>
    <row r="1" spans="1:6">
      <c r="A1" s="3637" t="s">
        <v>658</v>
      </c>
      <c r="B1" s="3637"/>
    </row>
    <row r="2" spans="1:6" ht="14.5" thickBot="1">
      <c r="A2" s="941"/>
      <c r="B2" s="941"/>
    </row>
    <row r="3" spans="1:6" ht="14.5" thickBot="1">
      <c r="A3" s="941"/>
      <c r="B3" s="941"/>
      <c r="C3" s="944" t="s">
        <v>661</v>
      </c>
      <c r="D3" s="944" t="s">
        <v>662</v>
      </c>
      <c r="E3" s="944" t="s">
        <v>663</v>
      </c>
      <c r="F3" s="944" t="s">
        <v>664</v>
      </c>
    </row>
    <row r="4" spans="1:6" ht="14.5" thickBot="1">
      <c r="A4" s="942" t="s">
        <v>659</v>
      </c>
      <c r="B4" s="943" t="s">
        <v>660</v>
      </c>
      <c r="C4" s="944"/>
      <c r="D4" s="944"/>
      <c r="E4" s="944"/>
      <c r="F4" s="944"/>
    </row>
    <row r="5" spans="1:6" ht="14.5" thickBot="1">
      <c r="A5" s="767" t="s">
        <v>665</v>
      </c>
      <c r="B5" s="768" t="s">
        <v>666</v>
      </c>
      <c r="C5" s="945">
        <v>8.8999999999999996E-2</v>
      </c>
      <c r="D5" s="945">
        <v>7.3999999999999996E-2</v>
      </c>
      <c r="E5" s="945">
        <v>7.4999999999999997E-2</v>
      </c>
      <c r="F5" s="946">
        <v>0.1</v>
      </c>
    </row>
    <row r="6" spans="1:6" ht="14.5" thickBot="1">
      <c r="A6" s="767" t="s">
        <v>211</v>
      </c>
      <c r="B6" s="761" t="s">
        <v>667</v>
      </c>
      <c r="C6" s="947">
        <v>0.1</v>
      </c>
      <c r="D6" s="947">
        <v>9.0999999999999998E-2</v>
      </c>
      <c r="E6" s="947">
        <v>9.0999999999999998E-2</v>
      </c>
      <c r="F6" s="948">
        <v>0.1</v>
      </c>
    </row>
    <row r="7" spans="1:6" ht="14.5" thickBot="1">
      <c r="A7" s="767" t="s">
        <v>211</v>
      </c>
      <c r="B7" s="771" t="s">
        <v>200</v>
      </c>
      <c r="C7" s="947">
        <v>8.5999999999999993E-2</v>
      </c>
      <c r="D7" s="947">
        <v>9.6000000000000002E-2</v>
      </c>
      <c r="E7" s="947">
        <v>7.5999999999999998E-2</v>
      </c>
      <c r="F7" s="948">
        <v>0.1</v>
      </c>
    </row>
    <row r="8" spans="1:6" ht="14.5" thickBot="1">
      <c r="A8" s="767" t="s">
        <v>211</v>
      </c>
      <c r="B8" s="761" t="s">
        <v>212</v>
      </c>
      <c r="C8" s="947">
        <v>9.9000000000000005E-2</v>
      </c>
      <c r="D8" s="947">
        <v>9.8000000000000004E-2</v>
      </c>
      <c r="E8" s="947">
        <v>9.8000000000000004E-2</v>
      </c>
      <c r="F8" s="948">
        <v>0.1</v>
      </c>
    </row>
    <row r="9" spans="1:6" ht="14.5" thickBot="1">
      <c r="A9" s="777" t="s">
        <v>211</v>
      </c>
      <c r="B9" s="772" t="s">
        <v>224</v>
      </c>
      <c r="C9" s="949">
        <v>0.05</v>
      </c>
      <c r="D9" s="957"/>
      <c r="E9" s="957"/>
      <c r="F9" s="958"/>
    </row>
    <row r="10" spans="1:6" ht="14.5" thickBot="1">
      <c r="A10" s="767" t="s">
        <v>268</v>
      </c>
      <c r="B10" s="768" t="s">
        <v>668</v>
      </c>
      <c r="C10" s="945">
        <v>8.8999999999999996E-2</v>
      </c>
      <c r="D10" s="945">
        <v>7.2999999999999995E-2</v>
      </c>
      <c r="E10" s="945">
        <v>8.2000000000000003E-2</v>
      </c>
      <c r="F10" s="946">
        <v>0.1</v>
      </c>
    </row>
    <row r="11" spans="1:6" ht="14.5" thickBot="1">
      <c r="A11" s="767" t="s">
        <v>268</v>
      </c>
      <c r="B11" s="771" t="s">
        <v>187</v>
      </c>
      <c r="C11" s="947">
        <v>8.8999999999999996E-2</v>
      </c>
      <c r="D11" s="947">
        <v>7.2999999999999995E-2</v>
      </c>
      <c r="E11" s="947">
        <v>8.2000000000000003E-2</v>
      </c>
      <c r="F11" s="948">
        <v>0.1</v>
      </c>
    </row>
    <row r="12" spans="1:6" ht="14.5" thickBot="1">
      <c r="A12" s="767" t="s">
        <v>268</v>
      </c>
      <c r="B12" s="771" t="s">
        <v>138</v>
      </c>
      <c r="C12" s="947">
        <v>6.0999999999999999E-2</v>
      </c>
      <c r="D12" s="947">
        <v>7.0999999999999994E-2</v>
      </c>
      <c r="E12" s="947">
        <v>9.6000000000000002E-2</v>
      </c>
      <c r="F12" s="948">
        <v>0.1</v>
      </c>
    </row>
    <row r="13" spans="1:6" ht="14.5" thickBot="1">
      <c r="A13" s="767" t="s">
        <v>268</v>
      </c>
      <c r="B13" s="771" t="s">
        <v>213</v>
      </c>
      <c r="C13" s="947">
        <v>6.9000000000000006E-2</v>
      </c>
      <c r="D13" s="947">
        <v>6.5000000000000002E-2</v>
      </c>
      <c r="E13" s="947">
        <v>6.6000000000000003E-2</v>
      </c>
      <c r="F13" s="948">
        <v>0.1</v>
      </c>
    </row>
    <row r="14" spans="1:6" ht="14.5" thickBot="1">
      <c r="A14" s="767" t="s">
        <v>268</v>
      </c>
      <c r="B14" s="771" t="s">
        <v>225</v>
      </c>
      <c r="C14" s="947">
        <v>0.1</v>
      </c>
      <c r="D14" s="947">
        <v>6.5000000000000002E-2</v>
      </c>
      <c r="E14" s="947">
        <v>7.0000000000000007E-2</v>
      </c>
      <c r="F14" s="948">
        <v>0.1</v>
      </c>
    </row>
    <row r="15" spans="1:6" ht="14.5" thickBot="1">
      <c r="A15" s="767" t="s">
        <v>268</v>
      </c>
      <c r="B15" s="771" t="s">
        <v>236</v>
      </c>
      <c r="C15" s="947">
        <v>9.8000000000000004E-2</v>
      </c>
      <c r="D15" s="947">
        <v>8.8999999999999996E-2</v>
      </c>
      <c r="E15" s="947">
        <v>8.8999999999999996E-2</v>
      </c>
      <c r="F15" s="948">
        <v>0.1</v>
      </c>
    </row>
    <row r="16" spans="1:6" ht="14.5" thickBot="1">
      <c r="A16" s="767" t="s">
        <v>268</v>
      </c>
      <c r="B16" s="771" t="s">
        <v>247</v>
      </c>
      <c r="C16" s="947">
        <v>7.0000000000000007E-2</v>
      </c>
      <c r="D16" s="947">
        <v>9.2999999999999999E-2</v>
      </c>
      <c r="E16" s="947">
        <v>9.6000000000000002E-2</v>
      </c>
      <c r="F16" s="948">
        <v>0.1</v>
      </c>
    </row>
    <row r="17" spans="1:6" ht="14.5" thickBot="1">
      <c r="A17" s="767" t="s">
        <v>268</v>
      </c>
      <c r="B17" s="771" t="s">
        <v>258</v>
      </c>
      <c r="C17" s="947">
        <v>9.5000000000000001E-2</v>
      </c>
      <c r="D17" s="947">
        <v>0.1</v>
      </c>
      <c r="E17" s="947">
        <v>0.1</v>
      </c>
      <c r="F17" s="959"/>
    </row>
    <row r="18" spans="1:6" ht="14.5" thickBot="1">
      <c r="A18" s="767" t="s">
        <v>268</v>
      </c>
      <c r="B18" s="771" t="s">
        <v>270</v>
      </c>
      <c r="C18" s="947">
        <v>7.3999999999999996E-2</v>
      </c>
      <c r="D18" s="947">
        <v>9.9000000000000005E-2</v>
      </c>
      <c r="E18" s="947">
        <v>0.1</v>
      </c>
      <c r="F18" s="959"/>
    </row>
    <row r="19" spans="1:6" ht="14.5" thickBot="1">
      <c r="A19" s="767" t="s">
        <v>268</v>
      </c>
      <c r="B19" s="771" t="s">
        <v>280</v>
      </c>
      <c r="C19" s="947">
        <v>9.9000000000000005E-2</v>
      </c>
      <c r="D19" s="947">
        <v>7.5999999999999998E-2</v>
      </c>
      <c r="E19" s="947">
        <v>8.6999999999999994E-2</v>
      </c>
      <c r="F19" s="959"/>
    </row>
    <row r="20" spans="1:6" ht="14.5" thickBot="1">
      <c r="A20" s="767" t="s">
        <v>268</v>
      </c>
      <c r="B20" s="771" t="s">
        <v>290</v>
      </c>
      <c r="C20" s="947">
        <v>9.8000000000000004E-2</v>
      </c>
      <c r="D20" s="947">
        <v>8.5000000000000006E-2</v>
      </c>
      <c r="E20" s="947">
        <v>8.2000000000000003E-2</v>
      </c>
      <c r="F20" s="959"/>
    </row>
    <row r="21" spans="1:6" ht="14.5" thickBot="1">
      <c r="A21" s="767" t="s">
        <v>268</v>
      </c>
      <c r="B21" s="771" t="s">
        <v>300</v>
      </c>
      <c r="C21" s="947">
        <v>6.6000000000000003E-2</v>
      </c>
      <c r="D21" s="947">
        <v>6.4000000000000001E-2</v>
      </c>
      <c r="E21" s="947">
        <v>6.5000000000000002E-2</v>
      </c>
      <c r="F21" s="959"/>
    </row>
    <row r="22" spans="1:6" ht="14.5" thickBot="1">
      <c r="A22" s="767" t="s">
        <v>268</v>
      </c>
      <c r="B22" s="771" t="s">
        <v>669</v>
      </c>
      <c r="C22" s="947">
        <v>0.08</v>
      </c>
      <c r="D22" s="947">
        <v>9.8000000000000004E-2</v>
      </c>
      <c r="E22" s="947">
        <v>9.8000000000000004E-2</v>
      </c>
      <c r="F22" s="959"/>
    </row>
    <row r="23" spans="1:6" ht="14.5" thickBot="1">
      <c r="A23" s="767" t="s">
        <v>268</v>
      </c>
      <c r="B23" s="771" t="s">
        <v>321</v>
      </c>
      <c r="C23" s="947">
        <v>9.9000000000000005E-2</v>
      </c>
      <c r="D23" s="947">
        <v>9.8000000000000004E-2</v>
      </c>
      <c r="E23" s="947">
        <v>9.0999999999999998E-2</v>
      </c>
      <c r="F23" s="959"/>
    </row>
    <row r="24" spans="1:6" ht="14.5" thickBot="1">
      <c r="A24" s="767" t="s">
        <v>268</v>
      </c>
      <c r="B24" s="771" t="s">
        <v>332</v>
      </c>
      <c r="C24" s="947">
        <v>8.8999999999999996E-2</v>
      </c>
      <c r="D24" s="947">
        <v>9.7000000000000003E-2</v>
      </c>
      <c r="E24" s="947">
        <v>7.0000000000000007E-2</v>
      </c>
      <c r="F24" s="959"/>
    </row>
    <row r="25" spans="1:6" ht="14.5" thickBot="1">
      <c r="A25" s="767" t="s">
        <v>268</v>
      </c>
      <c r="B25" s="771" t="s">
        <v>342</v>
      </c>
      <c r="C25" s="947">
        <v>8.8999999999999996E-2</v>
      </c>
      <c r="D25" s="947">
        <v>0.1</v>
      </c>
      <c r="E25" s="947">
        <v>8.1000000000000003E-2</v>
      </c>
      <c r="F25" s="959"/>
    </row>
    <row r="26" spans="1:6" ht="14.5" thickBot="1">
      <c r="A26" s="767" t="s">
        <v>268</v>
      </c>
      <c r="B26" s="771" t="s">
        <v>352</v>
      </c>
      <c r="C26" s="960"/>
      <c r="D26" s="947">
        <v>9.6000000000000002E-2</v>
      </c>
      <c r="E26" s="947">
        <v>9.2999999999999999E-2</v>
      </c>
      <c r="F26" s="959"/>
    </row>
    <row r="27" spans="1:6" ht="14.5" thickBot="1">
      <c r="A27" s="767" t="s">
        <v>268</v>
      </c>
      <c r="B27" s="771" t="s">
        <v>362</v>
      </c>
      <c r="C27" s="960"/>
      <c r="D27" s="947">
        <v>7.5999999999999998E-2</v>
      </c>
      <c r="E27" s="947">
        <v>9.1999999999999998E-2</v>
      </c>
      <c r="F27" s="959"/>
    </row>
    <row r="28" spans="1:6" ht="14.5" thickBot="1">
      <c r="A28" s="777" t="s">
        <v>268</v>
      </c>
      <c r="B28" s="772" t="s">
        <v>372</v>
      </c>
      <c r="C28" s="957"/>
      <c r="D28" s="949">
        <v>7.5999999999999998E-2</v>
      </c>
      <c r="E28" s="949">
        <v>9.1999999999999998E-2</v>
      </c>
      <c r="F28" s="958"/>
    </row>
    <row r="29" spans="1:6" ht="14.5" thickBot="1">
      <c r="A29" s="767" t="s">
        <v>441</v>
      </c>
      <c r="B29" s="768" t="s">
        <v>670</v>
      </c>
      <c r="C29" s="945">
        <v>6.4000000000000001E-2</v>
      </c>
      <c r="D29" s="945">
        <v>6.5000000000000002E-2</v>
      </c>
      <c r="E29" s="945">
        <v>6.9000000000000006E-2</v>
      </c>
      <c r="F29" s="946">
        <v>0.1</v>
      </c>
    </row>
    <row r="30" spans="1:6" ht="14.5" thickBot="1">
      <c r="A30" s="767" t="s">
        <v>441</v>
      </c>
      <c r="B30" s="771" t="s">
        <v>188</v>
      </c>
      <c r="C30" s="947">
        <v>6.4000000000000001E-2</v>
      </c>
      <c r="D30" s="947">
        <v>9.9000000000000005E-2</v>
      </c>
      <c r="E30" s="947">
        <v>0.1</v>
      </c>
      <c r="F30" s="948">
        <v>0.1</v>
      </c>
    </row>
    <row r="31" spans="1:6" ht="14.5" thickBot="1">
      <c r="A31" s="767" t="s">
        <v>441</v>
      </c>
      <c r="B31" s="771" t="s">
        <v>201</v>
      </c>
      <c r="C31" s="947">
        <v>0.1</v>
      </c>
      <c r="D31" s="947">
        <v>9.5000000000000001E-2</v>
      </c>
      <c r="E31" s="947">
        <v>8.8999999999999996E-2</v>
      </c>
      <c r="F31" s="948">
        <v>0.1</v>
      </c>
    </row>
    <row r="32" spans="1:6" ht="14.5" thickBot="1">
      <c r="A32" s="767" t="s">
        <v>441</v>
      </c>
      <c r="B32" s="771" t="s">
        <v>214</v>
      </c>
      <c r="C32" s="947">
        <v>0.05</v>
      </c>
      <c r="D32" s="947">
        <v>0.05</v>
      </c>
      <c r="E32" s="947">
        <v>8.7999999999999995E-2</v>
      </c>
      <c r="F32" s="948">
        <v>0.1</v>
      </c>
    </row>
    <row r="33" spans="1:6" ht="14.5" thickBot="1">
      <c r="A33" s="767" t="s">
        <v>441</v>
      </c>
      <c r="B33" s="771" t="s">
        <v>226</v>
      </c>
      <c r="C33" s="947">
        <v>7.4999999999999997E-2</v>
      </c>
      <c r="D33" s="947">
        <v>9.4E-2</v>
      </c>
      <c r="E33" s="947">
        <v>9.7000000000000003E-2</v>
      </c>
      <c r="F33" s="948">
        <v>0.1</v>
      </c>
    </row>
    <row r="34" spans="1:6" ht="14.5" thickBot="1">
      <c r="A34" s="767" t="s">
        <v>441</v>
      </c>
      <c r="B34" s="771" t="s">
        <v>237</v>
      </c>
      <c r="C34" s="947">
        <v>9.8000000000000004E-2</v>
      </c>
      <c r="D34" s="947">
        <v>8.5999999999999993E-2</v>
      </c>
      <c r="E34" s="947">
        <v>9.7000000000000003E-2</v>
      </c>
      <c r="F34" s="948">
        <v>0.1</v>
      </c>
    </row>
    <row r="35" spans="1:6" ht="14.5" thickBot="1">
      <c r="A35" s="767" t="s">
        <v>441</v>
      </c>
      <c r="B35" s="771" t="s">
        <v>248</v>
      </c>
      <c r="C35" s="947">
        <v>5.8999999999999997E-2</v>
      </c>
      <c r="D35" s="947">
        <v>6.5000000000000002E-2</v>
      </c>
      <c r="E35" s="947">
        <v>7.0000000000000007E-2</v>
      </c>
      <c r="F35" s="948">
        <v>0.1</v>
      </c>
    </row>
    <row r="36" spans="1:6" ht="14.5" thickBot="1">
      <c r="A36" s="767" t="s">
        <v>441</v>
      </c>
      <c r="B36" s="771" t="s">
        <v>259</v>
      </c>
      <c r="C36" s="947">
        <v>6.3E-2</v>
      </c>
      <c r="D36" s="947">
        <v>0.1</v>
      </c>
      <c r="E36" s="947">
        <v>0.1</v>
      </c>
      <c r="F36" s="948">
        <v>0.1</v>
      </c>
    </row>
    <row r="37" spans="1:6" ht="14.5" thickBot="1">
      <c r="A37" s="767" t="s">
        <v>441</v>
      </c>
      <c r="B37" s="771" t="s">
        <v>271</v>
      </c>
      <c r="C37" s="947">
        <v>7.3999999999999996E-2</v>
      </c>
      <c r="D37" s="947">
        <v>0.1</v>
      </c>
      <c r="E37" s="947">
        <v>0.1</v>
      </c>
      <c r="F37" s="948">
        <v>0.1</v>
      </c>
    </row>
    <row r="38" spans="1:6" ht="14.5" thickBot="1">
      <c r="A38" s="767" t="s">
        <v>441</v>
      </c>
      <c r="B38" s="771" t="s">
        <v>281</v>
      </c>
      <c r="C38" s="947">
        <v>0.1</v>
      </c>
      <c r="D38" s="947">
        <v>9.6000000000000002E-2</v>
      </c>
      <c r="E38" s="947">
        <v>9.6000000000000002E-2</v>
      </c>
      <c r="F38" s="959"/>
    </row>
    <row r="39" spans="1:6" ht="14.5" thickBot="1">
      <c r="A39" s="767" t="s">
        <v>441</v>
      </c>
      <c r="B39" s="771" t="s">
        <v>291</v>
      </c>
      <c r="C39" s="947">
        <v>0.1</v>
      </c>
      <c r="D39" s="947">
        <v>9.6000000000000002E-2</v>
      </c>
      <c r="E39" s="947">
        <v>9.6000000000000002E-2</v>
      </c>
      <c r="F39" s="959"/>
    </row>
    <row r="40" spans="1:6" ht="14.5" thickBot="1">
      <c r="A40" s="767" t="s">
        <v>441</v>
      </c>
      <c r="B40" s="771" t="s">
        <v>301</v>
      </c>
      <c r="C40" s="947">
        <v>9.6000000000000002E-2</v>
      </c>
      <c r="D40" s="947">
        <v>0.1</v>
      </c>
      <c r="E40" s="947">
        <v>9.9000000000000005E-2</v>
      </c>
      <c r="F40" s="959"/>
    </row>
    <row r="41" spans="1:6" ht="14.5" thickBot="1">
      <c r="A41" s="767" t="s">
        <v>441</v>
      </c>
      <c r="B41" s="771" t="s">
        <v>311</v>
      </c>
      <c r="C41" s="947">
        <v>9.6000000000000002E-2</v>
      </c>
      <c r="D41" s="947">
        <v>9.8000000000000004E-2</v>
      </c>
      <c r="E41" s="947">
        <v>9.8000000000000004E-2</v>
      </c>
      <c r="F41" s="959"/>
    </row>
    <row r="42" spans="1:6" ht="14.5" thickBot="1">
      <c r="A42" s="767" t="s">
        <v>441</v>
      </c>
      <c r="B42" s="771" t="s">
        <v>322</v>
      </c>
      <c r="C42" s="947">
        <v>0.1</v>
      </c>
      <c r="D42" s="947">
        <v>8.7999999999999995E-2</v>
      </c>
      <c r="E42" s="947">
        <v>0.1</v>
      </c>
      <c r="F42" s="959"/>
    </row>
    <row r="43" spans="1:6" ht="14.5" thickBot="1">
      <c r="A43" s="767" t="s">
        <v>441</v>
      </c>
      <c r="B43" s="771" t="s">
        <v>333</v>
      </c>
      <c r="C43" s="947">
        <v>9.8000000000000004E-2</v>
      </c>
      <c r="D43" s="947">
        <v>9.7000000000000003E-2</v>
      </c>
      <c r="E43" s="947">
        <v>9.6000000000000002E-2</v>
      </c>
      <c r="F43" s="959"/>
    </row>
    <row r="44" spans="1:6" ht="14.5" thickBot="1">
      <c r="A44" s="767" t="s">
        <v>441</v>
      </c>
      <c r="B44" s="771" t="s">
        <v>343</v>
      </c>
      <c r="C44" s="947">
        <v>8.5999999999999993E-2</v>
      </c>
      <c r="D44" s="947">
        <v>7.9000000000000001E-2</v>
      </c>
      <c r="E44" s="947">
        <v>7.0999999999999994E-2</v>
      </c>
      <c r="F44" s="959"/>
    </row>
    <row r="45" spans="1:6" ht="14.5" thickBot="1">
      <c r="A45" s="767" t="s">
        <v>441</v>
      </c>
      <c r="B45" s="771" t="s">
        <v>353</v>
      </c>
      <c r="C45" s="947">
        <v>9.8000000000000004E-2</v>
      </c>
      <c r="D45" s="947">
        <v>9.6000000000000002E-2</v>
      </c>
      <c r="E45" s="947">
        <v>9.6000000000000002E-2</v>
      </c>
      <c r="F45" s="959"/>
    </row>
    <row r="46" spans="1:6" ht="14.5" thickBot="1">
      <c r="A46" s="767" t="s">
        <v>441</v>
      </c>
      <c r="B46" s="771" t="s">
        <v>363</v>
      </c>
      <c r="C46" s="947">
        <v>8.5999999999999993E-2</v>
      </c>
      <c r="D46" s="947">
        <v>9.8000000000000004E-2</v>
      </c>
      <c r="E46" s="947">
        <v>8.7999999999999995E-2</v>
      </c>
      <c r="F46" s="959"/>
    </row>
    <row r="47" spans="1:6" ht="14.5" thickBot="1">
      <c r="A47" s="767" t="s">
        <v>441</v>
      </c>
      <c r="B47" s="771" t="s">
        <v>373</v>
      </c>
      <c r="C47" s="947">
        <v>9.6000000000000002E-2</v>
      </c>
      <c r="D47" s="960"/>
      <c r="E47" s="947">
        <v>6.9000000000000006E-2</v>
      </c>
      <c r="F47" s="959"/>
    </row>
    <row r="48" spans="1:6" ht="14.5" thickBot="1">
      <c r="A48" s="777" t="s">
        <v>441</v>
      </c>
      <c r="B48" s="772" t="s">
        <v>382</v>
      </c>
      <c r="C48" s="949">
        <v>9.8000000000000004E-2</v>
      </c>
      <c r="D48" s="957"/>
      <c r="E48" s="949">
        <v>9.5000000000000001E-2</v>
      </c>
      <c r="F48" s="958"/>
    </row>
    <row r="49" spans="1:6" ht="14.5" thickBot="1">
      <c r="A49" s="767" t="s">
        <v>137</v>
      </c>
      <c r="B49" s="768" t="s">
        <v>671</v>
      </c>
      <c r="C49" s="945">
        <v>9.7000000000000003E-2</v>
      </c>
      <c r="D49" s="945">
        <v>9.5000000000000001E-2</v>
      </c>
      <c r="E49" s="945">
        <v>9.7000000000000003E-2</v>
      </c>
      <c r="F49" s="946">
        <v>0.1</v>
      </c>
    </row>
    <row r="50" spans="1:6" ht="14.5" thickBot="1">
      <c r="A50" s="767" t="s">
        <v>137</v>
      </c>
      <c r="B50" s="761" t="s">
        <v>189</v>
      </c>
      <c r="C50" s="947">
        <v>7.4999999999999997E-2</v>
      </c>
      <c r="D50" s="947">
        <v>9.5000000000000001E-2</v>
      </c>
      <c r="E50" s="947">
        <v>0.1</v>
      </c>
      <c r="F50" s="948">
        <v>0.1</v>
      </c>
    </row>
    <row r="51" spans="1:6" ht="14.5" thickBot="1">
      <c r="A51" s="767" t="s">
        <v>137</v>
      </c>
      <c r="B51" s="761" t="s">
        <v>202</v>
      </c>
      <c r="C51" s="947">
        <v>9.8000000000000004E-2</v>
      </c>
      <c r="D51" s="947">
        <v>8.8999999999999996E-2</v>
      </c>
      <c r="E51" s="947">
        <v>0.1</v>
      </c>
      <c r="F51" s="948">
        <v>0.1</v>
      </c>
    </row>
    <row r="52" spans="1:6" ht="14.5" thickBot="1">
      <c r="A52" s="767" t="s">
        <v>137</v>
      </c>
      <c r="B52" s="761" t="s">
        <v>215</v>
      </c>
      <c r="C52" s="947">
        <v>9.8000000000000004E-2</v>
      </c>
      <c r="D52" s="947">
        <v>9.7000000000000003E-2</v>
      </c>
      <c r="E52" s="947">
        <v>8.1000000000000003E-2</v>
      </c>
      <c r="F52" s="948">
        <v>0.1</v>
      </c>
    </row>
    <row r="53" spans="1:6" ht="14.5" thickBot="1">
      <c r="A53" s="767" t="s">
        <v>137</v>
      </c>
      <c r="B53" s="761" t="s">
        <v>227</v>
      </c>
      <c r="C53" s="947">
        <v>9.7000000000000003E-2</v>
      </c>
      <c r="D53" s="947">
        <v>7.5999999999999998E-2</v>
      </c>
      <c r="E53" s="947">
        <v>7.0999999999999994E-2</v>
      </c>
      <c r="F53" s="948">
        <v>0.1</v>
      </c>
    </row>
    <row r="54" spans="1:6" ht="14.5" thickBot="1">
      <c r="A54" s="767" t="s">
        <v>137</v>
      </c>
      <c r="B54" s="761" t="s">
        <v>238</v>
      </c>
      <c r="C54" s="947">
        <v>7.5999999999999998E-2</v>
      </c>
      <c r="D54" s="947">
        <v>0.1</v>
      </c>
      <c r="E54" s="947">
        <v>9.9000000000000005E-2</v>
      </c>
      <c r="F54" s="948">
        <v>0.1</v>
      </c>
    </row>
    <row r="55" spans="1:6" ht="14.5" thickBot="1">
      <c r="A55" s="767" t="s">
        <v>137</v>
      </c>
      <c r="B55" s="761" t="s">
        <v>249</v>
      </c>
      <c r="C55" s="947">
        <v>0.1</v>
      </c>
      <c r="D55" s="947">
        <v>0.1</v>
      </c>
      <c r="E55" s="947">
        <v>9.6000000000000002E-2</v>
      </c>
      <c r="F55" s="948">
        <v>0.1</v>
      </c>
    </row>
    <row r="56" spans="1:6" ht="14.5" thickBot="1">
      <c r="A56" s="767" t="s">
        <v>137</v>
      </c>
      <c r="B56" s="761" t="s">
        <v>260</v>
      </c>
      <c r="C56" s="947">
        <v>0.1</v>
      </c>
      <c r="D56" s="947">
        <v>9.6000000000000002E-2</v>
      </c>
      <c r="E56" s="947">
        <v>5.1999999999999998E-2</v>
      </c>
      <c r="F56" s="948">
        <v>0.1</v>
      </c>
    </row>
    <row r="57" spans="1:6" ht="14.5" thickBot="1">
      <c r="A57" s="767" t="s">
        <v>137</v>
      </c>
      <c r="B57" s="761" t="s">
        <v>272</v>
      </c>
      <c r="C57" s="947">
        <v>9.7000000000000003E-2</v>
      </c>
      <c r="D57" s="947">
        <v>9.6000000000000002E-2</v>
      </c>
      <c r="E57" s="947">
        <v>9.6000000000000002E-2</v>
      </c>
      <c r="F57" s="948">
        <v>0.1</v>
      </c>
    </row>
    <row r="58" spans="1:6" ht="14.5" thickBot="1">
      <c r="A58" s="767" t="s">
        <v>137</v>
      </c>
      <c r="B58" s="761" t="s">
        <v>282</v>
      </c>
      <c r="C58" s="947">
        <v>9.6000000000000002E-2</v>
      </c>
      <c r="D58" s="947">
        <v>9.9000000000000005E-2</v>
      </c>
      <c r="E58" s="947">
        <v>9.6000000000000002E-2</v>
      </c>
      <c r="F58" s="948">
        <v>0.1</v>
      </c>
    </row>
    <row r="59" spans="1:6" ht="14.5" thickBot="1">
      <c r="A59" s="767" t="s">
        <v>137</v>
      </c>
      <c r="B59" s="761" t="s">
        <v>292</v>
      </c>
      <c r="C59" s="947">
        <v>7.1999999999999995E-2</v>
      </c>
      <c r="D59" s="947">
        <v>9.6000000000000002E-2</v>
      </c>
      <c r="E59" s="947">
        <v>7.0999999999999994E-2</v>
      </c>
      <c r="F59" s="948">
        <v>0.1</v>
      </c>
    </row>
    <row r="60" spans="1:6" ht="14.5" thickBot="1">
      <c r="A60" s="767" t="s">
        <v>137</v>
      </c>
      <c r="B60" s="761" t="s">
        <v>302</v>
      </c>
      <c r="C60" s="947">
        <v>9.6000000000000002E-2</v>
      </c>
      <c r="D60" s="947">
        <v>8.8999999999999996E-2</v>
      </c>
      <c r="E60" s="947">
        <v>9.6000000000000002E-2</v>
      </c>
      <c r="F60" s="948">
        <v>0.1</v>
      </c>
    </row>
    <row r="61" spans="1:6" ht="14.5" thickBot="1">
      <c r="A61" s="767" t="s">
        <v>137</v>
      </c>
      <c r="B61" s="761" t="s">
        <v>312</v>
      </c>
      <c r="C61" s="947">
        <v>8.8999999999999996E-2</v>
      </c>
      <c r="D61" s="947">
        <v>9.8000000000000004E-2</v>
      </c>
      <c r="E61" s="947">
        <v>8.7999999999999995E-2</v>
      </c>
      <c r="F61" s="959"/>
    </row>
    <row r="62" spans="1:6" ht="14.5" thickBot="1">
      <c r="A62" s="767" t="s">
        <v>137</v>
      </c>
      <c r="B62" s="761" t="s">
        <v>323</v>
      </c>
      <c r="C62" s="947">
        <v>9.8000000000000004E-2</v>
      </c>
      <c r="D62" s="947">
        <v>9.2999999999999999E-2</v>
      </c>
      <c r="E62" s="947">
        <v>9.7000000000000003E-2</v>
      </c>
      <c r="F62" s="959"/>
    </row>
    <row r="63" spans="1:6" ht="14.5" thickBot="1">
      <c r="A63" s="767" t="s">
        <v>137</v>
      </c>
      <c r="B63" s="761" t="s">
        <v>334</v>
      </c>
      <c r="C63" s="947">
        <v>9.6000000000000002E-2</v>
      </c>
      <c r="D63" s="947">
        <v>9.8000000000000004E-2</v>
      </c>
      <c r="E63" s="947">
        <v>0.09</v>
      </c>
      <c r="F63" s="959"/>
    </row>
    <row r="64" spans="1:6" ht="14.5" thickBot="1">
      <c r="A64" s="767" t="s">
        <v>137</v>
      </c>
      <c r="B64" s="761" t="s">
        <v>344</v>
      </c>
      <c r="C64" s="947">
        <v>9.9000000000000005E-2</v>
      </c>
      <c r="D64" s="947">
        <v>9.7000000000000003E-2</v>
      </c>
      <c r="E64" s="947">
        <v>9.9000000000000005E-2</v>
      </c>
      <c r="F64" s="959"/>
    </row>
    <row r="65" spans="1:6" ht="14.5" thickBot="1">
      <c r="A65" s="767" t="s">
        <v>137</v>
      </c>
      <c r="B65" s="761" t="s">
        <v>354</v>
      </c>
      <c r="C65" s="947">
        <v>9.8000000000000004E-2</v>
      </c>
      <c r="D65" s="947">
        <v>9.6000000000000002E-2</v>
      </c>
      <c r="E65" s="947">
        <v>9.6000000000000002E-2</v>
      </c>
      <c r="F65" s="959"/>
    </row>
    <row r="66" spans="1:6" ht="14.5" thickBot="1">
      <c r="A66" s="767" t="s">
        <v>137</v>
      </c>
      <c r="B66" s="761" t="s">
        <v>364</v>
      </c>
      <c r="C66" s="947">
        <v>9.6000000000000002E-2</v>
      </c>
      <c r="D66" s="947">
        <v>9.1999999999999998E-2</v>
      </c>
      <c r="E66" s="947">
        <v>9.6000000000000002E-2</v>
      </c>
      <c r="F66" s="959"/>
    </row>
    <row r="67" spans="1:6" ht="14.5" thickBot="1">
      <c r="A67" s="767" t="s">
        <v>137</v>
      </c>
      <c r="B67" s="761" t="s">
        <v>374</v>
      </c>
      <c r="C67" s="947">
        <v>9.4E-2</v>
      </c>
      <c r="D67" s="947">
        <v>0.1</v>
      </c>
      <c r="E67" s="947">
        <v>8.7999999999999995E-2</v>
      </c>
      <c r="F67" s="959"/>
    </row>
    <row r="68" spans="1:6" ht="14.5" thickBot="1">
      <c r="A68" s="767" t="s">
        <v>137</v>
      </c>
      <c r="B68" s="761" t="s">
        <v>383</v>
      </c>
      <c r="C68" s="947">
        <v>0.1</v>
      </c>
      <c r="D68" s="947">
        <v>8.7999999999999995E-2</v>
      </c>
      <c r="E68" s="947">
        <v>9.7000000000000003E-2</v>
      </c>
      <c r="F68" s="959"/>
    </row>
    <row r="69" spans="1:6" ht="14.5" thickBot="1">
      <c r="A69" s="767" t="s">
        <v>137</v>
      </c>
      <c r="B69" s="761" t="s">
        <v>392</v>
      </c>
      <c r="C69" s="947">
        <v>6.4000000000000001E-2</v>
      </c>
      <c r="D69" s="947">
        <v>0.1</v>
      </c>
      <c r="E69" s="947">
        <v>0.1</v>
      </c>
      <c r="F69" s="959"/>
    </row>
    <row r="70" spans="1:6" ht="14.5" thickBot="1">
      <c r="A70" s="767" t="s">
        <v>137</v>
      </c>
      <c r="B70" s="761" t="s">
        <v>400</v>
      </c>
      <c r="C70" s="947">
        <v>9.0999999999999998E-2</v>
      </c>
      <c r="D70" s="960"/>
      <c r="E70" s="960"/>
      <c r="F70" s="959"/>
    </row>
    <row r="71" spans="1:6" ht="14.5" thickBot="1">
      <c r="A71" s="767" t="s">
        <v>137</v>
      </c>
      <c r="B71" s="761" t="s">
        <v>407</v>
      </c>
      <c r="C71" s="947">
        <v>0.1</v>
      </c>
      <c r="D71" s="960"/>
      <c r="E71" s="960"/>
      <c r="F71" s="959"/>
    </row>
    <row r="72" spans="1:6" ht="26.5" thickBot="1">
      <c r="A72" s="767" t="s">
        <v>137</v>
      </c>
      <c r="B72" s="761" t="s">
        <v>672</v>
      </c>
      <c r="C72" s="960"/>
      <c r="D72" s="960"/>
      <c r="E72" s="960"/>
      <c r="F72" s="948">
        <v>0.05</v>
      </c>
    </row>
    <row r="73" spans="1:6" ht="26.5" thickBot="1">
      <c r="A73" s="767" t="s">
        <v>137</v>
      </c>
      <c r="B73" s="761" t="s">
        <v>673</v>
      </c>
      <c r="C73" s="960"/>
      <c r="D73" s="960"/>
      <c r="E73" s="960"/>
      <c r="F73" s="948">
        <v>0.05</v>
      </c>
    </row>
    <row r="74" spans="1:6" ht="26.5" thickBot="1">
      <c r="A74" s="767" t="s">
        <v>137</v>
      </c>
      <c r="B74" s="761" t="s">
        <v>674</v>
      </c>
      <c r="C74" s="960"/>
      <c r="D74" s="960"/>
      <c r="E74" s="960"/>
      <c r="F74" s="948">
        <v>0.05</v>
      </c>
    </row>
    <row r="75" spans="1:6" ht="26.5" thickBot="1">
      <c r="A75" s="777" t="s">
        <v>137</v>
      </c>
      <c r="B75" s="773" t="s">
        <v>675</v>
      </c>
      <c r="C75" s="957"/>
      <c r="D75" s="957"/>
      <c r="E75" s="957"/>
      <c r="F75" s="950">
        <v>0.05</v>
      </c>
    </row>
    <row r="76" spans="1:6" ht="14.5" thickBot="1">
      <c r="A76" s="767" t="s">
        <v>522</v>
      </c>
      <c r="B76" s="768" t="s">
        <v>676</v>
      </c>
      <c r="C76" s="945">
        <v>0.1</v>
      </c>
      <c r="D76" s="945">
        <v>0.1</v>
      </c>
      <c r="E76" s="945">
        <v>0.1</v>
      </c>
      <c r="F76" s="946">
        <v>0.1</v>
      </c>
    </row>
    <row r="77" spans="1:6" ht="14.5" thickBot="1">
      <c r="A77" s="767" t="s">
        <v>522</v>
      </c>
      <c r="B77" s="761" t="s">
        <v>190</v>
      </c>
      <c r="C77" s="947">
        <v>8.7999999999999995E-2</v>
      </c>
      <c r="D77" s="947">
        <v>8.6999999999999994E-2</v>
      </c>
      <c r="E77" s="947">
        <v>7.9000000000000001E-2</v>
      </c>
      <c r="F77" s="948">
        <v>0.1</v>
      </c>
    </row>
    <row r="78" spans="1:6" ht="14.5" thickBot="1">
      <c r="A78" s="767" t="s">
        <v>522</v>
      </c>
      <c r="B78" s="761" t="s">
        <v>203</v>
      </c>
      <c r="C78" s="947">
        <v>8.6999999999999994E-2</v>
      </c>
      <c r="D78" s="947">
        <v>8.4000000000000005E-2</v>
      </c>
      <c r="E78" s="947">
        <v>9.6000000000000002E-2</v>
      </c>
      <c r="F78" s="948">
        <v>0.1</v>
      </c>
    </row>
    <row r="79" spans="1:6" ht="14.5" thickBot="1">
      <c r="A79" s="767" t="s">
        <v>522</v>
      </c>
      <c r="B79" s="761" t="s">
        <v>216</v>
      </c>
      <c r="C79" s="947">
        <v>9.8000000000000004E-2</v>
      </c>
      <c r="D79" s="947">
        <v>9.8000000000000004E-2</v>
      </c>
      <c r="E79" s="947">
        <v>9.0999999999999998E-2</v>
      </c>
      <c r="F79" s="948">
        <v>0.1</v>
      </c>
    </row>
    <row r="80" spans="1:6" ht="14.5" thickBot="1">
      <c r="A80" s="767" t="s">
        <v>522</v>
      </c>
      <c r="B80" s="761" t="s">
        <v>228</v>
      </c>
      <c r="C80" s="947">
        <v>9.6000000000000002E-2</v>
      </c>
      <c r="D80" s="947">
        <v>9.6000000000000002E-2</v>
      </c>
      <c r="E80" s="947">
        <v>0.1</v>
      </c>
      <c r="F80" s="948">
        <v>0.1</v>
      </c>
    </row>
    <row r="81" spans="1:6" ht="14.5" thickBot="1">
      <c r="A81" s="767" t="s">
        <v>522</v>
      </c>
      <c r="B81" s="761" t="s">
        <v>239</v>
      </c>
      <c r="C81" s="947">
        <v>9.9000000000000005E-2</v>
      </c>
      <c r="D81" s="947">
        <v>9.9000000000000005E-2</v>
      </c>
      <c r="E81" s="947">
        <v>9.8000000000000004E-2</v>
      </c>
      <c r="F81" s="948">
        <v>0.1</v>
      </c>
    </row>
    <row r="82" spans="1:6" ht="14.5" thickBot="1">
      <c r="A82" s="767" t="s">
        <v>522</v>
      </c>
      <c r="B82" s="761" t="s">
        <v>250</v>
      </c>
      <c r="C82" s="947">
        <v>9.9000000000000005E-2</v>
      </c>
      <c r="D82" s="947">
        <v>9.9000000000000005E-2</v>
      </c>
      <c r="E82" s="947">
        <v>9.7000000000000003E-2</v>
      </c>
      <c r="F82" s="948">
        <v>0.1</v>
      </c>
    </row>
    <row r="83" spans="1:6" ht="14.5" thickBot="1">
      <c r="A83" s="767" t="s">
        <v>522</v>
      </c>
      <c r="B83" s="761" t="s">
        <v>261</v>
      </c>
      <c r="C83" s="947">
        <v>9.8000000000000004E-2</v>
      </c>
      <c r="D83" s="947">
        <v>9.8000000000000004E-2</v>
      </c>
      <c r="E83" s="947">
        <v>9.8000000000000004E-2</v>
      </c>
      <c r="F83" s="948">
        <v>0.1</v>
      </c>
    </row>
    <row r="84" spans="1:6" ht="14.5" thickBot="1">
      <c r="A84" s="767" t="s">
        <v>522</v>
      </c>
      <c r="B84" s="761" t="s">
        <v>273</v>
      </c>
      <c r="C84" s="947">
        <v>9.9000000000000005E-2</v>
      </c>
      <c r="D84" s="947">
        <v>9.9000000000000005E-2</v>
      </c>
      <c r="E84" s="947">
        <v>9.9000000000000005E-2</v>
      </c>
      <c r="F84" s="948">
        <v>0.1</v>
      </c>
    </row>
    <row r="85" spans="1:6" ht="14.5" thickBot="1">
      <c r="A85" s="767" t="s">
        <v>522</v>
      </c>
      <c r="B85" s="761" t="s">
        <v>283</v>
      </c>
      <c r="C85" s="947">
        <v>9.9000000000000005E-2</v>
      </c>
      <c r="D85" s="947">
        <v>9.9000000000000005E-2</v>
      </c>
      <c r="E85" s="947">
        <v>9.9000000000000005E-2</v>
      </c>
      <c r="F85" s="948">
        <v>0.1</v>
      </c>
    </row>
    <row r="86" spans="1:6" ht="14.5" thickBot="1">
      <c r="A86" s="767" t="s">
        <v>522</v>
      </c>
      <c r="B86" s="761" t="s">
        <v>293</v>
      </c>
      <c r="C86" s="947">
        <v>0.1</v>
      </c>
      <c r="D86" s="947">
        <v>0.1</v>
      </c>
      <c r="E86" s="947">
        <v>7.6999999999999999E-2</v>
      </c>
      <c r="F86" s="948">
        <v>0.1</v>
      </c>
    </row>
    <row r="87" spans="1:6" ht="14.5" thickBot="1">
      <c r="A87" s="767" t="s">
        <v>522</v>
      </c>
      <c r="B87" s="761" t="s">
        <v>303</v>
      </c>
      <c r="C87" s="947">
        <v>0.1</v>
      </c>
      <c r="D87" s="947">
        <v>0.1</v>
      </c>
      <c r="E87" s="947">
        <v>9.8000000000000004E-2</v>
      </c>
      <c r="F87" s="959"/>
    </row>
    <row r="88" spans="1:6" ht="14.5" thickBot="1">
      <c r="A88" s="767" t="s">
        <v>522</v>
      </c>
      <c r="B88" s="761" t="s">
        <v>313</v>
      </c>
      <c r="C88" s="947">
        <v>9.1999999999999998E-2</v>
      </c>
      <c r="D88" s="947">
        <v>8.5000000000000006E-2</v>
      </c>
      <c r="E88" s="947">
        <v>9.6000000000000002E-2</v>
      </c>
      <c r="F88" s="959"/>
    </row>
    <row r="89" spans="1:6" ht="14.5" thickBot="1">
      <c r="A89" s="767" t="s">
        <v>522</v>
      </c>
      <c r="B89" s="761" t="s">
        <v>324</v>
      </c>
      <c r="C89" s="947">
        <v>0.1</v>
      </c>
      <c r="D89" s="947">
        <v>0.1</v>
      </c>
      <c r="E89" s="947">
        <v>9.7000000000000003E-2</v>
      </c>
      <c r="F89" s="959"/>
    </row>
    <row r="90" spans="1:6" ht="14.5" thickBot="1">
      <c r="A90" s="767" t="s">
        <v>522</v>
      </c>
      <c r="B90" s="761" t="s">
        <v>335</v>
      </c>
      <c r="C90" s="947">
        <v>9.8000000000000004E-2</v>
      </c>
      <c r="D90" s="947">
        <v>9.8000000000000004E-2</v>
      </c>
      <c r="E90" s="947">
        <v>8.7999999999999995E-2</v>
      </c>
      <c r="F90" s="959"/>
    </row>
    <row r="91" spans="1:6" ht="14.5" thickBot="1">
      <c r="A91" s="767" t="s">
        <v>522</v>
      </c>
      <c r="B91" s="761" t="s">
        <v>345</v>
      </c>
      <c r="C91" s="947">
        <v>9.9000000000000005E-2</v>
      </c>
      <c r="D91" s="947">
        <v>9.9000000000000005E-2</v>
      </c>
      <c r="E91" s="947">
        <v>9.0999999999999998E-2</v>
      </c>
      <c r="F91" s="959"/>
    </row>
    <row r="92" spans="1:6" ht="14.5" thickBot="1">
      <c r="A92" s="767" t="s">
        <v>522</v>
      </c>
      <c r="B92" s="761" t="s">
        <v>355</v>
      </c>
      <c r="C92" s="947">
        <v>9.6000000000000002E-2</v>
      </c>
      <c r="D92" s="947">
        <v>9.6000000000000002E-2</v>
      </c>
      <c r="E92" s="947">
        <v>7.2999999999999995E-2</v>
      </c>
      <c r="F92" s="959"/>
    </row>
    <row r="93" spans="1:6" ht="14.5" thickBot="1">
      <c r="A93" s="767" t="s">
        <v>522</v>
      </c>
      <c r="B93" s="761" t="s">
        <v>365</v>
      </c>
      <c r="C93" s="947">
        <v>9.6000000000000002E-2</v>
      </c>
      <c r="D93" s="947">
        <v>9.6000000000000002E-2</v>
      </c>
      <c r="E93" s="947">
        <v>9.9000000000000005E-2</v>
      </c>
      <c r="F93" s="959"/>
    </row>
    <row r="94" spans="1:6" ht="14.5" thickBot="1">
      <c r="A94" s="767" t="s">
        <v>522</v>
      </c>
      <c r="B94" s="761" t="s">
        <v>375</v>
      </c>
      <c r="C94" s="947">
        <v>7.5999999999999998E-2</v>
      </c>
      <c r="D94" s="947">
        <v>7.3999999999999996E-2</v>
      </c>
      <c r="E94" s="947">
        <v>9.7000000000000003E-2</v>
      </c>
      <c r="F94" s="959"/>
    </row>
    <row r="95" spans="1:6" ht="14.5" thickBot="1">
      <c r="A95" s="767" t="s">
        <v>522</v>
      </c>
      <c r="B95" s="761" t="s">
        <v>384</v>
      </c>
      <c r="C95" s="947">
        <v>9.9000000000000005E-2</v>
      </c>
      <c r="D95" s="947">
        <v>9.4E-2</v>
      </c>
      <c r="E95" s="947">
        <v>9.6000000000000002E-2</v>
      </c>
      <c r="F95" s="959"/>
    </row>
    <row r="96" spans="1:6" ht="14.5" thickBot="1">
      <c r="A96" s="767" t="s">
        <v>522</v>
      </c>
      <c r="B96" s="761" t="s">
        <v>393</v>
      </c>
      <c r="C96" s="947">
        <v>9.9000000000000005E-2</v>
      </c>
      <c r="D96" s="947">
        <v>9.9000000000000005E-2</v>
      </c>
      <c r="E96" s="947">
        <v>9.9000000000000005E-2</v>
      </c>
      <c r="F96" s="959"/>
    </row>
    <row r="97" spans="1:6" ht="14.5" thickBot="1">
      <c r="A97" s="767" t="s">
        <v>522</v>
      </c>
      <c r="B97" s="761" t="s">
        <v>401</v>
      </c>
      <c r="C97" s="947">
        <v>9.8000000000000004E-2</v>
      </c>
      <c r="D97" s="947">
        <v>9.8000000000000004E-2</v>
      </c>
      <c r="E97" s="947">
        <v>9.7000000000000003E-2</v>
      </c>
      <c r="F97" s="959"/>
    </row>
    <row r="98" spans="1:6" ht="14.5" thickBot="1">
      <c r="A98" s="767" t="s">
        <v>522</v>
      </c>
      <c r="B98" s="761" t="s">
        <v>408</v>
      </c>
      <c r="C98" s="947">
        <v>0.1</v>
      </c>
      <c r="D98" s="947">
        <v>0.1</v>
      </c>
      <c r="E98" s="947">
        <v>9.7000000000000003E-2</v>
      </c>
      <c r="F98" s="959"/>
    </row>
    <row r="99" spans="1:6" ht="14.5" thickBot="1">
      <c r="A99" s="767" t="s">
        <v>522</v>
      </c>
      <c r="B99" s="761" t="s">
        <v>415</v>
      </c>
      <c r="C99" s="947">
        <v>0.1</v>
      </c>
      <c r="D99" s="947">
        <v>0.1</v>
      </c>
      <c r="E99" s="960"/>
      <c r="F99" s="959"/>
    </row>
    <row r="100" spans="1:6" ht="14.5" thickBot="1">
      <c r="A100" s="767" t="s">
        <v>522</v>
      </c>
      <c r="B100" s="761" t="s">
        <v>422</v>
      </c>
      <c r="C100" s="947">
        <v>0.09</v>
      </c>
      <c r="D100" s="947">
        <v>8.8999999999999996E-2</v>
      </c>
      <c r="E100" s="960"/>
      <c r="F100" s="959"/>
    </row>
    <row r="101" spans="1:6" ht="14.5" thickBot="1">
      <c r="A101" s="767" t="s">
        <v>522</v>
      </c>
      <c r="B101" s="761" t="s">
        <v>429</v>
      </c>
      <c r="C101" s="947">
        <v>9.8000000000000004E-2</v>
      </c>
      <c r="D101" s="947">
        <v>9.7000000000000003E-2</v>
      </c>
      <c r="E101" s="960"/>
      <c r="F101" s="959"/>
    </row>
    <row r="102" spans="1:6" ht="26.5" thickBot="1">
      <c r="A102" s="767" t="s">
        <v>522</v>
      </c>
      <c r="B102" s="761" t="s">
        <v>677</v>
      </c>
      <c r="C102" s="960"/>
      <c r="D102" s="960"/>
      <c r="E102" s="960"/>
      <c r="F102" s="948">
        <v>0.05</v>
      </c>
    </row>
    <row r="103" spans="1:6" ht="26.5" thickBot="1">
      <c r="A103" s="767" t="s">
        <v>522</v>
      </c>
      <c r="B103" s="761" t="s">
        <v>678</v>
      </c>
      <c r="C103" s="960"/>
      <c r="D103" s="960"/>
      <c r="E103" s="960"/>
      <c r="F103" s="948">
        <v>0.05</v>
      </c>
    </row>
    <row r="104" spans="1:6" ht="14.5" thickBot="1">
      <c r="A104" s="767" t="s">
        <v>522</v>
      </c>
      <c r="B104" s="761" t="s">
        <v>679</v>
      </c>
      <c r="C104" s="960"/>
      <c r="D104" s="960"/>
      <c r="E104" s="960"/>
      <c r="F104" s="948">
        <v>0.05</v>
      </c>
    </row>
    <row r="105" spans="1:6" ht="26.5" thickBot="1">
      <c r="A105" s="767" t="s">
        <v>522</v>
      </c>
      <c r="B105" s="761" t="s">
        <v>680</v>
      </c>
      <c r="C105" s="960"/>
      <c r="D105" s="960"/>
      <c r="E105" s="960"/>
      <c r="F105" s="948">
        <v>0.05</v>
      </c>
    </row>
    <row r="106" spans="1:6" ht="26.5" thickBot="1">
      <c r="A106" s="767" t="s">
        <v>522</v>
      </c>
      <c r="B106" s="761" t="s">
        <v>681</v>
      </c>
      <c r="C106" s="960"/>
      <c r="D106" s="960"/>
      <c r="E106" s="960"/>
      <c r="F106" s="948">
        <v>0.05</v>
      </c>
    </row>
    <row r="107" spans="1:6" ht="26.5" thickBot="1">
      <c r="A107" s="767" t="s">
        <v>522</v>
      </c>
      <c r="B107" s="761" t="s">
        <v>682</v>
      </c>
      <c r="C107" s="960"/>
      <c r="D107" s="960"/>
      <c r="E107" s="960"/>
      <c r="F107" s="948">
        <v>0.05</v>
      </c>
    </row>
    <row r="108" spans="1:6" ht="26.5" thickBot="1">
      <c r="A108" s="767" t="s">
        <v>522</v>
      </c>
      <c r="B108" s="761" t="s">
        <v>683</v>
      </c>
      <c r="C108" s="960"/>
      <c r="D108" s="960"/>
      <c r="E108" s="960"/>
      <c r="F108" s="948">
        <v>0.05</v>
      </c>
    </row>
    <row r="109" spans="1:6" ht="26.5" thickBot="1">
      <c r="A109" s="777" t="s">
        <v>522</v>
      </c>
      <c r="B109" s="773" t="s">
        <v>684</v>
      </c>
      <c r="C109" s="957"/>
      <c r="D109" s="957"/>
      <c r="E109" s="957"/>
      <c r="F109" s="950">
        <v>0.05</v>
      </c>
    </row>
    <row r="110" spans="1:6" ht="14.5" thickBot="1">
      <c r="A110" s="767" t="s">
        <v>56</v>
      </c>
      <c r="B110" s="768" t="s">
        <v>685</v>
      </c>
      <c r="C110" s="945">
        <v>0.129</v>
      </c>
      <c r="D110" s="945">
        <v>0.129</v>
      </c>
      <c r="E110" s="945">
        <v>0.126</v>
      </c>
      <c r="F110" s="946">
        <v>0.13</v>
      </c>
    </row>
    <row r="111" spans="1:6" ht="14.5" thickBot="1">
      <c r="A111" s="767" t="s">
        <v>56</v>
      </c>
      <c r="B111" s="761" t="s">
        <v>191</v>
      </c>
      <c r="C111" s="947">
        <v>0.11</v>
      </c>
      <c r="D111" s="947">
        <v>0.11</v>
      </c>
      <c r="E111" s="947">
        <v>9.9000000000000005E-2</v>
      </c>
      <c r="F111" s="948">
        <v>0.128</v>
      </c>
    </row>
    <row r="112" spans="1:6" ht="14.5" thickBot="1">
      <c r="A112" s="767" t="s">
        <v>56</v>
      </c>
      <c r="B112" s="761" t="s">
        <v>204</v>
      </c>
      <c r="C112" s="947">
        <v>0.125</v>
      </c>
      <c r="D112" s="947">
        <v>0.125</v>
      </c>
      <c r="E112" s="947">
        <v>0.12</v>
      </c>
      <c r="F112" s="948">
        <v>0.125</v>
      </c>
    </row>
    <row r="113" spans="1:6" ht="14.5" thickBot="1">
      <c r="A113" s="767" t="s">
        <v>56</v>
      </c>
      <c r="B113" s="761" t="s">
        <v>217</v>
      </c>
      <c r="C113" s="947">
        <v>0.13</v>
      </c>
      <c r="D113" s="947">
        <v>0.13</v>
      </c>
      <c r="E113" s="947">
        <v>0.13</v>
      </c>
      <c r="F113" s="948">
        <v>0.13</v>
      </c>
    </row>
    <row r="114" spans="1:6" ht="14.5" thickBot="1">
      <c r="A114" s="767" t="s">
        <v>56</v>
      </c>
      <c r="B114" s="761" t="s">
        <v>229</v>
      </c>
      <c r="C114" s="947">
        <v>0.123</v>
      </c>
      <c r="D114" s="947">
        <v>0.123</v>
      </c>
      <c r="E114" s="947">
        <v>0.12</v>
      </c>
      <c r="F114" s="948">
        <v>0.13</v>
      </c>
    </row>
    <row r="115" spans="1:6" ht="14.5" thickBot="1">
      <c r="A115" s="767" t="s">
        <v>56</v>
      </c>
      <c r="B115" s="761" t="s">
        <v>240</v>
      </c>
      <c r="C115" s="947">
        <v>0.125</v>
      </c>
      <c r="D115" s="947">
        <v>0.125</v>
      </c>
      <c r="E115" s="947">
        <v>0.11700000000000001</v>
      </c>
      <c r="F115" s="948">
        <v>0.13</v>
      </c>
    </row>
    <row r="116" spans="1:6" ht="14.5" thickBot="1">
      <c r="A116" s="767" t="s">
        <v>56</v>
      </c>
      <c r="B116" s="761" t="s">
        <v>251</v>
      </c>
      <c r="C116" s="947">
        <v>0.11700000000000001</v>
      </c>
      <c r="D116" s="947">
        <v>0.11700000000000001</v>
      </c>
      <c r="E116" s="947">
        <v>8.7999999999999995E-2</v>
      </c>
      <c r="F116" s="948">
        <v>0.13</v>
      </c>
    </row>
    <row r="117" spans="1:6" ht="14.5" thickBot="1">
      <c r="A117" s="767" t="s">
        <v>56</v>
      </c>
      <c r="B117" s="761" t="s">
        <v>262</v>
      </c>
      <c r="C117" s="947">
        <v>0.13</v>
      </c>
      <c r="D117" s="947">
        <v>0.13</v>
      </c>
      <c r="E117" s="947">
        <v>0.129</v>
      </c>
      <c r="F117" s="948">
        <v>0.13</v>
      </c>
    </row>
    <row r="118" spans="1:6" ht="14.5" thickBot="1">
      <c r="A118" s="767" t="s">
        <v>56</v>
      </c>
      <c r="B118" s="761" t="s">
        <v>274</v>
      </c>
      <c r="C118" s="947">
        <v>0.123</v>
      </c>
      <c r="D118" s="947">
        <v>0.123</v>
      </c>
      <c r="E118" s="947">
        <v>0.11600000000000001</v>
      </c>
      <c r="F118" s="948">
        <v>0.13</v>
      </c>
    </row>
    <row r="119" spans="1:6" ht="14.5" thickBot="1">
      <c r="A119" s="767" t="s">
        <v>56</v>
      </c>
      <c r="B119" s="761" t="s">
        <v>284</v>
      </c>
      <c r="C119" s="947">
        <v>0.127</v>
      </c>
      <c r="D119" s="947">
        <v>0.127</v>
      </c>
      <c r="E119" s="947">
        <v>0.124</v>
      </c>
      <c r="F119" s="948">
        <v>0.13</v>
      </c>
    </row>
    <row r="120" spans="1:6" ht="14.5" thickBot="1">
      <c r="A120" s="767" t="s">
        <v>56</v>
      </c>
      <c r="B120" s="761" t="s">
        <v>294</v>
      </c>
      <c r="C120" s="947">
        <v>0.125</v>
      </c>
      <c r="D120" s="947">
        <v>0.125</v>
      </c>
      <c r="E120" s="947">
        <v>0.122</v>
      </c>
      <c r="F120" s="948">
        <v>0.13</v>
      </c>
    </row>
    <row r="121" spans="1:6" ht="14.5" thickBot="1">
      <c r="A121" s="767" t="s">
        <v>56</v>
      </c>
      <c r="B121" s="761" t="s">
        <v>304</v>
      </c>
      <c r="C121" s="947">
        <v>0.13</v>
      </c>
      <c r="D121" s="947">
        <v>0.13</v>
      </c>
      <c r="E121" s="947">
        <v>0.13</v>
      </c>
      <c r="F121" s="948">
        <v>0.13</v>
      </c>
    </row>
    <row r="122" spans="1:6" ht="14.5" thickBot="1">
      <c r="A122" s="767" t="s">
        <v>56</v>
      </c>
      <c r="B122" s="761" t="s">
        <v>314</v>
      </c>
      <c r="C122" s="947">
        <v>0.13</v>
      </c>
      <c r="D122" s="947">
        <v>0.13</v>
      </c>
      <c r="E122" s="947">
        <v>0.125</v>
      </c>
      <c r="F122" s="948">
        <v>0.13</v>
      </c>
    </row>
    <row r="123" spans="1:6" ht="14.5" thickBot="1">
      <c r="A123" s="767" t="s">
        <v>56</v>
      </c>
      <c r="B123" s="761" t="s">
        <v>325</v>
      </c>
      <c r="C123" s="947">
        <v>0.129</v>
      </c>
      <c r="D123" s="947">
        <v>0.129</v>
      </c>
      <c r="E123" s="947">
        <v>0.123</v>
      </c>
      <c r="F123" s="948">
        <v>0.13</v>
      </c>
    </row>
    <row r="124" spans="1:6" ht="14.5" thickBot="1">
      <c r="A124" s="767" t="s">
        <v>56</v>
      </c>
      <c r="B124" s="761" t="s">
        <v>336</v>
      </c>
      <c r="C124" s="947">
        <v>0.10199999999999999</v>
      </c>
      <c r="D124" s="947">
        <v>0.10100000000000001</v>
      </c>
      <c r="E124" s="947">
        <v>0.08</v>
      </c>
      <c r="F124" s="959"/>
    </row>
    <row r="125" spans="1:6" ht="14.5" thickBot="1">
      <c r="A125" s="767" t="s">
        <v>56</v>
      </c>
      <c r="B125" s="761" t="s">
        <v>346</v>
      </c>
      <c r="C125" s="947">
        <v>0.13</v>
      </c>
      <c r="D125" s="947">
        <v>0.13</v>
      </c>
      <c r="E125" s="947">
        <v>0.129</v>
      </c>
      <c r="F125" s="959"/>
    </row>
    <row r="126" spans="1:6" ht="14.5" thickBot="1">
      <c r="A126" s="767" t="s">
        <v>56</v>
      </c>
      <c r="B126" s="761" t="s">
        <v>356</v>
      </c>
      <c r="C126" s="947">
        <v>0.13</v>
      </c>
      <c r="D126" s="947">
        <v>0.13</v>
      </c>
      <c r="E126" s="947">
        <v>0.126</v>
      </c>
      <c r="F126" s="959"/>
    </row>
    <row r="127" spans="1:6" ht="14.5" thickBot="1">
      <c r="A127" s="767" t="s">
        <v>56</v>
      </c>
      <c r="B127" s="761" t="s">
        <v>366</v>
      </c>
      <c r="C127" s="947">
        <v>0.125</v>
      </c>
      <c r="D127" s="947">
        <v>0.125</v>
      </c>
      <c r="E127" s="947">
        <v>0.121</v>
      </c>
      <c r="F127" s="959"/>
    </row>
    <row r="128" spans="1:6" ht="14.5" thickBot="1">
      <c r="A128" s="767" t="s">
        <v>56</v>
      </c>
      <c r="B128" s="761" t="s">
        <v>376</v>
      </c>
      <c r="C128" s="947">
        <v>0.12</v>
      </c>
      <c r="D128" s="947">
        <v>0.12</v>
      </c>
      <c r="E128" s="947">
        <v>0.105</v>
      </c>
      <c r="F128" s="959"/>
    </row>
    <row r="129" spans="1:6" ht="14.5" thickBot="1">
      <c r="A129" s="767" t="s">
        <v>56</v>
      </c>
      <c r="B129" s="761" t="s">
        <v>385</v>
      </c>
      <c r="C129" s="947">
        <v>0.13</v>
      </c>
      <c r="D129" s="947">
        <v>0.13</v>
      </c>
      <c r="E129" s="947">
        <v>0.126</v>
      </c>
      <c r="F129" s="959"/>
    </row>
    <row r="130" spans="1:6" ht="14.5" thickBot="1">
      <c r="A130" s="767" t="s">
        <v>56</v>
      </c>
      <c r="B130" s="761" t="s">
        <v>394</v>
      </c>
      <c r="C130" s="947">
        <v>0.125</v>
      </c>
      <c r="D130" s="947">
        <v>0.125</v>
      </c>
      <c r="E130" s="947">
        <v>0.122</v>
      </c>
      <c r="F130" s="959"/>
    </row>
    <row r="131" spans="1:6" ht="14.5" thickBot="1">
      <c r="A131" s="767" t="s">
        <v>56</v>
      </c>
      <c r="B131" s="761" t="s">
        <v>402</v>
      </c>
      <c r="C131" s="947">
        <v>0.127</v>
      </c>
      <c r="D131" s="947">
        <v>0.126</v>
      </c>
      <c r="E131" s="947">
        <v>0.123</v>
      </c>
      <c r="F131" s="959"/>
    </row>
    <row r="132" spans="1:6" ht="14.5" thickBot="1">
      <c r="A132" s="767" t="s">
        <v>56</v>
      </c>
      <c r="B132" s="761" t="s">
        <v>409</v>
      </c>
      <c r="C132" s="947">
        <v>9.0999999999999998E-2</v>
      </c>
      <c r="D132" s="947">
        <v>0.121</v>
      </c>
      <c r="E132" s="947">
        <v>9.9000000000000005E-2</v>
      </c>
      <c r="F132" s="959"/>
    </row>
    <row r="133" spans="1:6" ht="14.5" thickBot="1">
      <c r="A133" s="767" t="s">
        <v>56</v>
      </c>
      <c r="B133" s="761" t="s">
        <v>416</v>
      </c>
      <c r="C133" s="947">
        <v>0.13</v>
      </c>
      <c r="D133" s="947">
        <v>0.13</v>
      </c>
      <c r="E133" s="947">
        <v>0.129</v>
      </c>
      <c r="F133" s="959"/>
    </row>
    <row r="134" spans="1:6" ht="14.5" thickBot="1">
      <c r="A134" s="767" t="s">
        <v>56</v>
      </c>
      <c r="B134" s="761" t="s">
        <v>686</v>
      </c>
      <c r="C134" s="947">
        <v>6.8000000000000005E-2</v>
      </c>
      <c r="D134" s="947">
        <v>6.5000000000000002E-2</v>
      </c>
      <c r="E134" s="947">
        <v>6.5000000000000002E-2</v>
      </c>
      <c r="F134" s="948">
        <v>0.13</v>
      </c>
    </row>
    <row r="135" spans="1:6" ht="14.5" thickBot="1">
      <c r="A135" s="767" t="s">
        <v>56</v>
      </c>
      <c r="B135" s="761" t="s">
        <v>430</v>
      </c>
      <c r="C135" s="947">
        <v>0.123</v>
      </c>
      <c r="D135" s="947">
        <v>0.123</v>
      </c>
      <c r="E135" s="947">
        <v>0.11</v>
      </c>
      <c r="F135" s="959"/>
    </row>
    <row r="136" spans="1:6" ht="14.5" thickBot="1">
      <c r="A136" s="767" t="s">
        <v>56</v>
      </c>
      <c r="B136" s="761" t="s">
        <v>437</v>
      </c>
      <c r="C136" s="947">
        <v>0.13</v>
      </c>
      <c r="D136" s="947">
        <v>0.13</v>
      </c>
      <c r="E136" s="947">
        <v>0.125</v>
      </c>
      <c r="F136" s="959"/>
    </row>
    <row r="137" spans="1:6" ht="14.5" thickBot="1">
      <c r="A137" s="767" t="s">
        <v>56</v>
      </c>
      <c r="B137" s="761" t="s">
        <v>444</v>
      </c>
      <c r="C137" s="947">
        <v>0.121</v>
      </c>
      <c r="D137" s="947">
        <v>0.122</v>
      </c>
      <c r="E137" s="947">
        <v>0.115</v>
      </c>
      <c r="F137" s="959"/>
    </row>
    <row r="138" spans="1:6" ht="14.5" thickBot="1">
      <c r="A138" s="767" t="s">
        <v>56</v>
      </c>
      <c r="B138" s="761" t="s">
        <v>687</v>
      </c>
      <c r="C138" s="947">
        <v>0.105</v>
      </c>
      <c r="D138" s="947">
        <v>0.125</v>
      </c>
      <c r="E138" s="947">
        <v>0.112</v>
      </c>
      <c r="F138" s="959"/>
    </row>
    <row r="139" spans="1:6" ht="14.5" thickBot="1">
      <c r="A139" s="767" t="s">
        <v>56</v>
      </c>
      <c r="B139" s="761" t="s">
        <v>688</v>
      </c>
      <c r="C139" s="947">
        <v>0.127</v>
      </c>
      <c r="D139" s="947">
        <v>0.127</v>
      </c>
      <c r="E139" s="947">
        <v>0.122</v>
      </c>
      <c r="F139" s="948">
        <v>0.13</v>
      </c>
    </row>
    <row r="140" spans="1:6" ht="14.5" thickBot="1">
      <c r="A140" s="767" t="s">
        <v>56</v>
      </c>
      <c r="B140" s="761" t="s">
        <v>689</v>
      </c>
      <c r="C140" s="947">
        <v>0.125</v>
      </c>
      <c r="D140" s="947">
        <v>0.125</v>
      </c>
      <c r="E140" s="947">
        <v>0.11899999999999999</v>
      </c>
      <c r="F140" s="948">
        <v>0.13</v>
      </c>
    </row>
    <row r="141" spans="1:6" ht="14.5" thickBot="1">
      <c r="A141" s="767" t="s">
        <v>56</v>
      </c>
      <c r="B141" s="761" t="s">
        <v>463</v>
      </c>
      <c r="C141" s="947">
        <v>0.125</v>
      </c>
      <c r="D141" s="947">
        <v>0.125</v>
      </c>
      <c r="E141" s="947">
        <v>0.11700000000000001</v>
      </c>
      <c r="F141" s="959"/>
    </row>
    <row r="142" spans="1:6" ht="14.5" thickBot="1">
      <c r="A142" s="767" t="s">
        <v>56</v>
      </c>
      <c r="B142" s="761" t="s">
        <v>468</v>
      </c>
      <c r="C142" s="947">
        <v>0.125</v>
      </c>
      <c r="D142" s="947">
        <v>0.125</v>
      </c>
      <c r="E142" s="947">
        <v>0.115</v>
      </c>
      <c r="F142" s="959"/>
    </row>
    <row r="143" spans="1:6" ht="14.5" thickBot="1">
      <c r="A143" s="767" t="s">
        <v>56</v>
      </c>
      <c r="B143" s="761" t="s">
        <v>473</v>
      </c>
      <c r="C143" s="947">
        <v>0.121</v>
      </c>
      <c r="D143" s="947">
        <v>0.121</v>
      </c>
      <c r="E143" s="947">
        <v>0.108</v>
      </c>
      <c r="F143" s="959"/>
    </row>
    <row r="144" spans="1:6" ht="14.5" thickBot="1">
      <c r="A144" s="767" t="s">
        <v>56</v>
      </c>
      <c r="B144" s="951" t="s">
        <v>690</v>
      </c>
      <c r="C144" s="952">
        <v>0.126</v>
      </c>
      <c r="D144" s="952">
        <v>0.126</v>
      </c>
      <c r="E144" s="952">
        <v>0.121</v>
      </c>
      <c r="F144" s="959"/>
    </row>
    <row r="145" spans="1:6" ht="14.5" thickBot="1">
      <c r="A145" s="777" t="s">
        <v>56</v>
      </c>
      <c r="B145" s="953" t="s">
        <v>691</v>
      </c>
      <c r="C145" s="961"/>
      <c r="D145" s="961"/>
      <c r="E145" s="961"/>
      <c r="F145" s="954">
        <v>0.05</v>
      </c>
    </row>
    <row r="146" spans="1:6" ht="26.5" thickBot="1">
      <c r="A146" s="955" t="s">
        <v>56</v>
      </c>
      <c r="B146" s="771" t="s">
        <v>692</v>
      </c>
      <c r="C146" s="960"/>
      <c r="D146" s="960"/>
      <c r="E146" s="960"/>
      <c r="F146" s="956">
        <v>0.05</v>
      </c>
    </row>
    <row r="147" spans="1:6" ht="26.5" thickBot="1">
      <c r="A147" s="767" t="s">
        <v>56</v>
      </c>
      <c r="B147" s="761" t="s">
        <v>693</v>
      </c>
      <c r="C147" s="960"/>
      <c r="D147" s="960"/>
      <c r="E147" s="960"/>
      <c r="F147" s="948">
        <v>0.05</v>
      </c>
    </row>
    <row r="148" spans="1:6" ht="26.5" thickBot="1">
      <c r="A148" s="767" t="s">
        <v>56</v>
      </c>
      <c r="B148" s="761" t="s">
        <v>694</v>
      </c>
      <c r="C148" s="960"/>
      <c r="D148" s="960"/>
      <c r="E148" s="960"/>
      <c r="F148" s="948">
        <v>0.05</v>
      </c>
    </row>
    <row r="149" spans="1:6" ht="26.5" thickBot="1">
      <c r="A149" s="767" t="s">
        <v>56</v>
      </c>
      <c r="B149" s="761" t="s">
        <v>695</v>
      </c>
      <c r="C149" s="960"/>
      <c r="D149" s="960"/>
      <c r="E149" s="960"/>
      <c r="F149" s="948">
        <v>0.05</v>
      </c>
    </row>
    <row r="150" spans="1:6" ht="26.5" thickBot="1">
      <c r="A150" s="767" t="s">
        <v>56</v>
      </c>
      <c r="B150" s="761" t="s">
        <v>696</v>
      </c>
      <c r="C150" s="960"/>
      <c r="D150" s="960"/>
      <c r="E150" s="960"/>
      <c r="F150" s="948">
        <v>0.05</v>
      </c>
    </row>
    <row r="151" spans="1:6" ht="26.5" thickBot="1">
      <c r="A151" s="767" t="s">
        <v>56</v>
      </c>
      <c r="B151" s="761" t="s">
        <v>697</v>
      </c>
      <c r="C151" s="960"/>
      <c r="D151" s="960"/>
      <c r="E151" s="960"/>
      <c r="F151" s="948">
        <v>0.05</v>
      </c>
    </row>
    <row r="152" spans="1:6" ht="26.5" thickBot="1">
      <c r="A152" s="767" t="s">
        <v>56</v>
      </c>
      <c r="B152" s="761" t="s">
        <v>506</v>
      </c>
      <c r="C152" s="960"/>
      <c r="D152" s="960"/>
      <c r="E152" s="960"/>
      <c r="F152" s="948">
        <v>0.05</v>
      </c>
    </row>
    <row r="153" spans="1:6" ht="14.5" thickBot="1">
      <c r="A153" s="767" t="s">
        <v>56</v>
      </c>
      <c r="B153" s="761" t="s">
        <v>698</v>
      </c>
      <c r="C153" s="960"/>
      <c r="D153" s="960"/>
      <c r="E153" s="960"/>
      <c r="F153" s="948">
        <v>0.05</v>
      </c>
    </row>
    <row r="154" spans="1:6" ht="14.5" thickBot="1">
      <c r="A154" s="767" t="s">
        <v>56</v>
      </c>
      <c r="B154" s="761" t="s">
        <v>699</v>
      </c>
      <c r="C154" s="960"/>
      <c r="D154" s="960"/>
      <c r="E154" s="960"/>
      <c r="F154" s="948">
        <v>0.05</v>
      </c>
    </row>
    <row r="155" spans="1:6" ht="26.5" thickBot="1">
      <c r="A155" s="767" t="s">
        <v>56</v>
      </c>
      <c r="B155" s="761" t="s">
        <v>700</v>
      </c>
      <c r="C155" s="960"/>
      <c r="D155" s="960"/>
      <c r="E155" s="960"/>
      <c r="F155" s="948">
        <v>0.05</v>
      </c>
    </row>
    <row r="156" spans="1:6" ht="26.5" thickBot="1">
      <c r="A156" s="767" t="s">
        <v>56</v>
      </c>
      <c r="B156" s="761" t="s">
        <v>701</v>
      </c>
      <c r="C156" s="960"/>
      <c r="D156" s="960"/>
      <c r="E156" s="960"/>
      <c r="F156" s="948">
        <v>0.05</v>
      </c>
    </row>
    <row r="157" spans="1:6" ht="14.5" thickBot="1">
      <c r="A157" s="777" t="s">
        <v>56</v>
      </c>
      <c r="B157" s="773" t="s">
        <v>702</v>
      </c>
      <c r="C157" s="957"/>
      <c r="D157" s="957"/>
      <c r="E157" s="957"/>
      <c r="F157" s="950">
        <v>0.05</v>
      </c>
    </row>
    <row r="158" spans="1:6" ht="14.5" thickBot="1">
      <c r="A158" s="767" t="s">
        <v>525</v>
      </c>
      <c r="B158" s="768" t="s">
        <v>703</v>
      </c>
      <c r="C158" s="945">
        <v>0.13</v>
      </c>
      <c r="D158" s="945">
        <v>0.13</v>
      </c>
      <c r="E158" s="945">
        <v>0.13</v>
      </c>
      <c r="F158" s="946">
        <v>0.13</v>
      </c>
    </row>
    <row r="159" spans="1:6" ht="14.5" thickBot="1">
      <c r="A159" s="767" t="s">
        <v>525</v>
      </c>
      <c r="B159" s="761" t="s">
        <v>192</v>
      </c>
      <c r="C159" s="947">
        <v>0.13</v>
      </c>
      <c r="D159" s="947">
        <v>0.13</v>
      </c>
      <c r="E159" s="947">
        <v>0.13</v>
      </c>
      <c r="F159" s="948">
        <v>0.13</v>
      </c>
    </row>
    <row r="160" spans="1:6" ht="14.5" thickBot="1">
      <c r="A160" s="767" t="s">
        <v>525</v>
      </c>
      <c r="B160" s="761" t="s">
        <v>205</v>
      </c>
      <c r="C160" s="947">
        <v>0.13</v>
      </c>
      <c r="D160" s="947">
        <v>0.13</v>
      </c>
      <c r="E160" s="947">
        <v>0.129</v>
      </c>
      <c r="F160" s="948">
        <v>0.13</v>
      </c>
    </row>
    <row r="161" spans="1:6" ht="14.5" thickBot="1">
      <c r="A161" s="767" t="s">
        <v>525</v>
      </c>
      <c r="B161" s="761" t="s">
        <v>218</v>
      </c>
      <c r="C161" s="947">
        <v>0.128</v>
      </c>
      <c r="D161" s="947">
        <v>0.128</v>
      </c>
      <c r="E161" s="947">
        <v>0.125</v>
      </c>
      <c r="F161" s="948">
        <v>0.13</v>
      </c>
    </row>
    <row r="162" spans="1:6" ht="14.5" thickBot="1">
      <c r="A162" s="767" t="s">
        <v>525</v>
      </c>
      <c r="B162" s="761" t="s">
        <v>230</v>
      </c>
      <c r="C162" s="947">
        <v>0.122</v>
      </c>
      <c r="D162" s="947">
        <v>0.122</v>
      </c>
      <c r="E162" s="947">
        <v>0.126</v>
      </c>
      <c r="F162" s="948">
        <v>0.122</v>
      </c>
    </row>
    <row r="163" spans="1:6" ht="14.5" thickBot="1">
      <c r="A163" s="767" t="s">
        <v>525</v>
      </c>
      <c r="B163" s="761" t="s">
        <v>241</v>
      </c>
      <c r="C163" s="947">
        <v>0.13</v>
      </c>
      <c r="D163" s="947">
        <v>0.13</v>
      </c>
      <c r="E163" s="947">
        <v>0.125</v>
      </c>
      <c r="F163" s="948">
        <v>0.13</v>
      </c>
    </row>
    <row r="164" spans="1:6" ht="14.5" thickBot="1">
      <c r="A164" s="767" t="s">
        <v>525</v>
      </c>
      <c r="B164" s="761" t="s">
        <v>252</v>
      </c>
      <c r="C164" s="947">
        <v>0.13</v>
      </c>
      <c r="D164" s="947">
        <v>0.13</v>
      </c>
      <c r="E164" s="947">
        <v>0.13</v>
      </c>
      <c r="F164" s="948">
        <v>0.13</v>
      </c>
    </row>
    <row r="165" spans="1:6" ht="14.5" thickBot="1">
      <c r="A165" s="767" t="s">
        <v>525</v>
      </c>
      <c r="B165" s="761" t="s">
        <v>263</v>
      </c>
      <c r="C165" s="947">
        <v>0.13</v>
      </c>
      <c r="D165" s="947">
        <v>0.13</v>
      </c>
      <c r="E165" s="947">
        <v>0.124</v>
      </c>
      <c r="F165" s="948">
        <v>0.13</v>
      </c>
    </row>
    <row r="166" spans="1:6" ht="14.5" thickBot="1">
      <c r="A166" s="767" t="s">
        <v>525</v>
      </c>
      <c r="B166" s="761" t="s">
        <v>275</v>
      </c>
      <c r="C166" s="947">
        <v>0.13</v>
      </c>
      <c r="D166" s="947">
        <v>0.13</v>
      </c>
      <c r="E166" s="947">
        <v>0.13</v>
      </c>
      <c r="F166" s="948">
        <v>0.13</v>
      </c>
    </row>
    <row r="167" spans="1:6" ht="14.5" thickBot="1">
      <c r="A167" s="767" t="s">
        <v>525</v>
      </c>
      <c r="B167" s="761" t="s">
        <v>285</v>
      </c>
      <c r="C167" s="947">
        <v>0.125</v>
      </c>
      <c r="D167" s="947">
        <v>0.125</v>
      </c>
      <c r="E167" s="947">
        <v>0.121</v>
      </c>
      <c r="F167" s="959"/>
    </row>
    <row r="168" spans="1:6" ht="14.5" thickBot="1">
      <c r="A168" s="767" t="s">
        <v>525</v>
      </c>
      <c r="B168" s="761" t="s">
        <v>295</v>
      </c>
      <c r="C168" s="947">
        <v>0.13</v>
      </c>
      <c r="D168" s="947">
        <v>0.13</v>
      </c>
      <c r="E168" s="947">
        <v>0.126</v>
      </c>
      <c r="F168" s="959"/>
    </row>
    <row r="169" spans="1:6" ht="14.5" thickBot="1">
      <c r="A169" s="767" t="s">
        <v>525</v>
      </c>
      <c r="B169" s="761" t="s">
        <v>305</v>
      </c>
      <c r="C169" s="947">
        <v>0.128</v>
      </c>
      <c r="D169" s="947">
        <v>0.129</v>
      </c>
      <c r="E169" s="947">
        <v>0.13</v>
      </c>
      <c r="F169" s="959"/>
    </row>
    <row r="170" spans="1:6" ht="14.5" thickBot="1">
      <c r="A170" s="767" t="s">
        <v>525</v>
      </c>
      <c r="B170" s="761" t="s">
        <v>315</v>
      </c>
      <c r="C170" s="947">
        <v>0.14099999999999999</v>
      </c>
      <c r="D170" s="947">
        <v>0.13</v>
      </c>
      <c r="E170" s="947">
        <v>0.125</v>
      </c>
      <c r="F170" s="959"/>
    </row>
    <row r="171" spans="1:6" ht="14.5" thickBot="1">
      <c r="A171" s="767" t="s">
        <v>525</v>
      </c>
      <c r="B171" s="761" t="s">
        <v>704</v>
      </c>
      <c r="C171" s="947">
        <v>0.127</v>
      </c>
      <c r="D171" s="947">
        <v>0.126</v>
      </c>
      <c r="E171" s="947">
        <v>0.126</v>
      </c>
      <c r="F171" s="948">
        <v>0.11799999999999999</v>
      </c>
    </row>
    <row r="172" spans="1:6" ht="14.5" thickBot="1">
      <c r="A172" s="767" t="s">
        <v>525</v>
      </c>
      <c r="B172" s="761" t="s">
        <v>705</v>
      </c>
      <c r="C172" s="947">
        <v>0.13</v>
      </c>
      <c r="D172" s="947">
        <v>0.13</v>
      </c>
      <c r="E172" s="947">
        <v>0.13</v>
      </c>
      <c r="F172" s="959"/>
    </row>
    <row r="173" spans="1:6" ht="14.5" thickBot="1">
      <c r="A173" s="767" t="s">
        <v>525</v>
      </c>
      <c r="B173" s="761" t="s">
        <v>347</v>
      </c>
      <c r="C173" s="947">
        <v>0.13</v>
      </c>
      <c r="D173" s="947">
        <v>0.13</v>
      </c>
      <c r="E173" s="947">
        <v>0.13</v>
      </c>
      <c r="F173" s="959"/>
    </row>
    <row r="174" spans="1:6" ht="14.5" thickBot="1">
      <c r="A174" s="767" t="s">
        <v>525</v>
      </c>
      <c r="B174" s="761" t="s">
        <v>706</v>
      </c>
      <c r="C174" s="947">
        <v>0.13</v>
      </c>
      <c r="D174" s="947">
        <v>0.13</v>
      </c>
      <c r="E174" s="947">
        <v>0.13</v>
      </c>
      <c r="F174" s="948">
        <v>0.13</v>
      </c>
    </row>
    <row r="175" spans="1:6" ht="14.5" thickBot="1">
      <c r="A175" s="767" t="s">
        <v>525</v>
      </c>
      <c r="B175" s="761" t="s">
        <v>707</v>
      </c>
      <c r="C175" s="947">
        <v>0.13</v>
      </c>
      <c r="D175" s="947">
        <v>0.13</v>
      </c>
      <c r="E175" s="947">
        <v>0.13</v>
      </c>
      <c r="F175" s="948">
        <v>0.13</v>
      </c>
    </row>
    <row r="176" spans="1:6" ht="14.5" thickBot="1">
      <c r="A176" s="767" t="s">
        <v>525</v>
      </c>
      <c r="B176" s="761" t="s">
        <v>377</v>
      </c>
      <c r="C176" s="947">
        <v>0.13</v>
      </c>
      <c r="D176" s="947">
        <v>0.13</v>
      </c>
      <c r="E176" s="947">
        <v>0.13</v>
      </c>
      <c r="F176" s="948">
        <v>0.13</v>
      </c>
    </row>
    <row r="177" spans="1:6" ht="14.5" thickBot="1">
      <c r="A177" s="767" t="s">
        <v>525</v>
      </c>
      <c r="B177" s="761" t="s">
        <v>708</v>
      </c>
      <c r="C177" s="947">
        <v>0.13</v>
      </c>
      <c r="D177" s="947">
        <v>0.13</v>
      </c>
      <c r="E177" s="947">
        <v>0.13</v>
      </c>
      <c r="F177" s="948">
        <v>0.13</v>
      </c>
    </row>
    <row r="178" spans="1:6" ht="14.5" thickBot="1">
      <c r="A178" s="767" t="s">
        <v>525</v>
      </c>
      <c r="B178" s="761" t="s">
        <v>395</v>
      </c>
      <c r="C178" s="947">
        <v>0.13</v>
      </c>
      <c r="D178" s="947">
        <v>0.13</v>
      </c>
      <c r="E178" s="947">
        <v>0.13</v>
      </c>
      <c r="F178" s="948">
        <v>0.127</v>
      </c>
    </row>
    <row r="179" spans="1:6" ht="14.5" thickBot="1">
      <c r="A179" s="767" t="s">
        <v>525</v>
      </c>
      <c r="B179" s="761" t="s">
        <v>403</v>
      </c>
      <c r="C179" s="947">
        <v>0.13</v>
      </c>
      <c r="D179" s="947">
        <v>0.13</v>
      </c>
      <c r="E179" s="947">
        <v>0.13</v>
      </c>
      <c r="F179" s="959"/>
    </row>
    <row r="180" spans="1:6" ht="14.5" thickBot="1">
      <c r="A180" s="767" t="s">
        <v>525</v>
      </c>
      <c r="B180" s="761" t="s">
        <v>709</v>
      </c>
      <c r="C180" s="947">
        <v>0.13</v>
      </c>
      <c r="D180" s="947">
        <v>0.13</v>
      </c>
      <c r="E180" s="947">
        <v>0.125</v>
      </c>
      <c r="F180" s="948">
        <v>0.13</v>
      </c>
    </row>
    <row r="181" spans="1:6" ht="14.5" thickBot="1">
      <c r="A181" s="767" t="s">
        <v>525</v>
      </c>
      <c r="B181" s="761" t="s">
        <v>417</v>
      </c>
      <c r="C181" s="947">
        <v>0.122</v>
      </c>
      <c r="D181" s="947">
        <v>0.123</v>
      </c>
      <c r="E181" s="947">
        <v>0.126</v>
      </c>
      <c r="F181" s="948">
        <v>0.121</v>
      </c>
    </row>
    <row r="182" spans="1:6" ht="14.5" thickBot="1">
      <c r="A182" s="767" t="s">
        <v>525</v>
      </c>
      <c r="B182" s="761" t="s">
        <v>424</v>
      </c>
      <c r="C182" s="947">
        <v>0.125</v>
      </c>
      <c r="D182" s="947">
        <v>0.125</v>
      </c>
      <c r="E182" s="947">
        <v>0.11700000000000001</v>
      </c>
      <c r="F182" s="948">
        <v>0.13</v>
      </c>
    </row>
    <row r="183" spans="1:6" ht="14.5" thickBot="1">
      <c r="A183" s="767" t="s">
        <v>525</v>
      </c>
      <c r="B183" s="761" t="s">
        <v>431</v>
      </c>
      <c r="C183" s="947">
        <v>0.127</v>
      </c>
      <c r="D183" s="947">
        <v>0.127</v>
      </c>
      <c r="E183" s="947">
        <v>0.128</v>
      </c>
      <c r="F183" s="959"/>
    </row>
    <row r="184" spans="1:6" ht="14.5" thickBot="1">
      <c r="A184" s="767" t="s">
        <v>525</v>
      </c>
      <c r="B184" s="761" t="s">
        <v>438</v>
      </c>
      <c r="C184" s="947">
        <v>0.125</v>
      </c>
      <c r="D184" s="947">
        <v>0.125</v>
      </c>
      <c r="E184" s="947">
        <v>0.127</v>
      </c>
      <c r="F184" s="959"/>
    </row>
    <row r="185" spans="1:6" ht="14.5" thickBot="1">
      <c r="A185" s="767" t="s">
        <v>525</v>
      </c>
      <c r="B185" s="761" t="s">
        <v>710</v>
      </c>
      <c r="C185" s="947">
        <v>0.127</v>
      </c>
      <c r="D185" s="947">
        <v>0.127</v>
      </c>
      <c r="E185" s="947">
        <v>0.128</v>
      </c>
      <c r="F185" s="948">
        <v>0.13</v>
      </c>
    </row>
    <row r="186" spans="1:6" ht="26.5" thickBot="1">
      <c r="A186" s="767" t="s">
        <v>525</v>
      </c>
      <c r="B186" s="761" t="s">
        <v>711</v>
      </c>
      <c r="C186" s="960"/>
      <c r="D186" s="960"/>
      <c r="E186" s="960"/>
      <c r="F186" s="948">
        <v>0.05</v>
      </c>
    </row>
    <row r="187" spans="1:6" ht="14.5" thickBot="1">
      <c r="A187" s="767" t="s">
        <v>525</v>
      </c>
      <c r="B187" s="761" t="s">
        <v>712</v>
      </c>
      <c r="C187" s="960"/>
      <c r="D187" s="960"/>
      <c r="E187" s="960"/>
      <c r="F187" s="948">
        <v>0.05</v>
      </c>
    </row>
    <row r="188" spans="1:6" ht="26.5" thickBot="1">
      <c r="A188" s="767" t="s">
        <v>525</v>
      </c>
      <c r="B188" s="761" t="s">
        <v>713</v>
      </c>
      <c r="C188" s="960"/>
      <c r="D188" s="960"/>
      <c r="E188" s="960"/>
      <c r="F188" s="948">
        <v>0.05</v>
      </c>
    </row>
    <row r="189" spans="1:6" ht="26.5" thickBot="1">
      <c r="A189" s="767" t="s">
        <v>525</v>
      </c>
      <c r="B189" s="761" t="s">
        <v>714</v>
      </c>
      <c r="C189" s="960"/>
      <c r="D189" s="960"/>
      <c r="E189" s="960"/>
      <c r="F189" s="948">
        <v>0.05</v>
      </c>
    </row>
    <row r="190" spans="1:6" ht="26.5" thickBot="1">
      <c r="A190" s="767" t="s">
        <v>525</v>
      </c>
      <c r="B190" s="761" t="s">
        <v>715</v>
      </c>
      <c r="C190" s="960"/>
      <c r="D190" s="960"/>
      <c r="E190" s="960"/>
      <c r="F190" s="948">
        <v>0.05</v>
      </c>
    </row>
    <row r="191" spans="1:6" ht="26.5" thickBot="1">
      <c r="A191" s="767" t="s">
        <v>525</v>
      </c>
      <c r="B191" s="761" t="s">
        <v>716</v>
      </c>
      <c r="C191" s="960"/>
      <c r="D191" s="960"/>
      <c r="E191" s="960"/>
      <c r="F191" s="948">
        <v>0.05</v>
      </c>
    </row>
    <row r="192" spans="1:6" ht="26.5" thickBot="1">
      <c r="A192" s="767" t="s">
        <v>525</v>
      </c>
      <c r="B192" s="761" t="s">
        <v>717</v>
      </c>
      <c r="C192" s="960"/>
      <c r="D192" s="960"/>
      <c r="E192" s="960"/>
      <c r="F192" s="948">
        <v>0.05</v>
      </c>
    </row>
    <row r="193" spans="1:6" ht="26.5" thickBot="1">
      <c r="A193" s="767" t="s">
        <v>525</v>
      </c>
      <c r="B193" s="761" t="s">
        <v>718</v>
      </c>
      <c r="C193" s="960"/>
      <c r="D193" s="960"/>
      <c r="E193" s="960"/>
      <c r="F193" s="948">
        <v>0.05</v>
      </c>
    </row>
    <row r="194" spans="1:6" ht="26.5" thickBot="1">
      <c r="A194" s="767" t="s">
        <v>525</v>
      </c>
      <c r="B194" s="761" t="s">
        <v>719</v>
      </c>
      <c r="C194" s="960"/>
      <c r="D194" s="960"/>
      <c r="E194" s="960"/>
      <c r="F194" s="948">
        <v>0.05</v>
      </c>
    </row>
    <row r="195" spans="1:6" ht="14.5" thickBot="1">
      <c r="A195" s="767" t="s">
        <v>525</v>
      </c>
      <c r="B195" s="761" t="s">
        <v>720</v>
      </c>
      <c r="C195" s="960"/>
      <c r="D195" s="960"/>
      <c r="E195" s="960"/>
      <c r="F195" s="948">
        <v>0.05</v>
      </c>
    </row>
    <row r="196" spans="1:6" ht="26.5" thickBot="1">
      <c r="A196" s="767" t="s">
        <v>525</v>
      </c>
      <c r="B196" s="761" t="s">
        <v>721</v>
      </c>
      <c r="C196" s="960"/>
      <c r="D196" s="960"/>
      <c r="E196" s="960"/>
      <c r="F196" s="948">
        <v>0.05</v>
      </c>
    </row>
    <row r="197" spans="1:6" ht="26.5" thickBot="1">
      <c r="A197" s="767" t="s">
        <v>525</v>
      </c>
      <c r="B197" s="761" t="s">
        <v>722</v>
      </c>
      <c r="C197" s="960"/>
      <c r="D197" s="960"/>
      <c r="E197" s="960"/>
      <c r="F197" s="948">
        <v>0.05</v>
      </c>
    </row>
    <row r="198" spans="1:6" ht="26.5" thickBot="1">
      <c r="A198" s="767" t="s">
        <v>525</v>
      </c>
      <c r="B198" s="761" t="s">
        <v>723</v>
      </c>
      <c r="C198" s="960"/>
      <c r="D198" s="960"/>
      <c r="E198" s="960"/>
      <c r="F198" s="948">
        <v>0.05</v>
      </c>
    </row>
    <row r="199" spans="1:6" ht="26.5" thickBot="1">
      <c r="A199" s="767" t="s">
        <v>525</v>
      </c>
      <c r="B199" s="761" t="s">
        <v>724</v>
      </c>
      <c r="C199" s="960"/>
      <c r="D199" s="960"/>
      <c r="E199" s="960"/>
      <c r="F199" s="948">
        <v>0.05</v>
      </c>
    </row>
    <row r="200" spans="1:6" ht="26.5" thickBot="1">
      <c r="A200" s="767" t="s">
        <v>525</v>
      </c>
      <c r="B200" s="761" t="s">
        <v>725</v>
      </c>
      <c r="C200" s="960"/>
      <c r="D200" s="960"/>
      <c r="E200" s="960"/>
      <c r="F200" s="948">
        <v>0.05</v>
      </c>
    </row>
    <row r="201" spans="1:6" ht="26.5" thickBot="1">
      <c r="A201" s="767" t="s">
        <v>525</v>
      </c>
      <c r="B201" s="761" t="s">
        <v>726</v>
      </c>
      <c r="C201" s="960"/>
      <c r="D201" s="960"/>
      <c r="E201" s="960"/>
      <c r="F201" s="948">
        <v>0.05</v>
      </c>
    </row>
    <row r="202" spans="1:6" ht="26.5" thickBot="1">
      <c r="A202" s="767" t="s">
        <v>525</v>
      </c>
      <c r="B202" s="761" t="s">
        <v>727</v>
      </c>
      <c r="C202" s="960"/>
      <c r="D202" s="960"/>
      <c r="E202" s="960"/>
      <c r="F202" s="948">
        <v>0.05</v>
      </c>
    </row>
    <row r="203" spans="1:6" ht="26.5" thickBot="1">
      <c r="A203" s="767" t="s">
        <v>525</v>
      </c>
      <c r="B203" s="761" t="s">
        <v>728</v>
      </c>
      <c r="C203" s="960"/>
      <c r="D203" s="960"/>
      <c r="E203" s="960"/>
      <c r="F203" s="948">
        <v>0.05</v>
      </c>
    </row>
    <row r="204" spans="1:6" ht="14.5" thickBot="1">
      <c r="A204" s="767" t="s">
        <v>525</v>
      </c>
      <c r="B204" s="761" t="s">
        <v>729</v>
      </c>
      <c r="C204" s="960"/>
      <c r="D204" s="960"/>
      <c r="E204" s="960"/>
      <c r="F204" s="948">
        <v>0.05</v>
      </c>
    </row>
    <row r="205" spans="1:6" ht="14.5" thickBot="1">
      <c r="A205" s="777" t="s">
        <v>525</v>
      </c>
      <c r="B205" s="773" t="s">
        <v>730</v>
      </c>
      <c r="C205" s="957"/>
      <c r="D205" s="957"/>
      <c r="E205" s="957"/>
      <c r="F205" s="950">
        <v>0.05</v>
      </c>
    </row>
    <row r="206" spans="1:6" ht="14.5" thickBot="1">
      <c r="A206" s="767" t="s">
        <v>527</v>
      </c>
      <c r="B206" s="768" t="s">
        <v>731</v>
      </c>
      <c r="C206" s="945">
        <v>0.15</v>
      </c>
      <c r="D206" s="945">
        <v>0.15</v>
      </c>
      <c r="E206" s="945">
        <v>0.15</v>
      </c>
      <c r="F206" s="946">
        <v>0.15</v>
      </c>
    </row>
    <row r="207" spans="1:6" ht="14.5" thickBot="1">
      <c r="A207" s="767" t="s">
        <v>527</v>
      </c>
      <c r="B207" s="761" t="s">
        <v>193</v>
      </c>
      <c r="C207" s="947">
        <v>0.15</v>
      </c>
      <c r="D207" s="947">
        <v>0.15</v>
      </c>
      <c r="E207" s="947">
        <v>0.15</v>
      </c>
      <c r="F207" s="948">
        <v>0.14399999999999999</v>
      </c>
    </row>
    <row r="208" spans="1:6" ht="14.5" thickBot="1">
      <c r="A208" s="767" t="s">
        <v>527</v>
      </c>
      <c r="B208" s="761" t="s">
        <v>206</v>
      </c>
      <c r="C208" s="947">
        <v>0.15</v>
      </c>
      <c r="D208" s="947">
        <v>0.15</v>
      </c>
      <c r="E208" s="947">
        <v>0.15</v>
      </c>
      <c r="F208" s="948">
        <v>0.15</v>
      </c>
    </row>
    <row r="209" spans="1:6" ht="14.5" thickBot="1">
      <c r="A209" s="767" t="s">
        <v>527</v>
      </c>
      <c r="B209" s="761" t="s">
        <v>219</v>
      </c>
      <c r="C209" s="947">
        <v>0.13700000000000001</v>
      </c>
      <c r="D209" s="947">
        <v>0.13700000000000001</v>
      </c>
      <c r="E209" s="947">
        <v>0.14000000000000001</v>
      </c>
      <c r="F209" s="948">
        <v>0.11700000000000001</v>
      </c>
    </row>
    <row r="210" spans="1:6" ht="14.5" thickBot="1">
      <c r="A210" s="767" t="s">
        <v>527</v>
      </c>
      <c r="B210" s="761" t="s">
        <v>732</v>
      </c>
      <c r="C210" s="947">
        <v>0.15</v>
      </c>
      <c r="D210" s="947">
        <v>0.15</v>
      </c>
      <c r="E210" s="947">
        <v>0.15</v>
      </c>
      <c r="F210" s="948">
        <v>0.13800000000000001</v>
      </c>
    </row>
    <row r="211" spans="1:6" ht="14.5" thickBot="1">
      <c r="A211" s="767" t="s">
        <v>527</v>
      </c>
      <c r="B211" s="761" t="s">
        <v>733</v>
      </c>
      <c r="C211" s="947">
        <v>0.13700000000000001</v>
      </c>
      <c r="D211" s="947">
        <v>0.13500000000000001</v>
      </c>
      <c r="E211" s="947">
        <v>0.13600000000000001</v>
      </c>
      <c r="F211" s="948">
        <v>0.1</v>
      </c>
    </row>
    <row r="212" spans="1:6" ht="14.5" thickBot="1">
      <c r="A212" s="767" t="s">
        <v>527</v>
      </c>
      <c r="B212" s="761" t="s">
        <v>734</v>
      </c>
      <c r="C212" s="947">
        <v>0.15</v>
      </c>
      <c r="D212" s="947">
        <v>0.15</v>
      </c>
      <c r="E212" s="947">
        <v>0.14799999999999999</v>
      </c>
      <c r="F212" s="948">
        <v>0.13600000000000001</v>
      </c>
    </row>
    <row r="213" spans="1:6" ht="14.5" thickBot="1">
      <c r="A213" s="767" t="s">
        <v>527</v>
      </c>
      <c r="B213" s="761" t="s">
        <v>264</v>
      </c>
      <c r="C213" s="947">
        <v>0.15</v>
      </c>
      <c r="D213" s="947">
        <v>0.15</v>
      </c>
      <c r="E213" s="947">
        <v>0.15</v>
      </c>
      <c r="F213" s="948">
        <v>0.13800000000000001</v>
      </c>
    </row>
    <row r="214" spans="1:6" ht="14.5" thickBot="1">
      <c r="A214" s="767" t="s">
        <v>527</v>
      </c>
      <c r="B214" s="761" t="s">
        <v>276</v>
      </c>
      <c r="C214" s="947">
        <v>9.0999999999999998E-2</v>
      </c>
      <c r="D214" s="947">
        <v>0.09</v>
      </c>
      <c r="E214" s="947">
        <v>9.1999999999999998E-2</v>
      </c>
      <c r="F214" s="959"/>
    </row>
    <row r="215" spans="1:6" ht="14.5" thickBot="1">
      <c r="A215" s="767" t="s">
        <v>527</v>
      </c>
      <c r="B215" s="761" t="s">
        <v>735</v>
      </c>
      <c r="C215" s="947">
        <v>0.15</v>
      </c>
      <c r="D215" s="947">
        <v>0.15</v>
      </c>
      <c r="E215" s="947">
        <v>0.15</v>
      </c>
      <c r="F215" s="948">
        <v>0.15</v>
      </c>
    </row>
    <row r="216" spans="1:6" ht="14.5" thickBot="1">
      <c r="A216" s="767" t="s">
        <v>527</v>
      </c>
      <c r="B216" s="761" t="s">
        <v>296</v>
      </c>
      <c r="C216" s="947">
        <v>0.14699999999999999</v>
      </c>
      <c r="D216" s="947">
        <v>0.14699999999999999</v>
      </c>
      <c r="E216" s="947">
        <v>0.15</v>
      </c>
      <c r="F216" s="948">
        <v>0.14000000000000001</v>
      </c>
    </row>
    <row r="217" spans="1:6" ht="14.5" thickBot="1">
      <c r="A217" s="767" t="s">
        <v>527</v>
      </c>
      <c r="B217" s="761" t="s">
        <v>306</v>
      </c>
      <c r="C217" s="947">
        <v>0.15</v>
      </c>
      <c r="D217" s="947">
        <v>0.15</v>
      </c>
      <c r="E217" s="947">
        <v>0.15</v>
      </c>
      <c r="F217" s="948">
        <v>0.15</v>
      </c>
    </row>
    <row r="218" spans="1:6" ht="14.5" thickBot="1">
      <c r="A218" s="767" t="s">
        <v>527</v>
      </c>
      <c r="B218" s="761" t="s">
        <v>736</v>
      </c>
      <c r="C218" s="947">
        <v>0.15</v>
      </c>
      <c r="D218" s="947">
        <v>0.15</v>
      </c>
      <c r="E218" s="947">
        <v>0.15</v>
      </c>
      <c r="F218" s="948">
        <v>0.15</v>
      </c>
    </row>
    <row r="219" spans="1:6" ht="14.5" thickBot="1">
      <c r="A219" s="767" t="s">
        <v>527</v>
      </c>
      <c r="B219" s="761" t="s">
        <v>327</v>
      </c>
      <c r="C219" s="947">
        <v>0.15</v>
      </c>
      <c r="D219" s="947">
        <v>0.15</v>
      </c>
      <c r="E219" s="947">
        <v>0.15</v>
      </c>
      <c r="F219" s="948">
        <v>0.14799999999999999</v>
      </c>
    </row>
    <row r="220" spans="1:6" ht="14.5" thickBot="1">
      <c r="A220" s="767" t="s">
        <v>527</v>
      </c>
      <c r="B220" s="761" t="s">
        <v>737</v>
      </c>
      <c r="C220" s="947">
        <v>0.15</v>
      </c>
      <c r="D220" s="947">
        <v>0.15</v>
      </c>
      <c r="E220" s="947">
        <v>0.15</v>
      </c>
      <c r="F220" s="948">
        <v>0.15</v>
      </c>
    </row>
    <row r="221" spans="1:6" ht="14.5" thickBot="1">
      <c r="A221" s="767" t="s">
        <v>527</v>
      </c>
      <c r="B221" s="761" t="s">
        <v>348</v>
      </c>
      <c r="C221" s="947"/>
      <c r="D221" s="960"/>
      <c r="E221" s="960"/>
      <c r="F221" s="948">
        <v>0.14799999999999999</v>
      </c>
    </row>
    <row r="222" spans="1:6" ht="14.5" thickBot="1">
      <c r="A222" s="767" t="s">
        <v>527</v>
      </c>
      <c r="B222" s="761" t="s">
        <v>358</v>
      </c>
      <c r="C222" s="947"/>
      <c r="D222" s="960"/>
      <c r="E222" s="960"/>
      <c r="F222" s="948">
        <v>0.1</v>
      </c>
    </row>
    <row r="223" spans="1:6" ht="14.5" thickBot="1">
      <c r="A223" s="767" t="s">
        <v>527</v>
      </c>
      <c r="B223" s="761" t="s">
        <v>368</v>
      </c>
      <c r="C223" s="947"/>
      <c r="D223" s="960"/>
      <c r="E223" s="960"/>
      <c r="F223" s="948">
        <v>0.15</v>
      </c>
    </row>
    <row r="224" spans="1:6" ht="14.5" thickBot="1">
      <c r="A224" s="767" t="s">
        <v>527</v>
      </c>
      <c r="B224" s="761" t="s">
        <v>378</v>
      </c>
      <c r="C224" s="947"/>
      <c r="D224" s="960"/>
      <c r="E224" s="960"/>
      <c r="F224" s="948">
        <v>0.15</v>
      </c>
    </row>
    <row r="225" spans="1:6" ht="14.5" thickBot="1">
      <c r="A225" s="767" t="s">
        <v>527</v>
      </c>
      <c r="B225" s="761" t="s">
        <v>738</v>
      </c>
      <c r="C225" s="947">
        <v>0.15</v>
      </c>
      <c r="D225" s="947">
        <v>0.15</v>
      </c>
      <c r="E225" s="947">
        <v>0.15</v>
      </c>
      <c r="F225" s="948">
        <v>0.15</v>
      </c>
    </row>
    <row r="226" spans="1:6" ht="14.5" thickBot="1">
      <c r="A226" s="767" t="s">
        <v>527</v>
      </c>
      <c r="B226" s="761" t="s">
        <v>396</v>
      </c>
      <c r="C226" s="947">
        <v>0.15</v>
      </c>
      <c r="D226" s="947">
        <v>0.15</v>
      </c>
      <c r="E226" s="947">
        <v>0.15</v>
      </c>
      <c r="F226" s="948">
        <v>0.14799999999999999</v>
      </c>
    </row>
    <row r="227" spans="1:6" ht="14.5" thickBot="1">
      <c r="A227" s="767" t="s">
        <v>527</v>
      </c>
      <c r="B227" s="761" t="s">
        <v>739</v>
      </c>
      <c r="C227" s="947">
        <v>0.15</v>
      </c>
      <c r="D227" s="947">
        <v>0.15</v>
      </c>
      <c r="E227" s="947">
        <v>0.15</v>
      </c>
      <c r="F227" s="948">
        <v>0.15</v>
      </c>
    </row>
    <row r="228" spans="1:6" ht="14.5" thickBot="1">
      <c r="A228" s="767" t="s">
        <v>527</v>
      </c>
      <c r="B228" s="761" t="s">
        <v>411</v>
      </c>
      <c r="C228" s="947">
        <v>0.15</v>
      </c>
      <c r="D228" s="947">
        <v>0.15</v>
      </c>
      <c r="E228" s="947">
        <v>0.15</v>
      </c>
      <c r="F228" s="948">
        <v>0.15</v>
      </c>
    </row>
    <row r="229" spans="1:6" ht="14.5" thickBot="1">
      <c r="A229" s="767" t="s">
        <v>527</v>
      </c>
      <c r="B229" s="761" t="s">
        <v>418</v>
      </c>
      <c r="C229" s="947">
        <v>0.15</v>
      </c>
      <c r="D229" s="947">
        <v>0.15</v>
      </c>
      <c r="E229" s="947">
        <v>0.15</v>
      </c>
      <c r="F229" s="959"/>
    </row>
    <row r="230" spans="1:6" ht="14.5" thickBot="1">
      <c r="A230" s="767" t="s">
        <v>527</v>
      </c>
      <c r="B230" s="761" t="s">
        <v>425</v>
      </c>
      <c r="C230" s="947">
        <v>0.14499999999999999</v>
      </c>
      <c r="D230" s="947">
        <v>0.14499999999999999</v>
      </c>
      <c r="E230" s="947">
        <v>0.14399999999999999</v>
      </c>
      <c r="F230" s="959"/>
    </row>
    <row r="231" spans="1:6" ht="14.5" thickBot="1">
      <c r="A231" s="767" t="s">
        <v>527</v>
      </c>
      <c r="B231" s="761" t="s">
        <v>740</v>
      </c>
      <c r="C231" s="947">
        <v>0.128</v>
      </c>
      <c r="D231" s="947">
        <v>0.125</v>
      </c>
      <c r="E231" s="947">
        <v>0.13200000000000001</v>
      </c>
      <c r="F231" s="959"/>
    </row>
    <row r="232" spans="1:6" ht="14.5" thickBot="1">
      <c r="A232" s="767" t="s">
        <v>527</v>
      </c>
      <c r="B232" s="761" t="s">
        <v>741</v>
      </c>
      <c r="C232" s="947">
        <v>0.14499999999999999</v>
      </c>
      <c r="D232" s="947">
        <v>0.14399999999999999</v>
      </c>
      <c r="E232" s="947">
        <v>0.14599999999999999</v>
      </c>
      <c r="F232" s="948">
        <v>0.13800000000000001</v>
      </c>
    </row>
    <row r="233" spans="1:6" ht="14.5" thickBot="1">
      <c r="A233" s="767" t="s">
        <v>527</v>
      </c>
      <c r="B233" s="761" t="s">
        <v>742</v>
      </c>
      <c r="C233" s="947">
        <v>0.14499999999999999</v>
      </c>
      <c r="D233" s="947">
        <v>0.14299999999999999</v>
      </c>
      <c r="E233" s="947">
        <v>0.14199999999999999</v>
      </c>
      <c r="F233" s="959"/>
    </row>
    <row r="234" spans="1:6" ht="14.5" thickBot="1">
      <c r="A234" s="767" t="s">
        <v>527</v>
      </c>
      <c r="B234" s="761" t="s">
        <v>743</v>
      </c>
      <c r="C234" s="947">
        <v>0.14000000000000001</v>
      </c>
      <c r="D234" s="947">
        <v>0.14000000000000001</v>
      </c>
      <c r="E234" s="947">
        <v>0.14399999999999999</v>
      </c>
      <c r="F234" s="959"/>
    </row>
    <row r="235" spans="1:6" ht="14.5" thickBot="1">
      <c r="A235" s="767" t="s">
        <v>527</v>
      </c>
      <c r="B235" s="761" t="s">
        <v>744</v>
      </c>
      <c r="C235" s="947">
        <v>0.14099999999999999</v>
      </c>
      <c r="D235" s="947">
        <v>0.14199999999999999</v>
      </c>
      <c r="E235" s="947">
        <v>0.14499999999999999</v>
      </c>
      <c r="F235" s="948">
        <v>0.15</v>
      </c>
    </row>
    <row r="236" spans="1:6" ht="14.5" thickBot="1">
      <c r="A236" s="767" t="s">
        <v>527</v>
      </c>
      <c r="B236" s="761" t="s">
        <v>460</v>
      </c>
      <c r="C236" s="960"/>
      <c r="D236" s="960"/>
      <c r="E236" s="960"/>
      <c r="F236" s="948">
        <v>0.14299999999999999</v>
      </c>
    </row>
    <row r="237" spans="1:6" ht="26.5" thickBot="1">
      <c r="A237" s="767" t="s">
        <v>527</v>
      </c>
      <c r="B237" s="761" t="s">
        <v>745</v>
      </c>
      <c r="C237" s="960"/>
      <c r="D237" s="960"/>
      <c r="E237" s="960"/>
      <c r="F237" s="948">
        <v>0.05</v>
      </c>
    </row>
    <row r="238" spans="1:6" ht="26.5" thickBot="1">
      <c r="A238" s="767" t="s">
        <v>527</v>
      </c>
      <c r="B238" s="761" t="s">
        <v>746</v>
      </c>
      <c r="C238" s="960"/>
      <c r="D238" s="960"/>
      <c r="E238" s="960"/>
      <c r="F238" s="948">
        <v>0.05</v>
      </c>
    </row>
    <row r="239" spans="1:6" ht="26.5" thickBot="1">
      <c r="A239" s="767" t="s">
        <v>527</v>
      </c>
      <c r="B239" s="761" t="s">
        <v>747</v>
      </c>
      <c r="C239" s="960"/>
      <c r="D239" s="960"/>
      <c r="E239" s="960"/>
      <c r="F239" s="948">
        <v>0.05</v>
      </c>
    </row>
    <row r="240" spans="1:6" ht="26.5" thickBot="1">
      <c r="A240" s="767" t="s">
        <v>527</v>
      </c>
      <c r="B240" s="761" t="s">
        <v>748</v>
      </c>
      <c r="C240" s="960"/>
      <c r="D240" s="960"/>
      <c r="E240" s="960"/>
      <c r="F240" s="948">
        <v>0.05</v>
      </c>
    </row>
    <row r="241" spans="1:6" ht="26.5" thickBot="1">
      <c r="A241" s="767" t="s">
        <v>527</v>
      </c>
      <c r="B241" s="761" t="s">
        <v>749</v>
      </c>
      <c r="C241" s="960"/>
      <c r="D241" s="960"/>
      <c r="E241" s="960"/>
      <c r="F241" s="948">
        <v>0.05</v>
      </c>
    </row>
    <row r="242" spans="1:6" ht="26.5" thickBot="1">
      <c r="A242" s="767" t="s">
        <v>527</v>
      </c>
      <c r="B242" s="761" t="s">
        <v>750</v>
      </c>
      <c r="C242" s="960"/>
      <c r="D242" s="960"/>
      <c r="E242" s="960"/>
      <c r="F242" s="948">
        <v>0.05</v>
      </c>
    </row>
    <row r="243" spans="1:6" ht="26.5" thickBot="1">
      <c r="A243" s="767" t="s">
        <v>527</v>
      </c>
      <c r="B243" s="761" t="s">
        <v>751</v>
      </c>
      <c r="C243" s="960"/>
      <c r="D243" s="960"/>
      <c r="E243" s="960"/>
      <c r="F243" s="948">
        <v>0.05</v>
      </c>
    </row>
    <row r="244" spans="1:6" ht="26.5" thickBot="1">
      <c r="A244" s="777" t="s">
        <v>527</v>
      </c>
      <c r="B244" s="773" t="s">
        <v>752</v>
      </c>
      <c r="C244" s="957"/>
      <c r="D244" s="957"/>
      <c r="E244" s="957"/>
      <c r="F244" s="950">
        <v>0.05</v>
      </c>
    </row>
    <row r="245" spans="1:6" ht="14.5" thickBot="1">
      <c r="A245" s="767" t="s">
        <v>529</v>
      </c>
      <c r="B245" s="768" t="s">
        <v>753</v>
      </c>
      <c r="C245" s="945">
        <v>0.15</v>
      </c>
      <c r="D245" s="945">
        <v>0.15</v>
      </c>
      <c r="E245" s="945">
        <v>0.15</v>
      </c>
      <c r="F245" s="946">
        <v>0.14299999999999999</v>
      </c>
    </row>
    <row r="246" spans="1:6" ht="14.5" thickBot="1">
      <c r="A246" s="767" t="s">
        <v>529</v>
      </c>
      <c r="B246" s="761" t="s">
        <v>194</v>
      </c>
      <c r="C246" s="947">
        <v>0.15</v>
      </c>
      <c r="D246" s="947">
        <v>0.15</v>
      </c>
      <c r="E246" s="947">
        <v>0.15</v>
      </c>
      <c r="F246" s="948">
        <v>0.114</v>
      </c>
    </row>
    <row r="247" spans="1:6" ht="14.5" thickBot="1">
      <c r="A247" s="767" t="s">
        <v>529</v>
      </c>
      <c r="B247" s="761" t="s">
        <v>754</v>
      </c>
      <c r="C247" s="947">
        <v>0.15</v>
      </c>
      <c r="D247" s="947">
        <v>0.15</v>
      </c>
      <c r="E247" s="947">
        <v>0.15</v>
      </c>
      <c r="F247" s="948">
        <v>0.15</v>
      </c>
    </row>
    <row r="248" spans="1:6" ht="14.5" thickBot="1">
      <c r="A248" s="767" t="s">
        <v>529</v>
      </c>
      <c r="B248" s="761" t="s">
        <v>755</v>
      </c>
      <c r="C248" s="947">
        <v>0.15</v>
      </c>
      <c r="D248" s="947">
        <v>0.15</v>
      </c>
      <c r="E248" s="947">
        <v>0.15</v>
      </c>
      <c r="F248" s="948">
        <v>0.14000000000000001</v>
      </c>
    </row>
    <row r="249" spans="1:6" ht="14.5" thickBot="1">
      <c r="A249" s="767" t="s">
        <v>529</v>
      </c>
      <c r="B249" s="761" t="s">
        <v>756</v>
      </c>
      <c r="C249" s="947">
        <v>0.15</v>
      </c>
      <c r="D249" s="947">
        <v>0.14899999999999999</v>
      </c>
      <c r="E249" s="947">
        <v>0.15</v>
      </c>
      <c r="F249" s="948">
        <v>0.1</v>
      </c>
    </row>
    <row r="250" spans="1:6" ht="14.5" thickBot="1">
      <c r="A250" s="767" t="s">
        <v>529</v>
      </c>
      <c r="B250" s="761" t="s">
        <v>757</v>
      </c>
      <c r="C250" s="947">
        <v>0.15</v>
      </c>
      <c r="D250" s="947">
        <v>0.15</v>
      </c>
      <c r="E250" s="947">
        <v>0.15</v>
      </c>
      <c r="F250" s="948">
        <v>0.14399999999999999</v>
      </c>
    </row>
    <row r="251" spans="1:6" ht="14.5" thickBot="1">
      <c r="A251" s="767" t="s">
        <v>529</v>
      </c>
      <c r="B251" s="761" t="s">
        <v>254</v>
      </c>
      <c r="C251" s="947">
        <v>0.15</v>
      </c>
      <c r="D251" s="947">
        <v>0.15</v>
      </c>
      <c r="E251" s="947">
        <v>0.15</v>
      </c>
      <c r="F251" s="948">
        <v>0.14299999999999999</v>
      </c>
    </row>
    <row r="252" spans="1:6" ht="14.5" thickBot="1">
      <c r="A252" s="767" t="s">
        <v>529</v>
      </c>
      <c r="B252" s="761" t="s">
        <v>265</v>
      </c>
      <c r="C252" s="947">
        <v>0.15</v>
      </c>
      <c r="D252" s="947">
        <v>0.15</v>
      </c>
      <c r="E252" s="947">
        <v>0.15</v>
      </c>
      <c r="F252" s="948">
        <v>0.1</v>
      </c>
    </row>
    <row r="253" spans="1:6" ht="14.5" thickBot="1">
      <c r="A253" s="767" t="s">
        <v>529</v>
      </c>
      <c r="B253" s="761" t="s">
        <v>277</v>
      </c>
      <c r="C253" s="947">
        <v>0.15</v>
      </c>
      <c r="D253" s="947">
        <v>0.15</v>
      </c>
      <c r="E253" s="947">
        <v>0.15</v>
      </c>
      <c r="F253" s="948">
        <v>0.1</v>
      </c>
    </row>
    <row r="254" spans="1:6" ht="14.5" thickBot="1">
      <c r="A254" s="767" t="s">
        <v>529</v>
      </c>
      <c r="B254" s="761" t="s">
        <v>287</v>
      </c>
      <c r="C254" s="960"/>
      <c r="D254" s="960"/>
      <c r="E254" s="960"/>
      <c r="F254" s="948">
        <v>0.15</v>
      </c>
    </row>
    <row r="255" spans="1:6" ht="14.5" thickBot="1">
      <c r="A255" s="767" t="s">
        <v>529</v>
      </c>
      <c r="B255" s="761" t="s">
        <v>297</v>
      </c>
      <c r="C255" s="960"/>
      <c r="D255" s="960"/>
      <c r="E255" s="960"/>
      <c r="F255" s="948">
        <v>0.14299999999999999</v>
      </c>
    </row>
    <row r="256" spans="1:6" ht="14.5" thickBot="1">
      <c r="A256" s="767" t="s">
        <v>529</v>
      </c>
      <c r="B256" s="761" t="s">
        <v>758</v>
      </c>
      <c r="C256" s="947">
        <v>0.14599999999999999</v>
      </c>
      <c r="D256" s="947">
        <v>0.14699999999999999</v>
      </c>
      <c r="E256" s="947">
        <v>0.15</v>
      </c>
      <c r="F256" s="948">
        <v>0.13200000000000001</v>
      </c>
    </row>
    <row r="257" spans="1:6" ht="14.5" thickBot="1">
      <c r="A257" s="767" t="s">
        <v>529</v>
      </c>
      <c r="B257" s="761" t="s">
        <v>317</v>
      </c>
      <c r="C257" s="947">
        <v>0.15</v>
      </c>
      <c r="D257" s="947">
        <v>0.15</v>
      </c>
      <c r="E257" s="947">
        <v>0.15</v>
      </c>
      <c r="F257" s="948">
        <v>0.13900000000000001</v>
      </c>
    </row>
    <row r="258" spans="1:6" ht="14.5" thickBot="1">
      <c r="A258" s="767" t="s">
        <v>529</v>
      </c>
      <c r="B258" s="761" t="s">
        <v>328</v>
      </c>
      <c r="C258" s="947">
        <v>0.15</v>
      </c>
      <c r="D258" s="947">
        <v>0.15</v>
      </c>
      <c r="E258" s="947">
        <v>0.15</v>
      </c>
      <c r="F258" s="948">
        <v>0.13</v>
      </c>
    </row>
    <row r="259" spans="1:6" ht="14.5" thickBot="1">
      <c r="A259" s="767" t="s">
        <v>529</v>
      </c>
      <c r="B259" s="761" t="s">
        <v>759</v>
      </c>
      <c r="C259" s="947">
        <v>0.14799999999999999</v>
      </c>
      <c r="D259" s="947">
        <v>0.14899999999999999</v>
      </c>
      <c r="E259" s="947">
        <v>0.15</v>
      </c>
      <c r="F259" s="948">
        <v>0.13700000000000001</v>
      </c>
    </row>
    <row r="260" spans="1:6" ht="14.5" thickBot="1">
      <c r="A260" s="767" t="s">
        <v>529</v>
      </c>
      <c r="B260" s="761" t="s">
        <v>349</v>
      </c>
      <c r="C260" s="947">
        <v>0.15</v>
      </c>
      <c r="D260" s="947">
        <v>0.15</v>
      </c>
      <c r="E260" s="947">
        <v>0.15</v>
      </c>
      <c r="F260" s="948">
        <v>0.14199999999999999</v>
      </c>
    </row>
    <row r="261" spans="1:6" ht="14.5" thickBot="1">
      <c r="A261" s="767" t="s">
        <v>529</v>
      </c>
      <c r="B261" s="761" t="s">
        <v>359</v>
      </c>
      <c r="C261" s="947">
        <v>0.15</v>
      </c>
      <c r="D261" s="947">
        <v>0.15</v>
      </c>
      <c r="E261" s="947">
        <v>0.14899999999999999</v>
      </c>
      <c r="F261" s="948">
        <v>0.14799999999999999</v>
      </c>
    </row>
    <row r="262" spans="1:6" ht="14.5" thickBot="1">
      <c r="A262" s="767" t="s">
        <v>529</v>
      </c>
      <c r="B262" s="761" t="s">
        <v>369</v>
      </c>
      <c r="C262" s="947">
        <v>0.15</v>
      </c>
      <c r="D262" s="947">
        <v>0.15</v>
      </c>
      <c r="E262" s="947">
        <v>0.15</v>
      </c>
      <c r="F262" s="959"/>
    </row>
    <row r="263" spans="1:6" ht="14.5" thickBot="1">
      <c r="A263" s="767" t="s">
        <v>529</v>
      </c>
      <c r="B263" s="761" t="s">
        <v>760</v>
      </c>
      <c r="C263" s="947">
        <v>0.14899999999999999</v>
      </c>
      <c r="D263" s="947">
        <v>0.14899999999999999</v>
      </c>
      <c r="E263" s="947">
        <v>0.15</v>
      </c>
      <c r="F263" s="948">
        <v>0.13</v>
      </c>
    </row>
    <row r="264" spans="1:6" ht="14.5" thickBot="1">
      <c r="A264" s="767" t="s">
        <v>529</v>
      </c>
      <c r="B264" s="761" t="s">
        <v>388</v>
      </c>
      <c r="C264" s="947">
        <v>0.14799999999999999</v>
      </c>
      <c r="D264" s="947">
        <v>0.14699999999999999</v>
      </c>
      <c r="E264" s="947">
        <v>0.15</v>
      </c>
      <c r="F264" s="948">
        <v>7.8E-2</v>
      </c>
    </row>
    <row r="265" spans="1:6" ht="14.5" thickBot="1">
      <c r="A265" s="767" t="s">
        <v>529</v>
      </c>
      <c r="B265" s="761" t="s">
        <v>397</v>
      </c>
      <c r="C265" s="947">
        <v>0.15</v>
      </c>
      <c r="D265" s="947">
        <v>0.15</v>
      </c>
      <c r="E265" s="947">
        <v>0.15</v>
      </c>
      <c r="F265" s="948">
        <v>7.3999999999999996E-2</v>
      </c>
    </row>
    <row r="266" spans="1:6" ht="14.5" thickBot="1">
      <c r="A266" s="767" t="s">
        <v>529</v>
      </c>
      <c r="B266" s="761" t="s">
        <v>405</v>
      </c>
      <c r="C266" s="947">
        <v>0.14699999999999999</v>
      </c>
      <c r="D266" s="947">
        <v>0.14699999999999999</v>
      </c>
      <c r="E266" s="947">
        <v>0.15</v>
      </c>
      <c r="F266" s="948">
        <v>0.14299999999999999</v>
      </c>
    </row>
    <row r="267" spans="1:6" ht="14.5" thickBot="1">
      <c r="A267" s="767" t="s">
        <v>529</v>
      </c>
      <c r="B267" s="761" t="s">
        <v>412</v>
      </c>
      <c r="C267" s="947">
        <v>0.14199999999999999</v>
      </c>
      <c r="D267" s="947">
        <v>0.14299999999999999</v>
      </c>
      <c r="E267" s="947">
        <v>0.15</v>
      </c>
      <c r="F267" s="959"/>
    </row>
    <row r="268" spans="1:6" ht="14.5" thickBot="1">
      <c r="A268" s="767" t="s">
        <v>529</v>
      </c>
      <c r="B268" s="761" t="s">
        <v>761</v>
      </c>
      <c r="C268" s="947">
        <v>0.15</v>
      </c>
      <c r="D268" s="947">
        <v>0.15</v>
      </c>
      <c r="E268" s="947">
        <v>0.15</v>
      </c>
      <c r="F268" s="948">
        <v>0.13</v>
      </c>
    </row>
    <row r="269" spans="1:6" ht="14.5" thickBot="1">
      <c r="A269" s="767" t="s">
        <v>529</v>
      </c>
      <c r="B269" s="761" t="s">
        <v>426</v>
      </c>
      <c r="C269" s="947">
        <v>0.15</v>
      </c>
      <c r="D269" s="947">
        <v>0.15</v>
      </c>
      <c r="E269" s="947">
        <v>0.15</v>
      </c>
      <c r="F269" s="948">
        <v>0.14299999999999999</v>
      </c>
    </row>
    <row r="270" spans="1:6" ht="14.5" thickBot="1">
      <c r="A270" s="767" t="s">
        <v>529</v>
      </c>
      <c r="B270" s="761" t="s">
        <v>433</v>
      </c>
      <c r="C270" s="947">
        <v>0.14499999999999999</v>
      </c>
      <c r="D270" s="947">
        <v>0.14499999999999999</v>
      </c>
      <c r="E270" s="947">
        <v>0.15</v>
      </c>
      <c r="F270" s="948">
        <v>0.14699999999999999</v>
      </c>
    </row>
    <row r="271" spans="1:6" ht="14.5" thickBot="1">
      <c r="A271" s="767" t="s">
        <v>529</v>
      </c>
      <c r="B271" s="761" t="s">
        <v>440</v>
      </c>
      <c r="C271" s="947">
        <v>0.15</v>
      </c>
      <c r="D271" s="947">
        <v>0.15</v>
      </c>
      <c r="E271" s="947">
        <v>0.15</v>
      </c>
      <c r="F271" s="948">
        <v>0.13800000000000001</v>
      </c>
    </row>
    <row r="272" spans="1:6" ht="14.5" thickBot="1">
      <c r="A272" s="767" t="s">
        <v>529</v>
      </c>
      <c r="B272" s="761" t="s">
        <v>447</v>
      </c>
      <c r="C272" s="960"/>
      <c r="D272" s="960"/>
      <c r="E272" s="960"/>
      <c r="F272" s="948">
        <v>0.14000000000000001</v>
      </c>
    </row>
    <row r="273" spans="1:6" ht="14.5" thickBot="1">
      <c r="A273" s="767" t="s">
        <v>529</v>
      </c>
      <c r="B273" s="761" t="s">
        <v>762</v>
      </c>
      <c r="C273" s="947">
        <v>0.14199999999999999</v>
      </c>
      <c r="D273" s="947">
        <v>0.14299999999999999</v>
      </c>
      <c r="E273" s="947">
        <v>0.15</v>
      </c>
      <c r="F273" s="948">
        <v>0.1</v>
      </c>
    </row>
    <row r="274" spans="1:6" ht="14.5" thickBot="1">
      <c r="A274" s="767" t="s">
        <v>529</v>
      </c>
      <c r="B274" s="761" t="s">
        <v>763</v>
      </c>
      <c r="C274" s="947">
        <v>0.14799999999999999</v>
      </c>
      <c r="D274" s="947">
        <v>0.14799999999999999</v>
      </c>
      <c r="E274" s="947">
        <v>0.15</v>
      </c>
      <c r="F274" s="948">
        <v>6.7000000000000004E-2</v>
      </c>
    </row>
    <row r="275" spans="1:6" ht="14.5" thickBot="1">
      <c r="A275" s="767" t="s">
        <v>529</v>
      </c>
      <c r="B275" s="761" t="s">
        <v>764</v>
      </c>
      <c r="C275" s="947">
        <v>0.15</v>
      </c>
      <c r="D275" s="947">
        <v>0.15</v>
      </c>
      <c r="E275" s="947">
        <v>0.15</v>
      </c>
      <c r="F275" s="948">
        <v>0.15</v>
      </c>
    </row>
    <row r="276" spans="1:6" ht="14.5" thickBot="1">
      <c r="A276" s="767" t="s">
        <v>529</v>
      </c>
      <c r="B276" s="761" t="s">
        <v>765</v>
      </c>
      <c r="C276" s="947">
        <v>0.14499999999999999</v>
      </c>
      <c r="D276" s="947">
        <v>0.14299999999999999</v>
      </c>
      <c r="E276" s="947">
        <v>0.15</v>
      </c>
      <c r="F276" s="948">
        <v>5.8999999999999997E-2</v>
      </c>
    </row>
    <row r="277" spans="1:6" ht="14.5" thickBot="1">
      <c r="A277" s="767" t="s">
        <v>529</v>
      </c>
      <c r="B277" s="761" t="s">
        <v>766</v>
      </c>
      <c r="C277" s="947">
        <v>0.15</v>
      </c>
      <c r="D277" s="947">
        <v>0.15</v>
      </c>
      <c r="E277" s="947">
        <v>0.15</v>
      </c>
      <c r="F277" s="948">
        <v>0.121</v>
      </c>
    </row>
    <row r="278" spans="1:6" ht="14.5" thickBot="1">
      <c r="A278" s="767" t="s">
        <v>529</v>
      </c>
      <c r="B278" s="761" t="s">
        <v>767</v>
      </c>
      <c r="C278" s="947">
        <v>0.15</v>
      </c>
      <c r="D278" s="947">
        <v>0.15</v>
      </c>
      <c r="E278" s="947">
        <v>0.15</v>
      </c>
      <c r="F278" s="948">
        <v>0.13800000000000001</v>
      </c>
    </row>
    <row r="279" spans="1:6" ht="26.5" thickBot="1">
      <c r="A279" s="767" t="s">
        <v>529</v>
      </c>
      <c r="B279" s="761" t="s">
        <v>768</v>
      </c>
      <c r="C279" s="960"/>
      <c r="D279" s="960"/>
      <c r="E279" s="960"/>
      <c r="F279" s="948">
        <v>0.05</v>
      </c>
    </row>
    <row r="280" spans="1:6" ht="26.5" thickBot="1">
      <c r="A280" s="767" t="s">
        <v>529</v>
      </c>
      <c r="B280" s="761" t="s">
        <v>769</v>
      </c>
      <c r="C280" s="960"/>
      <c r="D280" s="960"/>
      <c r="E280" s="960"/>
      <c r="F280" s="948">
        <v>0.05</v>
      </c>
    </row>
    <row r="281" spans="1:6" ht="26.5" thickBot="1">
      <c r="A281" s="767" t="s">
        <v>529</v>
      </c>
      <c r="B281" s="761" t="s">
        <v>770</v>
      </c>
      <c r="C281" s="960"/>
      <c r="D281" s="960"/>
      <c r="E281" s="960"/>
      <c r="F281" s="948">
        <v>0.05</v>
      </c>
    </row>
    <row r="282" spans="1:6" ht="26.5" thickBot="1">
      <c r="A282" s="767" t="s">
        <v>529</v>
      </c>
      <c r="B282" s="761" t="s">
        <v>771</v>
      </c>
      <c r="C282" s="960"/>
      <c r="D282" s="960"/>
      <c r="E282" s="960"/>
      <c r="F282" s="948">
        <v>0.05</v>
      </c>
    </row>
    <row r="283" spans="1:6" ht="26.5" thickBot="1">
      <c r="A283" s="767" t="s">
        <v>529</v>
      </c>
      <c r="B283" s="761" t="s">
        <v>772</v>
      </c>
      <c r="C283" s="960"/>
      <c r="D283" s="960"/>
      <c r="E283" s="960"/>
      <c r="F283" s="948">
        <v>0.05</v>
      </c>
    </row>
    <row r="284" spans="1:6" ht="26.5" thickBot="1">
      <c r="A284" s="767" t="s">
        <v>529</v>
      </c>
      <c r="B284" s="761" t="s">
        <v>773</v>
      </c>
      <c r="C284" s="960"/>
      <c r="D284" s="960"/>
      <c r="E284" s="960"/>
      <c r="F284" s="948">
        <v>0.05</v>
      </c>
    </row>
    <row r="285" spans="1:6" ht="26.5" thickBot="1">
      <c r="A285" s="767" t="s">
        <v>529</v>
      </c>
      <c r="B285" s="761" t="s">
        <v>774</v>
      </c>
      <c r="C285" s="960"/>
      <c r="D285" s="960"/>
      <c r="E285" s="960"/>
      <c r="F285" s="948">
        <v>0.05</v>
      </c>
    </row>
    <row r="286" spans="1:6" ht="26.5" thickBot="1">
      <c r="A286" s="767" t="s">
        <v>529</v>
      </c>
      <c r="B286" s="761" t="s">
        <v>775</v>
      </c>
      <c r="C286" s="960"/>
      <c r="D286" s="960"/>
      <c r="E286" s="960"/>
      <c r="F286" s="948">
        <v>0.05</v>
      </c>
    </row>
    <row r="287" spans="1:6" ht="26.5" thickBot="1">
      <c r="A287" s="767" t="s">
        <v>529</v>
      </c>
      <c r="B287" s="761" t="s">
        <v>776</v>
      </c>
      <c r="C287" s="960"/>
      <c r="D287" s="960"/>
      <c r="E287" s="960"/>
      <c r="F287" s="948">
        <v>0.05</v>
      </c>
    </row>
    <row r="288" spans="1:6" ht="26.5" thickBot="1">
      <c r="A288" s="767" t="s">
        <v>529</v>
      </c>
      <c r="B288" s="761" t="s">
        <v>777</v>
      </c>
      <c r="C288" s="960"/>
      <c r="D288" s="960"/>
      <c r="E288" s="960"/>
      <c r="F288" s="948">
        <v>0.05</v>
      </c>
    </row>
    <row r="289" spans="1:6" ht="26.5" thickBot="1">
      <c r="A289" s="777" t="s">
        <v>529</v>
      </c>
      <c r="B289" s="773" t="s">
        <v>778</v>
      </c>
      <c r="C289" s="957"/>
      <c r="D289" s="957"/>
      <c r="E289" s="957"/>
      <c r="F289" s="950">
        <v>0.05</v>
      </c>
    </row>
    <row r="290" spans="1:6" ht="14.5" thickBot="1">
      <c r="A290" s="767" t="s">
        <v>533</v>
      </c>
      <c r="B290" s="768" t="s">
        <v>779</v>
      </c>
      <c r="C290" s="945">
        <v>0.15</v>
      </c>
      <c r="D290" s="945">
        <v>0.15</v>
      </c>
      <c r="E290" s="945">
        <v>0.15</v>
      </c>
      <c r="F290" s="962"/>
    </row>
    <row r="291" spans="1:6" ht="14.5" thickBot="1">
      <c r="A291" s="767" t="s">
        <v>533</v>
      </c>
      <c r="B291" s="761" t="s">
        <v>195</v>
      </c>
      <c r="C291" s="947">
        <v>0.15</v>
      </c>
      <c r="D291" s="947">
        <v>0.15</v>
      </c>
      <c r="E291" s="947">
        <v>0.15</v>
      </c>
      <c r="F291" s="959"/>
    </row>
    <row r="292" spans="1:6" ht="14.5" thickBot="1">
      <c r="A292" s="767" t="s">
        <v>533</v>
      </c>
      <c r="B292" s="761" t="s">
        <v>780</v>
      </c>
      <c r="C292" s="947">
        <v>0.15</v>
      </c>
      <c r="D292" s="947">
        <v>0.15</v>
      </c>
      <c r="E292" s="947">
        <v>0.15</v>
      </c>
      <c r="F292" s="948">
        <v>0.14699999999999999</v>
      </c>
    </row>
    <row r="293" spans="1:6" ht="14.5" thickBot="1">
      <c r="A293" s="767" t="s">
        <v>533</v>
      </c>
      <c r="B293" s="761" t="s">
        <v>781</v>
      </c>
      <c r="C293" s="960"/>
      <c r="D293" s="960"/>
      <c r="E293" s="960"/>
      <c r="F293" s="948">
        <v>0.1</v>
      </c>
    </row>
    <row r="294" spans="1:6" ht="14.5" thickBot="1">
      <c r="A294" s="767" t="s">
        <v>533</v>
      </c>
      <c r="B294" s="761" t="s">
        <v>782</v>
      </c>
      <c r="C294" s="947">
        <v>0.15</v>
      </c>
      <c r="D294" s="947">
        <v>0.15</v>
      </c>
      <c r="E294" s="947">
        <v>0.15</v>
      </c>
      <c r="F294" s="948">
        <v>0.15</v>
      </c>
    </row>
    <row r="295" spans="1:6" ht="14.5" thickBot="1">
      <c r="A295" s="767" t="s">
        <v>533</v>
      </c>
      <c r="B295" s="761" t="s">
        <v>233</v>
      </c>
      <c r="C295" s="947">
        <v>0.15</v>
      </c>
      <c r="D295" s="947">
        <v>0.15</v>
      </c>
      <c r="E295" s="947">
        <v>0.15</v>
      </c>
      <c r="F295" s="948">
        <v>0.15</v>
      </c>
    </row>
    <row r="296" spans="1:6" ht="14.5" thickBot="1">
      <c r="A296" s="767" t="s">
        <v>533</v>
      </c>
      <c r="B296" s="761" t="s">
        <v>783</v>
      </c>
      <c r="C296" s="947">
        <v>0.15</v>
      </c>
      <c r="D296" s="947">
        <v>0.15</v>
      </c>
      <c r="E296" s="947">
        <v>0.15</v>
      </c>
      <c r="F296" s="948">
        <v>0.15</v>
      </c>
    </row>
    <row r="297" spans="1:6" ht="14.5" thickBot="1">
      <c r="A297" s="767" t="s">
        <v>533</v>
      </c>
      <c r="B297" s="761" t="s">
        <v>784</v>
      </c>
      <c r="C297" s="947">
        <v>0.14799999999999999</v>
      </c>
      <c r="D297" s="947">
        <v>0.14899999999999999</v>
      </c>
      <c r="E297" s="947">
        <v>0.15</v>
      </c>
      <c r="F297" s="948">
        <v>0.13700000000000001</v>
      </c>
    </row>
    <row r="298" spans="1:6" ht="14.5" thickBot="1">
      <c r="A298" s="767" t="s">
        <v>533</v>
      </c>
      <c r="B298" s="761" t="s">
        <v>266</v>
      </c>
      <c r="C298" s="947">
        <v>0.13400000000000001</v>
      </c>
      <c r="D298" s="947">
        <v>0.13400000000000001</v>
      </c>
      <c r="E298" s="947">
        <v>0.14499999999999999</v>
      </c>
      <c r="F298" s="948">
        <v>0.14799999999999999</v>
      </c>
    </row>
    <row r="299" spans="1:6" ht="14.5" thickBot="1">
      <c r="A299" s="767" t="s">
        <v>533</v>
      </c>
      <c r="B299" s="761" t="s">
        <v>278</v>
      </c>
      <c r="C299" s="947">
        <v>0.15</v>
      </c>
      <c r="D299" s="947">
        <v>0.15</v>
      </c>
      <c r="E299" s="947">
        <v>0.15</v>
      </c>
      <c r="F299" s="959"/>
    </row>
    <row r="300" spans="1:6" ht="14.5" thickBot="1">
      <c r="A300" s="767" t="s">
        <v>533</v>
      </c>
      <c r="B300" s="761" t="s">
        <v>785</v>
      </c>
      <c r="C300" s="947">
        <v>0.15</v>
      </c>
      <c r="D300" s="947">
        <v>0.15</v>
      </c>
      <c r="E300" s="947">
        <v>0.15</v>
      </c>
      <c r="F300" s="948">
        <v>0.15</v>
      </c>
    </row>
    <row r="301" spans="1:6" ht="14.5" thickBot="1">
      <c r="A301" s="767" t="s">
        <v>533</v>
      </c>
      <c r="B301" s="761" t="s">
        <v>298</v>
      </c>
      <c r="C301" s="947">
        <v>0.15</v>
      </c>
      <c r="D301" s="947">
        <v>0.15</v>
      </c>
      <c r="E301" s="947">
        <v>0.15</v>
      </c>
      <c r="F301" s="959"/>
    </row>
    <row r="302" spans="1:6" ht="14.5" thickBot="1">
      <c r="A302" s="767" t="s">
        <v>533</v>
      </c>
      <c r="B302" s="761" t="s">
        <v>786</v>
      </c>
      <c r="C302" s="947">
        <v>0.15</v>
      </c>
      <c r="D302" s="947">
        <v>0.15</v>
      </c>
      <c r="E302" s="947">
        <v>0.15</v>
      </c>
      <c r="F302" s="948">
        <v>0.15</v>
      </c>
    </row>
    <row r="303" spans="1:6" ht="14.5" thickBot="1">
      <c r="A303" s="767" t="s">
        <v>533</v>
      </c>
      <c r="B303" s="761" t="s">
        <v>318</v>
      </c>
      <c r="C303" s="947">
        <v>0.15</v>
      </c>
      <c r="D303" s="947">
        <v>0.15</v>
      </c>
      <c r="E303" s="947">
        <v>0.15</v>
      </c>
      <c r="F303" s="948">
        <v>0.15</v>
      </c>
    </row>
    <row r="304" spans="1:6" ht="14.5" thickBot="1">
      <c r="A304" s="767" t="s">
        <v>533</v>
      </c>
      <c r="B304" s="761" t="s">
        <v>329</v>
      </c>
      <c r="C304" s="947">
        <v>0.15</v>
      </c>
      <c r="D304" s="947">
        <v>0.15</v>
      </c>
      <c r="E304" s="947">
        <v>0.15</v>
      </c>
      <c r="F304" s="959"/>
    </row>
    <row r="305" spans="1:6" ht="14.5" thickBot="1">
      <c r="A305" s="767" t="s">
        <v>533</v>
      </c>
      <c r="B305" s="761" t="s">
        <v>787</v>
      </c>
      <c r="C305" s="947">
        <v>0.15</v>
      </c>
      <c r="D305" s="947">
        <v>0.15</v>
      </c>
      <c r="E305" s="947">
        <v>0.15</v>
      </c>
      <c r="F305" s="948">
        <v>0.14000000000000001</v>
      </c>
    </row>
    <row r="306" spans="1:6" ht="14.5" thickBot="1">
      <c r="A306" s="767" t="s">
        <v>533</v>
      </c>
      <c r="B306" s="761" t="s">
        <v>350</v>
      </c>
      <c r="C306" s="947">
        <v>0.15</v>
      </c>
      <c r="D306" s="947">
        <v>0.15</v>
      </c>
      <c r="E306" s="947">
        <v>0.15</v>
      </c>
      <c r="F306" s="959"/>
    </row>
    <row r="307" spans="1:6" ht="14.5" thickBot="1">
      <c r="A307" s="767" t="s">
        <v>533</v>
      </c>
      <c r="B307" s="761" t="s">
        <v>788</v>
      </c>
      <c r="C307" s="947">
        <v>0.15</v>
      </c>
      <c r="D307" s="947">
        <v>0.15</v>
      </c>
      <c r="E307" s="947">
        <v>0.15</v>
      </c>
      <c r="F307" s="948">
        <v>0.14299999999999999</v>
      </c>
    </row>
    <row r="308" spans="1:6" ht="14.5" thickBot="1">
      <c r="A308" s="767" t="s">
        <v>533</v>
      </c>
      <c r="B308" s="761" t="s">
        <v>370</v>
      </c>
      <c r="C308" s="947">
        <v>0.15</v>
      </c>
      <c r="D308" s="947">
        <v>0.15</v>
      </c>
      <c r="E308" s="947">
        <v>0.15</v>
      </c>
      <c r="F308" s="948">
        <v>0.15</v>
      </c>
    </row>
    <row r="309" spans="1:6" ht="14.5" thickBot="1">
      <c r="A309" s="767" t="s">
        <v>533</v>
      </c>
      <c r="B309" s="761" t="s">
        <v>380</v>
      </c>
      <c r="C309" s="947">
        <v>0.15</v>
      </c>
      <c r="D309" s="947">
        <v>0.15</v>
      </c>
      <c r="E309" s="947">
        <v>0.15</v>
      </c>
      <c r="F309" s="959"/>
    </row>
    <row r="310" spans="1:6" ht="14.5" thickBot="1">
      <c r="A310" s="767" t="s">
        <v>533</v>
      </c>
      <c r="B310" s="761" t="s">
        <v>789</v>
      </c>
      <c r="C310" s="947">
        <v>0.15</v>
      </c>
      <c r="D310" s="947">
        <v>0.15</v>
      </c>
      <c r="E310" s="947">
        <v>0.15</v>
      </c>
      <c r="F310" s="948">
        <v>0.13700000000000001</v>
      </c>
    </row>
    <row r="311" spans="1:6" ht="14.5" thickBot="1">
      <c r="A311" s="767" t="s">
        <v>533</v>
      </c>
      <c r="B311" s="761" t="s">
        <v>790</v>
      </c>
      <c r="C311" s="947">
        <v>0.15</v>
      </c>
      <c r="D311" s="947">
        <v>0.15</v>
      </c>
      <c r="E311" s="947">
        <v>0.15</v>
      </c>
      <c r="F311" s="948">
        <v>0.15</v>
      </c>
    </row>
    <row r="312" spans="1:6" ht="14.5" thickBot="1">
      <c r="A312" s="767" t="s">
        <v>533</v>
      </c>
      <c r="B312" s="761" t="s">
        <v>406</v>
      </c>
      <c r="C312" s="947">
        <v>0.15</v>
      </c>
      <c r="D312" s="947">
        <v>0.15</v>
      </c>
      <c r="E312" s="947">
        <v>0.15</v>
      </c>
      <c r="F312" s="948">
        <v>0.1</v>
      </c>
    </row>
    <row r="313" spans="1:6" ht="14.5" thickBot="1">
      <c r="A313" s="767" t="s">
        <v>533</v>
      </c>
      <c r="B313" s="761" t="s">
        <v>791</v>
      </c>
      <c r="C313" s="947">
        <v>0.15</v>
      </c>
      <c r="D313" s="947">
        <v>0.15</v>
      </c>
      <c r="E313" s="947">
        <v>0.15</v>
      </c>
      <c r="F313" s="948">
        <v>0.15</v>
      </c>
    </row>
    <row r="314" spans="1:6" ht="26.5" thickBot="1">
      <c r="A314" s="767" t="s">
        <v>533</v>
      </c>
      <c r="B314" s="761" t="s">
        <v>792</v>
      </c>
      <c r="C314" s="960"/>
      <c r="D314" s="960"/>
      <c r="E314" s="960"/>
      <c r="F314" s="948">
        <v>0.05</v>
      </c>
    </row>
    <row r="315" spans="1:6" ht="26.5" thickBot="1">
      <c r="A315" s="767" t="s">
        <v>533</v>
      </c>
      <c r="B315" s="761" t="s">
        <v>793</v>
      </c>
      <c r="C315" s="960"/>
      <c r="D315" s="960"/>
      <c r="E315" s="960"/>
      <c r="F315" s="948">
        <v>0.05</v>
      </c>
    </row>
    <row r="316" spans="1:6" ht="26.5" thickBot="1">
      <c r="A316" s="777" t="s">
        <v>533</v>
      </c>
      <c r="B316" s="773" t="s">
        <v>794</v>
      </c>
      <c r="C316" s="957"/>
      <c r="D316" s="957"/>
      <c r="E316" s="957"/>
      <c r="F316" s="950">
        <v>0.05</v>
      </c>
    </row>
    <row r="317" spans="1:6" ht="14.5" thickBot="1">
      <c r="A317" s="767" t="s">
        <v>795</v>
      </c>
      <c r="B317" s="768" t="s">
        <v>796</v>
      </c>
      <c r="C317" s="945">
        <v>0.15</v>
      </c>
      <c r="D317" s="945">
        <v>0.15</v>
      </c>
      <c r="E317" s="945">
        <v>0.15</v>
      </c>
      <c r="F317" s="946">
        <v>0.15</v>
      </c>
    </row>
    <row r="318" spans="1:6" ht="14.5" thickBot="1">
      <c r="A318" s="767" t="s">
        <v>795</v>
      </c>
      <c r="B318" s="761" t="s">
        <v>797</v>
      </c>
      <c r="C318" s="947">
        <v>0.107</v>
      </c>
      <c r="D318" s="947">
        <v>0.11</v>
      </c>
      <c r="E318" s="947">
        <v>0.112</v>
      </c>
      <c r="F318" s="959"/>
    </row>
    <row r="319" spans="1:6" ht="14.5" thickBot="1">
      <c r="A319" s="767" t="s">
        <v>795</v>
      </c>
      <c r="B319" s="761" t="s">
        <v>798</v>
      </c>
      <c r="C319" s="947">
        <v>0.15</v>
      </c>
      <c r="D319" s="947">
        <v>0.15</v>
      </c>
      <c r="E319" s="947">
        <v>0.15</v>
      </c>
      <c r="F319" s="948">
        <v>0.15</v>
      </c>
    </row>
    <row r="320" spans="1:6" ht="14.5" thickBot="1">
      <c r="A320" s="767" t="s">
        <v>795</v>
      </c>
      <c r="B320" s="761" t="s">
        <v>222</v>
      </c>
      <c r="C320" s="947">
        <v>0.15</v>
      </c>
      <c r="D320" s="947">
        <v>0.15</v>
      </c>
      <c r="E320" s="947">
        <v>0.15</v>
      </c>
      <c r="F320" s="959"/>
    </row>
    <row r="321" spans="1:6" ht="14.5" thickBot="1">
      <c r="A321" s="767" t="s">
        <v>795</v>
      </c>
      <c r="B321" s="761" t="s">
        <v>799</v>
      </c>
      <c r="C321" s="947">
        <v>0.15</v>
      </c>
      <c r="D321" s="947">
        <v>0.15</v>
      </c>
      <c r="E321" s="947">
        <v>0.15</v>
      </c>
      <c r="F321" s="959"/>
    </row>
    <row r="322" spans="1:6" ht="14.5" thickBot="1">
      <c r="A322" s="767" t="s">
        <v>795</v>
      </c>
      <c r="B322" s="761" t="s">
        <v>800</v>
      </c>
      <c r="C322" s="947">
        <v>0.15</v>
      </c>
      <c r="D322" s="947">
        <v>0.15</v>
      </c>
      <c r="E322" s="947">
        <v>0.15</v>
      </c>
      <c r="F322" s="948">
        <v>0.15</v>
      </c>
    </row>
    <row r="323" spans="1:6" ht="14.5" thickBot="1">
      <c r="A323" s="767" t="s">
        <v>795</v>
      </c>
      <c r="B323" s="761" t="s">
        <v>801</v>
      </c>
      <c r="C323" s="947">
        <v>0.15</v>
      </c>
      <c r="D323" s="947">
        <v>0.15</v>
      </c>
      <c r="E323" s="947">
        <v>0.15</v>
      </c>
      <c r="F323" s="959"/>
    </row>
    <row r="324" spans="1:6" ht="14.5" thickBot="1">
      <c r="A324" s="767" t="s">
        <v>795</v>
      </c>
      <c r="B324" s="761" t="s">
        <v>802</v>
      </c>
      <c r="C324" s="947">
        <v>0.15</v>
      </c>
      <c r="D324" s="947">
        <v>0.15</v>
      </c>
      <c r="E324" s="947">
        <v>0.15</v>
      </c>
      <c r="F324" s="959"/>
    </row>
    <row r="325" spans="1:6" ht="14.5" thickBot="1">
      <c r="A325" s="767" t="s">
        <v>795</v>
      </c>
      <c r="B325" s="761" t="s">
        <v>803</v>
      </c>
      <c r="C325" s="947">
        <v>0.15</v>
      </c>
      <c r="D325" s="947">
        <v>0.15</v>
      </c>
      <c r="E325" s="947">
        <v>0.15</v>
      </c>
      <c r="F325" s="948">
        <v>0.14699999999999999</v>
      </c>
    </row>
    <row r="326" spans="1:6" ht="14.5" thickBot="1">
      <c r="A326" s="767" t="s">
        <v>795</v>
      </c>
      <c r="B326" s="761" t="s">
        <v>289</v>
      </c>
      <c r="C326" s="947">
        <v>0.15</v>
      </c>
      <c r="D326" s="947">
        <v>0.15</v>
      </c>
      <c r="E326" s="947">
        <v>0.15</v>
      </c>
      <c r="F326" s="959"/>
    </row>
    <row r="327" spans="1:6" ht="14.5" thickBot="1">
      <c r="A327" s="767" t="s">
        <v>795</v>
      </c>
      <c r="B327" s="761" t="s">
        <v>804</v>
      </c>
      <c r="C327" s="947">
        <v>0.15</v>
      </c>
      <c r="D327" s="947">
        <v>0.15</v>
      </c>
      <c r="E327" s="947">
        <v>0.15</v>
      </c>
      <c r="F327" s="948">
        <v>0.15</v>
      </c>
    </row>
    <row r="328" spans="1:6" ht="14.5" thickBot="1">
      <c r="A328" s="767" t="s">
        <v>795</v>
      </c>
      <c r="B328" s="761" t="s">
        <v>309</v>
      </c>
      <c r="C328" s="947">
        <v>0.15</v>
      </c>
      <c r="D328" s="947">
        <v>0.15</v>
      </c>
      <c r="E328" s="947">
        <v>0.15</v>
      </c>
      <c r="F328" s="948">
        <v>0.14099999999999999</v>
      </c>
    </row>
    <row r="329" spans="1:6" ht="14.5" thickBot="1">
      <c r="A329" s="767" t="s">
        <v>795</v>
      </c>
      <c r="B329" s="761" t="s">
        <v>319</v>
      </c>
      <c r="C329" s="947">
        <v>0.15</v>
      </c>
      <c r="D329" s="947">
        <v>0.15</v>
      </c>
      <c r="E329" s="947">
        <v>0.15</v>
      </c>
      <c r="F329" s="948">
        <v>0.15</v>
      </c>
    </row>
    <row r="330" spans="1:6" ht="14.5" thickBot="1">
      <c r="A330" s="767" t="s">
        <v>795</v>
      </c>
      <c r="B330" s="761" t="s">
        <v>330</v>
      </c>
      <c r="C330" s="947">
        <v>0.15</v>
      </c>
      <c r="D330" s="947">
        <v>0.15</v>
      </c>
      <c r="E330" s="947">
        <v>0.15</v>
      </c>
      <c r="F330" s="959"/>
    </row>
    <row r="331" spans="1:6" ht="14.5" thickBot="1">
      <c r="A331" s="767" t="s">
        <v>795</v>
      </c>
      <c r="B331" s="761" t="s">
        <v>805</v>
      </c>
      <c r="C331" s="947">
        <v>0.15</v>
      </c>
      <c r="D331" s="947">
        <v>0.15</v>
      </c>
      <c r="E331" s="947">
        <v>0.15</v>
      </c>
      <c r="F331" s="948">
        <v>0.15</v>
      </c>
    </row>
    <row r="332" spans="1:6" ht="14.5" thickBot="1">
      <c r="A332" s="767" t="s">
        <v>795</v>
      </c>
      <c r="B332" s="761" t="s">
        <v>351</v>
      </c>
      <c r="C332" s="947">
        <v>0.15</v>
      </c>
      <c r="D332" s="947">
        <v>0.15</v>
      </c>
      <c r="E332" s="947">
        <v>0.15</v>
      </c>
      <c r="F332" s="948">
        <v>0.15</v>
      </c>
    </row>
    <row r="333" spans="1:6" ht="14.5" thickBot="1">
      <c r="A333" s="767" t="s">
        <v>795</v>
      </c>
      <c r="B333" s="761" t="s">
        <v>806</v>
      </c>
      <c r="C333" s="947">
        <v>0.15</v>
      </c>
      <c r="D333" s="947">
        <v>0.15</v>
      </c>
      <c r="E333" s="947">
        <v>0.15</v>
      </c>
      <c r="F333" s="948">
        <v>0.14099999999999999</v>
      </c>
    </row>
    <row r="334" spans="1:6" ht="14.5" thickBot="1">
      <c r="A334" s="767" t="s">
        <v>795</v>
      </c>
      <c r="B334" s="761" t="s">
        <v>371</v>
      </c>
      <c r="C334" s="947">
        <v>0.15</v>
      </c>
      <c r="D334" s="947">
        <v>0.15</v>
      </c>
      <c r="E334" s="947">
        <v>0.15</v>
      </c>
      <c r="F334" s="948">
        <v>0.15</v>
      </c>
    </row>
    <row r="335" spans="1:6" ht="14.5" thickBot="1">
      <c r="A335" s="767" t="s">
        <v>795</v>
      </c>
      <c r="B335" s="761" t="s">
        <v>381</v>
      </c>
      <c r="C335" s="947">
        <v>0.15</v>
      </c>
      <c r="D335" s="947">
        <v>0.15</v>
      </c>
      <c r="E335" s="947">
        <v>0.15</v>
      </c>
      <c r="F335" s="959"/>
    </row>
    <row r="336" spans="1:6" ht="14.5" thickBot="1">
      <c r="A336" s="767" t="s">
        <v>795</v>
      </c>
      <c r="B336" s="761" t="s">
        <v>807</v>
      </c>
      <c r="C336" s="947">
        <v>0.15</v>
      </c>
      <c r="D336" s="947">
        <v>0.15</v>
      </c>
      <c r="E336" s="947">
        <v>0.15</v>
      </c>
      <c r="F336" s="948">
        <v>0.11799999999999999</v>
      </c>
    </row>
    <row r="337" spans="1:6" ht="14.5" thickBot="1">
      <c r="A337" s="777" t="s">
        <v>795</v>
      </c>
      <c r="B337" s="773" t="s">
        <v>399</v>
      </c>
      <c r="C337" s="957"/>
      <c r="D337" s="957"/>
      <c r="E337" s="957"/>
      <c r="F337" s="950">
        <v>0.14299999999999999</v>
      </c>
    </row>
    <row r="338" spans="1:6" ht="14.5" thickBot="1">
      <c r="A338" s="767" t="s">
        <v>808</v>
      </c>
      <c r="B338" s="768" t="s">
        <v>809</v>
      </c>
      <c r="C338" s="945">
        <v>0.15</v>
      </c>
      <c r="D338" s="945">
        <v>0.15</v>
      </c>
      <c r="E338" s="945">
        <v>0.15</v>
      </c>
      <c r="F338" s="962"/>
    </row>
    <row r="339" spans="1:6" ht="14.5" thickBot="1">
      <c r="A339" s="767" t="s">
        <v>808</v>
      </c>
      <c r="B339" s="761" t="s">
        <v>810</v>
      </c>
      <c r="C339" s="947">
        <v>0.15</v>
      </c>
      <c r="D339" s="947">
        <v>0.15</v>
      </c>
      <c r="E339" s="947">
        <v>0.15</v>
      </c>
      <c r="F339" s="959"/>
    </row>
    <row r="340" spans="1:6" ht="14.5" thickBot="1">
      <c r="A340" s="767" t="s">
        <v>808</v>
      </c>
      <c r="B340" s="761" t="s">
        <v>811</v>
      </c>
      <c r="C340" s="947">
        <v>0.15</v>
      </c>
      <c r="D340" s="947">
        <v>0.15</v>
      </c>
      <c r="E340" s="947">
        <v>0.15</v>
      </c>
      <c r="F340" s="959"/>
    </row>
    <row r="341" spans="1:6" ht="14.5" thickBot="1">
      <c r="A341" s="767" t="s">
        <v>808</v>
      </c>
      <c r="B341" s="761" t="s">
        <v>812</v>
      </c>
      <c r="C341" s="947">
        <v>0.15</v>
      </c>
      <c r="D341" s="947">
        <v>0.15</v>
      </c>
      <c r="E341" s="947">
        <v>0.15</v>
      </c>
      <c r="F341" s="948">
        <v>0.15</v>
      </c>
    </row>
    <row r="342" spans="1:6" ht="14.5" thickBot="1">
      <c r="A342" s="767" t="s">
        <v>808</v>
      </c>
      <c r="B342" s="761" t="s">
        <v>813</v>
      </c>
      <c r="C342" s="947">
        <v>0.15</v>
      </c>
      <c r="D342" s="947">
        <v>0.15</v>
      </c>
      <c r="E342" s="947">
        <v>0.15</v>
      </c>
      <c r="F342" s="948">
        <v>0.15</v>
      </c>
    </row>
    <row r="343" spans="1:6" ht="14.5" thickBot="1">
      <c r="A343" s="767" t="s">
        <v>808</v>
      </c>
      <c r="B343" s="761" t="s">
        <v>814</v>
      </c>
      <c r="C343" s="947">
        <v>0.15</v>
      </c>
      <c r="D343" s="947">
        <v>0.15</v>
      </c>
      <c r="E343" s="947">
        <v>0.15</v>
      </c>
      <c r="F343" s="948">
        <v>0.15</v>
      </c>
    </row>
    <row r="344" spans="1:6" ht="14.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L14" sqref="L14:Z14"/>
    </sheetView>
  </sheetViews>
  <sheetFormatPr defaultRowHeight="14"/>
  <cols>
    <col min="1" max="1" width="4.90625" style="1350" customWidth="1"/>
    <col min="2" max="2" width="13.08984375" style="1356" customWidth="1"/>
    <col min="3" max="3" width="15.6328125" style="1356" customWidth="1"/>
    <col min="4" max="4" width="9.36328125" style="1356" bestFit="1" customWidth="1"/>
    <col min="5" max="5" width="13.453125" style="1356" customWidth="1"/>
    <col min="6" max="6" width="9" style="1356"/>
    <col min="7" max="7" width="9.36328125" style="1356" bestFit="1" customWidth="1"/>
    <col min="8" max="8" width="12.08984375" style="1356" customWidth="1"/>
    <col min="9" max="9" width="9" style="1356"/>
    <col min="10" max="10" width="9.36328125" style="1356" bestFit="1" customWidth="1"/>
    <col min="11" max="11" width="4" style="1350" customWidth="1"/>
    <col min="12" max="12" width="5.08984375" style="1356" customWidth="1"/>
    <col min="13" max="13" width="13.90625" style="1356" customWidth="1"/>
    <col min="14" max="256" width="9" style="1356"/>
    <col min="257" max="257" width="4.90625" style="1347" customWidth="1"/>
    <col min="258" max="258" width="13.08984375" style="1347" customWidth="1"/>
    <col min="259" max="259" width="15.6328125" style="1347" customWidth="1"/>
    <col min="260" max="260" width="9.36328125" style="1347" bestFit="1" customWidth="1"/>
    <col min="261" max="261" width="13.453125" style="1347" customWidth="1"/>
    <col min="262" max="262" width="9" style="1347"/>
    <col min="263" max="263" width="9.36328125" style="1347" bestFit="1" customWidth="1"/>
    <col min="264" max="265" width="9" style="1347"/>
    <col min="266" max="266" width="9.36328125" style="1347" bestFit="1" customWidth="1"/>
    <col min="267" max="267" width="4" style="1347" customWidth="1"/>
    <col min="268" max="268" width="5.08984375" style="1347" customWidth="1"/>
    <col min="269" max="269" width="13.90625" style="1347" customWidth="1"/>
    <col min="270" max="512" width="9" style="1347"/>
    <col min="513" max="513" width="4.90625" style="1347" customWidth="1"/>
    <col min="514" max="514" width="13.08984375" style="1347" customWidth="1"/>
    <col min="515" max="515" width="15.6328125" style="1347" customWidth="1"/>
    <col min="516" max="516" width="9.36328125" style="1347" bestFit="1" customWidth="1"/>
    <col min="517" max="517" width="13.453125" style="1347" customWidth="1"/>
    <col min="518" max="518" width="9" style="1347"/>
    <col min="519" max="519" width="9.36328125" style="1347" bestFit="1" customWidth="1"/>
    <col min="520" max="521" width="9" style="1347"/>
    <col min="522" max="522" width="9.36328125" style="1347" bestFit="1" customWidth="1"/>
    <col min="523" max="523" width="4" style="1347" customWidth="1"/>
    <col min="524" max="524" width="5.08984375" style="1347" customWidth="1"/>
    <col min="525" max="525" width="13.90625" style="1347" customWidth="1"/>
    <col min="526" max="768" width="9" style="1347"/>
    <col min="769" max="769" width="4.90625" style="1347" customWidth="1"/>
    <col min="770" max="770" width="13.08984375" style="1347" customWidth="1"/>
    <col min="771" max="771" width="15.6328125" style="1347" customWidth="1"/>
    <col min="772" max="772" width="9.36328125" style="1347" bestFit="1" customWidth="1"/>
    <col min="773" max="773" width="13.453125" style="1347" customWidth="1"/>
    <col min="774" max="774" width="9" style="1347"/>
    <col min="775" max="775" width="9.36328125" style="1347" bestFit="1" customWidth="1"/>
    <col min="776" max="777" width="9" style="1347"/>
    <col min="778" max="778" width="9.36328125" style="1347" bestFit="1" customWidth="1"/>
    <col min="779" max="779" width="4" style="1347" customWidth="1"/>
    <col min="780" max="780" width="5.08984375" style="1347" customWidth="1"/>
    <col min="781" max="781" width="13.90625" style="1347" customWidth="1"/>
    <col min="782" max="1024" width="9" style="1347"/>
    <col min="1025" max="1025" width="4.90625" style="1347" customWidth="1"/>
    <col min="1026" max="1026" width="13.08984375" style="1347" customWidth="1"/>
    <col min="1027" max="1027" width="15.6328125" style="1347" customWidth="1"/>
    <col min="1028" max="1028" width="9.36328125" style="1347" bestFit="1" customWidth="1"/>
    <col min="1029" max="1029" width="13.453125" style="1347" customWidth="1"/>
    <col min="1030" max="1030" width="9" style="1347"/>
    <col min="1031" max="1031" width="9.36328125" style="1347" bestFit="1" customWidth="1"/>
    <col min="1032" max="1033" width="9" style="1347"/>
    <col min="1034" max="1034" width="9.36328125" style="1347" bestFit="1" customWidth="1"/>
    <col min="1035" max="1035" width="4" style="1347" customWidth="1"/>
    <col min="1036" max="1036" width="5.08984375" style="1347" customWidth="1"/>
    <col min="1037" max="1037" width="13.90625" style="1347" customWidth="1"/>
    <col min="1038" max="1280" width="9" style="1347"/>
    <col min="1281" max="1281" width="4.90625" style="1347" customWidth="1"/>
    <col min="1282" max="1282" width="13.08984375" style="1347" customWidth="1"/>
    <col min="1283" max="1283" width="15.6328125" style="1347" customWidth="1"/>
    <col min="1284" max="1284" width="9.36328125" style="1347" bestFit="1" customWidth="1"/>
    <col min="1285" max="1285" width="13.453125" style="1347" customWidth="1"/>
    <col min="1286" max="1286" width="9" style="1347"/>
    <col min="1287" max="1287" width="9.36328125" style="1347" bestFit="1" customWidth="1"/>
    <col min="1288" max="1289" width="9" style="1347"/>
    <col min="1290" max="1290" width="9.36328125" style="1347" bestFit="1" customWidth="1"/>
    <col min="1291" max="1291" width="4" style="1347" customWidth="1"/>
    <col min="1292" max="1292" width="5.08984375" style="1347" customWidth="1"/>
    <col min="1293" max="1293" width="13.90625" style="1347" customWidth="1"/>
    <col min="1294" max="1536" width="9" style="1347"/>
    <col min="1537" max="1537" width="4.90625" style="1347" customWidth="1"/>
    <col min="1538" max="1538" width="13.08984375" style="1347" customWidth="1"/>
    <col min="1539" max="1539" width="15.6328125" style="1347" customWidth="1"/>
    <col min="1540" max="1540" width="9.36328125" style="1347" bestFit="1" customWidth="1"/>
    <col min="1541" max="1541" width="13.453125" style="1347" customWidth="1"/>
    <col min="1542" max="1542" width="9" style="1347"/>
    <col min="1543" max="1543" width="9.36328125" style="1347" bestFit="1" customWidth="1"/>
    <col min="1544" max="1545" width="9" style="1347"/>
    <col min="1546" max="1546" width="9.36328125" style="1347" bestFit="1" customWidth="1"/>
    <col min="1547" max="1547" width="4" style="1347" customWidth="1"/>
    <col min="1548" max="1548" width="5.08984375" style="1347" customWidth="1"/>
    <col min="1549" max="1549" width="13.90625" style="1347" customWidth="1"/>
    <col min="1550" max="1792" width="9" style="1347"/>
    <col min="1793" max="1793" width="4.90625" style="1347" customWidth="1"/>
    <col min="1794" max="1794" width="13.08984375" style="1347" customWidth="1"/>
    <col min="1795" max="1795" width="15.6328125" style="1347" customWidth="1"/>
    <col min="1796" max="1796" width="9.36328125" style="1347" bestFit="1" customWidth="1"/>
    <col min="1797" max="1797" width="13.453125" style="1347" customWidth="1"/>
    <col min="1798" max="1798" width="9" style="1347"/>
    <col min="1799" max="1799" width="9.36328125" style="1347" bestFit="1" customWidth="1"/>
    <col min="1800" max="1801" width="9" style="1347"/>
    <col min="1802" max="1802" width="9.36328125" style="1347" bestFit="1" customWidth="1"/>
    <col min="1803" max="1803" width="4" style="1347" customWidth="1"/>
    <col min="1804" max="1804" width="5.08984375" style="1347" customWidth="1"/>
    <col min="1805" max="1805" width="13.90625" style="1347" customWidth="1"/>
    <col min="1806" max="2048" width="9" style="1347"/>
    <col min="2049" max="2049" width="4.90625" style="1347" customWidth="1"/>
    <col min="2050" max="2050" width="13.08984375" style="1347" customWidth="1"/>
    <col min="2051" max="2051" width="15.6328125" style="1347" customWidth="1"/>
    <col min="2052" max="2052" width="9.36328125" style="1347" bestFit="1" customWidth="1"/>
    <col min="2053" max="2053" width="13.453125" style="1347" customWidth="1"/>
    <col min="2054" max="2054" width="9" style="1347"/>
    <col min="2055" max="2055" width="9.36328125" style="1347" bestFit="1" customWidth="1"/>
    <col min="2056" max="2057" width="9" style="1347"/>
    <col min="2058" max="2058" width="9.36328125" style="1347" bestFit="1" customWidth="1"/>
    <col min="2059" max="2059" width="4" style="1347" customWidth="1"/>
    <col min="2060" max="2060" width="5.08984375" style="1347" customWidth="1"/>
    <col min="2061" max="2061" width="13.90625" style="1347" customWidth="1"/>
    <col min="2062" max="2304" width="9" style="1347"/>
    <col min="2305" max="2305" width="4.90625" style="1347" customWidth="1"/>
    <col min="2306" max="2306" width="13.08984375" style="1347" customWidth="1"/>
    <col min="2307" max="2307" width="15.6328125" style="1347" customWidth="1"/>
    <col min="2308" max="2308" width="9.36328125" style="1347" bestFit="1" customWidth="1"/>
    <col min="2309" max="2309" width="13.453125" style="1347" customWidth="1"/>
    <col min="2310" max="2310" width="9" style="1347"/>
    <col min="2311" max="2311" width="9.36328125" style="1347" bestFit="1" customWidth="1"/>
    <col min="2312" max="2313" width="9" style="1347"/>
    <col min="2314" max="2314" width="9.36328125" style="1347" bestFit="1" customWidth="1"/>
    <col min="2315" max="2315" width="4" style="1347" customWidth="1"/>
    <col min="2316" max="2316" width="5.08984375" style="1347" customWidth="1"/>
    <col min="2317" max="2317" width="13.90625" style="1347" customWidth="1"/>
    <col min="2318" max="2560" width="9" style="1347"/>
    <col min="2561" max="2561" width="4.90625" style="1347" customWidth="1"/>
    <col min="2562" max="2562" width="13.08984375" style="1347" customWidth="1"/>
    <col min="2563" max="2563" width="15.6328125" style="1347" customWidth="1"/>
    <col min="2564" max="2564" width="9.36328125" style="1347" bestFit="1" customWidth="1"/>
    <col min="2565" max="2565" width="13.453125" style="1347" customWidth="1"/>
    <col min="2566" max="2566" width="9" style="1347"/>
    <col min="2567" max="2567" width="9.36328125" style="1347" bestFit="1" customWidth="1"/>
    <col min="2568" max="2569" width="9" style="1347"/>
    <col min="2570" max="2570" width="9.36328125" style="1347" bestFit="1" customWidth="1"/>
    <col min="2571" max="2571" width="4" style="1347" customWidth="1"/>
    <col min="2572" max="2572" width="5.08984375" style="1347" customWidth="1"/>
    <col min="2573" max="2573" width="13.90625" style="1347" customWidth="1"/>
    <col min="2574" max="2816" width="9" style="1347"/>
    <col min="2817" max="2817" width="4.90625" style="1347" customWidth="1"/>
    <col min="2818" max="2818" width="13.08984375" style="1347" customWidth="1"/>
    <col min="2819" max="2819" width="15.6328125" style="1347" customWidth="1"/>
    <col min="2820" max="2820" width="9.36328125" style="1347" bestFit="1" customWidth="1"/>
    <col min="2821" max="2821" width="13.453125" style="1347" customWidth="1"/>
    <col min="2822" max="2822" width="9" style="1347"/>
    <col min="2823" max="2823" width="9.36328125" style="1347" bestFit="1" customWidth="1"/>
    <col min="2824" max="2825" width="9" style="1347"/>
    <col min="2826" max="2826" width="9.36328125" style="1347" bestFit="1" customWidth="1"/>
    <col min="2827" max="2827" width="4" style="1347" customWidth="1"/>
    <col min="2828" max="2828" width="5.08984375" style="1347" customWidth="1"/>
    <col min="2829" max="2829" width="13.90625" style="1347" customWidth="1"/>
    <col min="2830" max="3072" width="9" style="1347"/>
    <col min="3073" max="3073" width="4.90625" style="1347" customWidth="1"/>
    <col min="3074" max="3074" width="13.08984375" style="1347" customWidth="1"/>
    <col min="3075" max="3075" width="15.6328125" style="1347" customWidth="1"/>
    <col min="3076" max="3076" width="9.36328125" style="1347" bestFit="1" customWidth="1"/>
    <col min="3077" max="3077" width="13.453125" style="1347" customWidth="1"/>
    <col min="3078" max="3078" width="9" style="1347"/>
    <col min="3079" max="3079" width="9.36328125" style="1347" bestFit="1" customWidth="1"/>
    <col min="3080" max="3081" width="9" style="1347"/>
    <col min="3082" max="3082" width="9.36328125" style="1347" bestFit="1" customWidth="1"/>
    <col min="3083" max="3083" width="4" style="1347" customWidth="1"/>
    <col min="3084" max="3084" width="5.08984375" style="1347" customWidth="1"/>
    <col min="3085" max="3085" width="13.90625" style="1347" customWidth="1"/>
    <col min="3086" max="3328" width="9" style="1347"/>
    <col min="3329" max="3329" width="4.90625" style="1347" customWidth="1"/>
    <col min="3330" max="3330" width="13.08984375" style="1347" customWidth="1"/>
    <col min="3331" max="3331" width="15.6328125" style="1347" customWidth="1"/>
    <col min="3332" max="3332" width="9.36328125" style="1347" bestFit="1" customWidth="1"/>
    <col min="3333" max="3333" width="13.453125" style="1347" customWidth="1"/>
    <col min="3334" max="3334" width="9" style="1347"/>
    <col min="3335" max="3335" width="9.36328125" style="1347" bestFit="1" customWidth="1"/>
    <col min="3336" max="3337" width="9" style="1347"/>
    <col min="3338" max="3338" width="9.36328125" style="1347" bestFit="1" customWidth="1"/>
    <col min="3339" max="3339" width="4" style="1347" customWidth="1"/>
    <col min="3340" max="3340" width="5.08984375" style="1347" customWidth="1"/>
    <col min="3341" max="3341" width="13.90625" style="1347" customWidth="1"/>
    <col min="3342" max="3584" width="9" style="1347"/>
    <col min="3585" max="3585" width="4.90625" style="1347" customWidth="1"/>
    <col min="3586" max="3586" width="13.08984375" style="1347" customWidth="1"/>
    <col min="3587" max="3587" width="15.6328125" style="1347" customWidth="1"/>
    <col min="3588" max="3588" width="9.36328125" style="1347" bestFit="1" customWidth="1"/>
    <col min="3589" max="3589" width="13.453125" style="1347" customWidth="1"/>
    <col min="3590" max="3590" width="9" style="1347"/>
    <col min="3591" max="3591" width="9.36328125" style="1347" bestFit="1" customWidth="1"/>
    <col min="3592" max="3593" width="9" style="1347"/>
    <col min="3594" max="3594" width="9.36328125" style="1347" bestFit="1" customWidth="1"/>
    <col min="3595" max="3595" width="4" style="1347" customWidth="1"/>
    <col min="3596" max="3596" width="5.08984375" style="1347" customWidth="1"/>
    <col min="3597" max="3597" width="13.90625" style="1347" customWidth="1"/>
    <col min="3598" max="3840" width="9" style="1347"/>
    <col min="3841" max="3841" width="4.90625" style="1347" customWidth="1"/>
    <col min="3842" max="3842" width="13.08984375" style="1347" customWidth="1"/>
    <col min="3843" max="3843" width="15.6328125" style="1347" customWidth="1"/>
    <col min="3844" max="3844" width="9.36328125" style="1347" bestFit="1" customWidth="1"/>
    <col min="3845" max="3845" width="13.453125" style="1347" customWidth="1"/>
    <col min="3846" max="3846" width="9" style="1347"/>
    <col min="3847" max="3847" width="9.36328125" style="1347" bestFit="1" customWidth="1"/>
    <col min="3848" max="3849" width="9" style="1347"/>
    <col min="3850" max="3850" width="9.36328125" style="1347" bestFit="1" customWidth="1"/>
    <col min="3851" max="3851" width="4" style="1347" customWidth="1"/>
    <col min="3852" max="3852" width="5.08984375" style="1347" customWidth="1"/>
    <col min="3853" max="3853" width="13.90625" style="1347" customWidth="1"/>
    <col min="3854" max="4096" width="9" style="1347"/>
    <col min="4097" max="4097" width="4.90625" style="1347" customWidth="1"/>
    <col min="4098" max="4098" width="13.08984375" style="1347" customWidth="1"/>
    <col min="4099" max="4099" width="15.6328125" style="1347" customWidth="1"/>
    <col min="4100" max="4100" width="9.36328125" style="1347" bestFit="1" customWidth="1"/>
    <col min="4101" max="4101" width="13.453125" style="1347" customWidth="1"/>
    <col min="4102" max="4102" width="9" style="1347"/>
    <col min="4103" max="4103" width="9.36328125" style="1347" bestFit="1" customWidth="1"/>
    <col min="4104" max="4105" width="9" style="1347"/>
    <col min="4106" max="4106" width="9.36328125" style="1347" bestFit="1" customWidth="1"/>
    <col min="4107" max="4107" width="4" style="1347" customWidth="1"/>
    <col min="4108" max="4108" width="5.08984375" style="1347" customWidth="1"/>
    <col min="4109" max="4109" width="13.90625" style="1347" customWidth="1"/>
    <col min="4110" max="4352" width="9" style="1347"/>
    <col min="4353" max="4353" width="4.90625" style="1347" customWidth="1"/>
    <col min="4354" max="4354" width="13.08984375" style="1347" customWidth="1"/>
    <col min="4355" max="4355" width="15.6328125" style="1347" customWidth="1"/>
    <col min="4356" max="4356" width="9.36328125" style="1347" bestFit="1" customWidth="1"/>
    <col min="4357" max="4357" width="13.453125" style="1347" customWidth="1"/>
    <col min="4358" max="4358" width="9" style="1347"/>
    <col min="4359" max="4359" width="9.36328125" style="1347" bestFit="1" customWidth="1"/>
    <col min="4360" max="4361" width="9" style="1347"/>
    <col min="4362" max="4362" width="9.36328125" style="1347" bestFit="1" customWidth="1"/>
    <col min="4363" max="4363" width="4" style="1347" customWidth="1"/>
    <col min="4364" max="4364" width="5.08984375" style="1347" customWidth="1"/>
    <col min="4365" max="4365" width="13.90625" style="1347" customWidth="1"/>
    <col min="4366" max="4608" width="9" style="1347"/>
    <col min="4609" max="4609" width="4.90625" style="1347" customWidth="1"/>
    <col min="4610" max="4610" width="13.08984375" style="1347" customWidth="1"/>
    <col min="4611" max="4611" width="15.6328125" style="1347" customWidth="1"/>
    <col min="4612" max="4612" width="9.36328125" style="1347" bestFit="1" customWidth="1"/>
    <col min="4613" max="4613" width="13.453125" style="1347" customWidth="1"/>
    <col min="4614" max="4614" width="9" style="1347"/>
    <col min="4615" max="4615" width="9.36328125" style="1347" bestFit="1" customWidth="1"/>
    <col min="4616" max="4617" width="9" style="1347"/>
    <col min="4618" max="4618" width="9.36328125" style="1347" bestFit="1" customWidth="1"/>
    <col min="4619" max="4619" width="4" style="1347" customWidth="1"/>
    <col min="4620" max="4620" width="5.08984375" style="1347" customWidth="1"/>
    <col min="4621" max="4621" width="13.90625" style="1347" customWidth="1"/>
    <col min="4622" max="4864" width="9" style="1347"/>
    <col min="4865" max="4865" width="4.90625" style="1347" customWidth="1"/>
    <col min="4866" max="4866" width="13.08984375" style="1347" customWidth="1"/>
    <col min="4867" max="4867" width="15.6328125" style="1347" customWidth="1"/>
    <col min="4868" max="4868" width="9.36328125" style="1347" bestFit="1" customWidth="1"/>
    <col min="4869" max="4869" width="13.453125" style="1347" customWidth="1"/>
    <col min="4870" max="4870" width="9" style="1347"/>
    <col min="4871" max="4871" width="9.36328125" style="1347" bestFit="1" customWidth="1"/>
    <col min="4872" max="4873" width="9" style="1347"/>
    <col min="4874" max="4874" width="9.36328125" style="1347" bestFit="1" customWidth="1"/>
    <col min="4875" max="4875" width="4" style="1347" customWidth="1"/>
    <col min="4876" max="4876" width="5.08984375" style="1347" customWidth="1"/>
    <col min="4877" max="4877" width="13.90625" style="1347" customWidth="1"/>
    <col min="4878" max="5120" width="9" style="1347"/>
    <col min="5121" max="5121" width="4.90625" style="1347" customWidth="1"/>
    <col min="5122" max="5122" width="13.08984375" style="1347" customWidth="1"/>
    <col min="5123" max="5123" width="15.6328125" style="1347" customWidth="1"/>
    <col min="5124" max="5124" width="9.36328125" style="1347" bestFit="1" customWidth="1"/>
    <col min="5125" max="5125" width="13.453125" style="1347" customWidth="1"/>
    <col min="5126" max="5126" width="9" style="1347"/>
    <col min="5127" max="5127" width="9.36328125" style="1347" bestFit="1" customWidth="1"/>
    <col min="5128" max="5129" width="9" style="1347"/>
    <col min="5130" max="5130" width="9.36328125" style="1347" bestFit="1" customWidth="1"/>
    <col min="5131" max="5131" width="4" style="1347" customWidth="1"/>
    <col min="5132" max="5132" width="5.08984375" style="1347" customWidth="1"/>
    <col min="5133" max="5133" width="13.90625" style="1347" customWidth="1"/>
    <col min="5134" max="5376" width="9" style="1347"/>
    <col min="5377" max="5377" width="4.90625" style="1347" customWidth="1"/>
    <col min="5378" max="5378" width="13.08984375" style="1347" customWidth="1"/>
    <col min="5379" max="5379" width="15.6328125" style="1347" customWidth="1"/>
    <col min="5380" max="5380" width="9.36328125" style="1347" bestFit="1" customWidth="1"/>
    <col min="5381" max="5381" width="13.453125" style="1347" customWidth="1"/>
    <col min="5382" max="5382" width="9" style="1347"/>
    <col min="5383" max="5383" width="9.36328125" style="1347" bestFit="1" customWidth="1"/>
    <col min="5384" max="5385" width="9" style="1347"/>
    <col min="5386" max="5386" width="9.36328125" style="1347" bestFit="1" customWidth="1"/>
    <col min="5387" max="5387" width="4" style="1347" customWidth="1"/>
    <col min="5388" max="5388" width="5.08984375" style="1347" customWidth="1"/>
    <col min="5389" max="5389" width="13.90625" style="1347" customWidth="1"/>
    <col min="5390" max="5632" width="9" style="1347"/>
    <col min="5633" max="5633" width="4.90625" style="1347" customWidth="1"/>
    <col min="5634" max="5634" width="13.08984375" style="1347" customWidth="1"/>
    <col min="5635" max="5635" width="15.6328125" style="1347" customWidth="1"/>
    <col min="5636" max="5636" width="9.36328125" style="1347" bestFit="1" customWidth="1"/>
    <col min="5637" max="5637" width="13.453125" style="1347" customWidth="1"/>
    <col min="5638" max="5638" width="9" style="1347"/>
    <col min="5639" max="5639" width="9.36328125" style="1347" bestFit="1" customWidth="1"/>
    <col min="5640" max="5641" width="9" style="1347"/>
    <col min="5642" max="5642" width="9.36328125" style="1347" bestFit="1" customWidth="1"/>
    <col min="5643" max="5643" width="4" style="1347" customWidth="1"/>
    <col min="5644" max="5644" width="5.08984375" style="1347" customWidth="1"/>
    <col min="5645" max="5645" width="13.90625" style="1347" customWidth="1"/>
    <col min="5646" max="5888" width="9" style="1347"/>
    <col min="5889" max="5889" width="4.90625" style="1347" customWidth="1"/>
    <col min="5890" max="5890" width="13.08984375" style="1347" customWidth="1"/>
    <col min="5891" max="5891" width="15.6328125" style="1347" customWidth="1"/>
    <col min="5892" max="5892" width="9.36328125" style="1347" bestFit="1" customWidth="1"/>
    <col min="5893" max="5893" width="13.453125" style="1347" customWidth="1"/>
    <col min="5894" max="5894" width="9" style="1347"/>
    <col min="5895" max="5895" width="9.36328125" style="1347" bestFit="1" customWidth="1"/>
    <col min="5896" max="5897" width="9" style="1347"/>
    <col min="5898" max="5898" width="9.36328125" style="1347" bestFit="1" customWidth="1"/>
    <col min="5899" max="5899" width="4" style="1347" customWidth="1"/>
    <col min="5900" max="5900" width="5.08984375" style="1347" customWidth="1"/>
    <col min="5901" max="5901" width="13.90625" style="1347" customWidth="1"/>
    <col min="5902" max="6144" width="9" style="1347"/>
    <col min="6145" max="6145" width="4.90625" style="1347" customWidth="1"/>
    <col min="6146" max="6146" width="13.08984375" style="1347" customWidth="1"/>
    <col min="6147" max="6147" width="15.6328125" style="1347" customWidth="1"/>
    <col min="6148" max="6148" width="9.36328125" style="1347" bestFit="1" customWidth="1"/>
    <col min="6149" max="6149" width="13.453125" style="1347" customWidth="1"/>
    <col min="6150" max="6150" width="9" style="1347"/>
    <col min="6151" max="6151" width="9.36328125" style="1347" bestFit="1" customWidth="1"/>
    <col min="6152" max="6153" width="9" style="1347"/>
    <col min="6154" max="6154" width="9.36328125" style="1347" bestFit="1" customWidth="1"/>
    <col min="6155" max="6155" width="4" style="1347" customWidth="1"/>
    <col min="6156" max="6156" width="5.08984375" style="1347" customWidth="1"/>
    <col min="6157" max="6157" width="13.90625" style="1347" customWidth="1"/>
    <col min="6158" max="6400" width="9" style="1347"/>
    <col min="6401" max="6401" width="4.90625" style="1347" customWidth="1"/>
    <col min="6402" max="6402" width="13.08984375" style="1347" customWidth="1"/>
    <col min="6403" max="6403" width="15.6328125" style="1347" customWidth="1"/>
    <col min="6404" max="6404" width="9.36328125" style="1347" bestFit="1" customWidth="1"/>
    <col min="6405" max="6405" width="13.453125" style="1347" customWidth="1"/>
    <col min="6406" max="6406" width="9" style="1347"/>
    <col min="6407" max="6407" width="9.36328125" style="1347" bestFit="1" customWidth="1"/>
    <col min="6408" max="6409" width="9" style="1347"/>
    <col min="6410" max="6410" width="9.36328125" style="1347" bestFit="1" customWidth="1"/>
    <col min="6411" max="6411" width="4" style="1347" customWidth="1"/>
    <col min="6412" max="6412" width="5.08984375" style="1347" customWidth="1"/>
    <col min="6413" max="6413" width="13.90625" style="1347" customWidth="1"/>
    <col min="6414" max="6656" width="9" style="1347"/>
    <col min="6657" max="6657" width="4.90625" style="1347" customWidth="1"/>
    <col min="6658" max="6658" width="13.08984375" style="1347" customWidth="1"/>
    <col min="6659" max="6659" width="15.6328125" style="1347" customWidth="1"/>
    <col min="6660" max="6660" width="9.36328125" style="1347" bestFit="1" customWidth="1"/>
    <col min="6661" max="6661" width="13.453125" style="1347" customWidth="1"/>
    <col min="6662" max="6662" width="9" style="1347"/>
    <col min="6663" max="6663" width="9.36328125" style="1347" bestFit="1" customWidth="1"/>
    <col min="6664" max="6665" width="9" style="1347"/>
    <col min="6666" max="6666" width="9.36328125" style="1347" bestFit="1" customWidth="1"/>
    <col min="6667" max="6667" width="4" style="1347" customWidth="1"/>
    <col min="6668" max="6668" width="5.08984375" style="1347" customWidth="1"/>
    <col min="6669" max="6669" width="13.90625" style="1347" customWidth="1"/>
    <col min="6670" max="6912" width="9" style="1347"/>
    <col min="6913" max="6913" width="4.90625" style="1347" customWidth="1"/>
    <col min="6914" max="6914" width="13.08984375" style="1347" customWidth="1"/>
    <col min="6915" max="6915" width="15.6328125" style="1347" customWidth="1"/>
    <col min="6916" max="6916" width="9.36328125" style="1347" bestFit="1" customWidth="1"/>
    <col min="6917" max="6917" width="13.453125" style="1347" customWidth="1"/>
    <col min="6918" max="6918" width="9" style="1347"/>
    <col min="6919" max="6919" width="9.36328125" style="1347" bestFit="1" customWidth="1"/>
    <col min="6920" max="6921" width="9" style="1347"/>
    <col min="6922" max="6922" width="9.36328125" style="1347" bestFit="1" customWidth="1"/>
    <col min="6923" max="6923" width="4" style="1347" customWidth="1"/>
    <col min="6924" max="6924" width="5.08984375" style="1347" customWidth="1"/>
    <col min="6925" max="6925" width="13.90625" style="1347" customWidth="1"/>
    <col min="6926" max="7168" width="9" style="1347"/>
    <col min="7169" max="7169" width="4.90625" style="1347" customWidth="1"/>
    <col min="7170" max="7170" width="13.08984375" style="1347" customWidth="1"/>
    <col min="7171" max="7171" width="15.6328125" style="1347" customWidth="1"/>
    <col min="7172" max="7172" width="9.36328125" style="1347" bestFit="1" customWidth="1"/>
    <col min="7173" max="7173" width="13.453125" style="1347" customWidth="1"/>
    <col min="7174" max="7174" width="9" style="1347"/>
    <col min="7175" max="7175" width="9.36328125" style="1347" bestFit="1" customWidth="1"/>
    <col min="7176" max="7177" width="9" style="1347"/>
    <col min="7178" max="7178" width="9.36328125" style="1347" bestFit="1" customWidth="1"/>
    <col min="7179" max="7179" width="4" style="1347" customWidth="1"/>
    <col min="7180" max="7180" width="5.08984375" style="1347" customWidth="1"/>
    <col min="7181" max="7181" width="13.90625" style="1347" customWidth="1"/>
    <col min="7182" max="7424" width="9" style="1347"/>
    <col min="7425" max="7425" width="4.90625" style="1347" customWidth="1"/>
    <col min="7426" max="7426" width="13.08984375" style="1347" customWidth="1"/>
    <col min="7427" max="7427" width="15.6328125" style="1347" customWidth="1"/>
    <col min="7428" max="7428" width="9.36328125" style="1347" bestFit="1" customWidth="1"/>
    <col min="7429" max="7429" width="13.453125" style="1347" customWidth="1"/>
    <col min="7430" max="7430" width="9" style="1347"/>
    <col min="7431" max="7431" width="9.36328125" style="1347" bestFit="1" customWidth="1"/>
    <col min="7432" max="7433" width="9" style="1347"/>
    <col min="7434" max="7434" width="9.36328125" style="1347" bestFit="1" customWidth="1"/>
    <col min="7435" max="7435" width="4" style="1347" customWidth="1"/>
    <col min="7436" max="7436" width="5.08984375" style="1347" customWidth="1"/>
    <col min="7437" max="7437" width="13.90625" style="1347" customWidth="1"/>
    <col min="7438" max="7680" width="9" style="1347"/>
    <col min="7681" max="7681" width="4.90625" style="1347" customWidth="1"/>
    <col min="7682" max="7682" width="13.08984375" style="1347" customWidth="1"/>
    <col min="7683" max="7683" width="15.6328125" style="1347" customWidth="1"/>
    <col min="7684" max="7684" width="9.36328125" style="1347" bestFit="1" customWidth="1"/>
    <col min="7685" max="7685" width="13.453125" style="1347" customWidth="1"/>
    <col min="7686" max="7686" width="9" style="1347"/>
    <col min="7687" max="7687" width="9.36328125" style="1347" bestFit="1" customWidth="1"/>
    <col min="7688" max="7689" width="9" style="1347"/>
    <col min="7690" max="7690" width="9.36328125" style="1347" bestFit="1" customWidth="1"/>
    <col min="7691" max="7691" width="4" style="1347" customWidth="1"/>
    <col min="7692" max="7692" width="5.08984375" style="1347" customWidth="1"/>
    <col min="7693" max="7693" width="13.90625" style="1347" customWidth="1"/>
    <col min="7694" max="7936" width="9" style="1347"/>
    <col min="7937" max="7937" width="4.90625" style="1347" customWidth="1"/>
    <col min="7938" max="7938" width="13.08984375" style="1347" customWidth="1"/>
    <col min="7939" max="7939" width="15.6328125" style="1347" customWidth="1"/>
    <col min="7940" max="7940" width="9.36328125" style="1347" bestFit="1" customWidth="1"/>
    <col min="7941" max="7941" width="13.453125" style="1347" customWidth="1"/>
    <col min="7942" max="7942" width="9" style="1347"/>
    <col min="7943" max="7943" width="9.36328125" style="1347" bestFit="1" customWidth="1"/>
    <col min="7944" max="7945" width="9" style="1347"/>
    <col min="7946" max="7946" width="9.36328125" style="1347" bestFit="1" customWidth="1"/>
    <col min="7947" max="7947" width="4" style="1347" customWidth="1"/>
    <col min="7948" max="7948" width="5.08984375" style="1347" customWidth="1"/>
    <col min="7949" max="7949" width="13.90625" style="1347" customWidth="1"/>
    <col min="7950" max="8192" width="9" style="1347"/>
    <col min="8193" max="8193" width="4.90625" style="1347" customWidth="1"/>
    <col min="8194" max="8194" width="13.08984375" style="1347" customWidth="1"/>
    <col min="8195" max="8195" width="15.6328125" style="1347" customWidth="1"/>
    <col min="8196" max="8196" width="9.36328125" style="1347" bestFit="1" customWidth="1"/>
    <col min="8197" max="8197" width="13.453125" style="1347" customWidth="1"/>
    <col min="8198" max="8198" width="9" style="1347"/>
    <col min="8199" max="8199" width="9.36328125" style="1347" bestFit="1" customWidth="1"/>
    <col min="8200" max="8201" width="9" style="1347"/>
    <col min="8202" max="8202" width="9.36328125" style="1347" bestFit="1" customWidth="1"/>
    <col min="8203" max="8203" width="4" style="1347" customWidth="1"/>
    <col min="8204" max="8204" width="5.08984375" style="1347" customWidth="1"/>
    <col min="8205" max="8205" width="13.90625" style="1347" customWidth="1"/>
    <col min="8206" max="8448" width="9" style="1347"/>
    <col min="8449" max="8449" width="4.90625" style="1347" customWidth="1"/>
    <col min="8450" max="8450" width="13.08984375" style="1347" customWidth="1"/>
    <col min="8451" max="8451" width="15.6328125" style="1347" customWidth="1"/>
    <col min="8452" max="8452" width="9.36328125" style="1347" bestFit="1" customWidth="1"/>
    <col min="8453" max="8453" width="13.453125" style="1347" customWidth="1"/>
    <col min="8454" max="8454" width="9" style="1347"/>
    <col min="8455" max="8455" width="9.36328125" style="1347" bestFit="1" customWidth="1"/>
    <col min="8456" max="8457" width="9" style="1347"/>
    <col min="8458" max="8458" width="9.36328125" style="1347" bestFit="1" customWidth="1"/>
    <col min="8459" max="8459" width="4" style="1347" customWidth="1"/>
    <col min="8460" max="8460" width="5.08984375" style="1347" customWidth="1"/>
    <col min="8461" max="8461" width="13.90625" style="1347" customWidth="1"/>
    <col min="8462" max="8704" width="9" style="1347"/>
    <col min="8705" max="8705" width="4.90625" style="1347" customWidth="1"/>
    <col min="8706" max="8706" width="13.08984375" style="1347" customWidth="1"/>
    <col min="8707" max="8707" width="15.6328125" style="1347" customWidth="1"/>
    <col min="8708" max="8708" width="9.36328125" style="1347" bestFit="1" customWidth="1"/>
    <col min="8709" max="8709" width="13.453125" style="1347" customWidth="1"/>
    <col min="8710" max="8710" width="9" style="1347"/>
    <col min="8711" max="8711" width="9.36328125" style="1347" bestFit="1" customWidth="1"/>
    <col min="8712" max="8713" width="9" style="1347"/>
    <col min="8714" max="8714" width="9.36328125" style="1347" bestFit="1" customWidth="1"/>
    <col min="8715" max="8715" width="4" style="1347" customWidth="1"/>
    <col min="8716" max="8716" width="5.08984375" style="1347" customWidth="1"/>
    <col min="8717" max="8717" width="13.90625" style="1347" customWidth="1"/>
    <col min="8718" max="8960" width="9" style="1347"/>
    <col min="8961" max="8961" width="4.90625" style="1347" customWidth="1"/>
    <col min="8962" max="8962" width="13.08984375" style="1347" customWidth="1"/>
    <col min="8963" max="8963" width="15.6328125" style="1347" customWidth="1"/>
    <col min="8964" max="8964" width="9.36328125" style="1347" bestFit="1" customWidth="1"/>
    <col min="8965" max="8965" width="13.453125" style="1347" customWidth="1"/>
    <col min="8966" max="8966" width="9" style="1347"/>
    <col min="8967" max="8967" width="9.36328125" style="1347" bestFit="1" customWidth="1"/>
    <col min="8968" max="8969" width="9" style="1347"/>
    <col min="8970" max="8970" width="9.36328125" style="1347" bestFit="1" customWidth="1"/>
    <col min="8971" max="8971" width="4" style="1347" customWidth="1"/>
    <col min="8972" max="8972" width="5.08984375" style="1347" customWidth="1"/>
    <col min="8973" max="8973" width="13.90625" style="1347" customWidth="1"/>
    <col min="8974" max="9216" width="9" style="1347"/>
    <col min="9217" max="9217" width="4.90625" style="1347" customWidth="1"/>
    <col min="9218" max="9218" width="13.08984375" style="1347" customWidth="1"/>
    <col min="9219" max="9219" width="15.6328125" style="1347" customWidth="1"/>
    <col min="9220" max="9220" width="9.36328125" style="1347" bestFit="1" customWidth="1"/>
    <col min="9221" max="9221" width="13.453125" style="1347" customWidth="1"/>
    <col min="9222" max="9222" width="9" style="1347"/>
    <col min="9223" max="9223" width="9.36328125" style="1347" bestFit="1" customWidth="1"/>
    <col min="9224" max="9225" width="9" style="1347"/>
    <col min="9226" max="9226" width="9.36328125" style="1347" bestFit="1" customWidth="1"/>
    <col min="9227" max="9227" width="4" style="1347" customWidth="1"/>
    <col min="9228" max="9228" width="5.08984375" style="1347" customWidth="1"/>
    <col min="9229" max="9229" width="13.90625" style="1347" customWidth="1"/>
    <col min="9230" max="9472" width="9" style="1347"/>
    <col min="9473" max="9473" width="4.90625" style="1347" customWidth="1"/>
    <col min="9474" max="9474" width="13.08984375" style="1347" customWidth="1"/>
    <col min="9475" max="9475" width="15.6328125" style="1347" customWidth="1"/>
    <col min="9476" max="9476" width="9.36328125" style="1347" bestFit="1" customWidth="1"/>
    <col min="9477" max="9477" width="13.453125" style="1347" customWidth="1"/>
    <col min="9478" max="9478" width="9" style="1347"/>
    <col min="9479" max="9479" width="9.36328125" style="1347" bestFit="1" customWidth="1"/>
    <col min="9480" max="9481" width="9" style="1347"/>
    <col min="9482" max="9482" width="9.36328125" style="1347" bestFit="1" customWidth="1"/>
    <col min="9483" max="9483" width="4" style="1347" customWidth="1"/>
    <col min="9484" max="9484" width="5.08984375" style="1347" customWidth="1"/>
    <col min="9485" max="9485" width="13.90625" style="1347" customWidth="1"/>
    <col min="9486" max="9728" width="9" style="1347"/>
    <col min="9729" max="9729" width="4.90625" style="1347" customWidth="1"/>
    <col min="9730" max="9730" width="13.08984375" style="1347" customWidth="1"/>
    <col min="9731" max="9731" width="15.6328125" style="1347" customWidth="1"/>
    <col min="9732" max="9732" width="9.36328125" style="1347" bestFit="1" customWidth="1"/>
    <col min="9733" max="9733" width="13.453125" style="1347" customWidth="1"/>
    <col min="9734" max="9734" width="9" style="1347"/>
    <col min="9735" max="9735" width="9.36328125" style="1347" bestFit="1" customWidth="1"/>
    <col min="9736" max="9737" width="9" style="1347"/>
    <col min="9738" max="9738" width="9.36328125" style="1347" bestFit="1" customWidth="1"/>
    <col min="9739" max="9739" width="4" style="1347" customWidth="1"/>
    <col min="9740" max="9740" width="5.08984375" style="1347" customWidth="1"/>
    <col min="9741" max="9741" width="13.90625" style="1347" customWidth="1"/>
    <col min="9742" max="9984" width="9" style="1347"/>
    <col min="9985" max="9985" width="4.90625" style="1347" customWidth="1"/>
    <col min="9986" max="9986" width="13.08984375" style="1347" customWidth="1"/>
    <col min="9987" max="9987" width="15.6328125" style="1347" customWidth="1"/>
    <col min="9988" max="9988" width="9.36328125" style="1347" bestFit="1" customWidth="1"/>
    <col min="9989" max="9989" width="13.453125" style="1347" customWidth="1"/>
    <col min="9990" max="9990" width="9" style="1347"/>
    <col min="9991" max="9991" width="9.36328125" style="1347" bestFit="1" customWidth="1"/>
    <col min="9992" max="9993" width="9" style="1347"/>
    <col min="9994" max="9994" width="9.36328125" style="1347" bestFit="1" customWidth="1"/>
    <col min="9995" max="9995" width="4" style="1347" customWidth="1"/>
    <col min="9996" max="9996" width="5.08984375" style="1347" customWidth="1"/>
    <col min="9997" max="9997" width="13.90625" style="1347" customWidth="1"/>
    <col min="9998" max="10240" width="9" style="1347"/>
    <col min="10241" max="10241" width="4.90625" style="1347" customWidth="1"/>
    <col min="10242" max="10242" width="13.08984375" style="1347" customWidth="1"/>
    <col min="10243" max="10243" width="15.6328125" style="1347" customWidth="1"/>
    <col min="10244" max="10244" width="9.36328125" style="1347" bestFit="1" customWidth="1"/>
    <col min="10245" max="10245" width="13.453125" style="1347" customWidth="1"/>
    <col min="10246" max="10246" width="9" style="1347"/>
    <col min="10247" max="10247" width="9.36328125" style="1347" bestFit="1" customWidth="1"/>
    <col min="10248" max="10249" width="9" style="1347"/>
    <col min="10250" max="10250" width="9.36328125" style="1347" bestFit="1" customWidth="1"/>
    <col min="10251" max="10251" width="4" style="1347" customWidth="1"/>
    <col min="10252" max="10252" width="5.08984375" style="1347" customWidth="1"/>
    <col min="10253" max="10253" width="13.90625" style="1347" customWidth="1"/>
    <col min="10254" max="10496" width="9" style="1347"/>
    <col min="10497" max="10497" width="4.90625" style="1347" customWidth="1"/>
    <col min="10498" max="10498" width="13.08984375" style="1347" customWidth="1"/>
    <col min="10499" max="10499" width="15.6328125" style="1347" customWidth="1"/>
    <col min="10500" max="10500" width="9.36328125" style="1347" bestFit="1" customWidth="1"/>
    <col min="10501" max="10501" width="13.453125" style="1347" customWidth="1"/>
    <col min="10502" max="10502" width="9" style="1347"/>
    <col min="10503" max="10503" width="9.36328125" style="1347" bestFit="1" customWidth="1"/>
    <col min="10504" max="10505" width="9" style="1347"/>
    <col min="10506" max="10506" width="9.36328125" style="1347" bestFit="1" customWidth="1"/>
    <col min="10507" max="10507" width="4" style="1347" customWidth="1"/>
    <col min="10508" max="10508" width="5.08984375" style="1347" customWidth="1"/>
    <col min="10509" max="10509" width="13.90625" style="1347" customWidth="1"/>
    <col min="10510" max="10752" width="9" style="1347"/>
    <col min="10753" max="10753" width="4.90625" style="1347" customWidth="1"/>
    <col min="10754" max="10754" width="13.08984375" style="1347" customWidth="1"/>
    <col min="10755" max="10755" width="15.6328125" style="1347" customWidth="1"/>
    <col min="10756" max="10756" width="9.36328125" style="1347" bestFit="1" customWidth="1"/>
    <col min="10757" max="10757" width="13.453125" style="1347" customWidth="1"/>
    <col min="10758" max="10758" width="9" style="1347"/>
    <col min="10759" max="10759" width="9.36328125" style="1347" bestFit="1" customWidth="1"/>
    <col min="10760" max="10761" width="9" style="1347"/>
    <col min="10762" max="10762" width="9.36328125" style="1347" bestFit="1" customWidth="1"/>
    <col min="10763" max="10763" width="4" style="1347" customWidth="1"/>
    <col min="10764" max="10764" width="5.08984375" style="1347" customWidth="1"/>
    <col min="10765" max="10765" width="13.90625" style="1347" customWidth="1"/>
    <col min="10766" max="11008" width="9" style="1347"/>
    <col min="11009" max="11009" width="4.90625" style="1347" customWidth="1"/>
    <col min="11010" max="11010" width="13.08984375" style="1347" customWidth="1"/>
    <col min="11011" max="11011" width="15.6328125" style="1347" customWidth="1"/>
    <col min="11012" max="11012" width="9.36328125" style="1347" bestFit="1" customWidth="1"/>
    <col min="11013" max="11013" width="13.453125" style="1347" customWidth="1"/>
    <col min="11014" max="11014" width="9" style="1347"/>
    <col min="11015" max="11015" width="9.36328125" style="1347" bestFit="1" customWidth="1"/>
    <col min="11016" max="11017" width="9" style="1347"/>
    <col min="11018" max="11018" width="9.36328125" style="1347" bestFit="1" customWidth="1"/>
    <col min="11019" max="11019" width="4" style="1347" customWidth="1"/>
    <col min="11020" max="11020" width="5.08984375" style="1347" customWidth="1"/>
    <col min="11021" max="11021" width="13.90625" style="1347" customWidth="1"/>
    <col min="11022" max="11264" width="9" style="1347"/>
    <col min="11265" max="11265" width="4.90625" style="1347" customWidth="1"/>
    <col min="11266" max="11266" width="13.08984375" style="1347" customWidth="1"/>
    <col min="11267" max="11267" width="15.6328125" style="1347" customWidth="1"/>
    <col min="11268" max="11268" width="9.36328125" style="1347" bestFit="1" customWidth="1"/>
    <col min="11269" max="11269" width="13.453125" style="1347" customWidth="1"/>
    <col min="11270" max="11270" width="9" style="1347"/>
    <col min="11271" max="11271" width="9.36328125" style="1347" bestFit="1" customWidth="1"/>
    <col min="11272" max="11273" width="9" style="1347"/>
    <col min="11274" max="11274" width="9.36328125" style="1347" bestFit="1" customWidth="1"/>
    <col min="11275" max="11275" width="4" style="1347" customWidth="1"/>
    <col min="11276" max="11276" width="5.08984375" style="1347" customWidth="1"/>
    <col min="11277" max="11277" width="13.90625" style="1347" customWidth="1"/>
    <col min="11278" max="11520" width="9" style="1347"/>
    <col min="11521" max="11521" width="4.90625" style="1347" customWidth="1"/>
    <col min="11522" max="11522" width="13.08984375" style="1347" customWidth="1"/>
    <col min="11523" max="11523" width="15.6328125" style="1347" customWidth="1"/>
    <col min="11524" max="11524" width="9.36328125" style="1347" bestFit="1" customWidth="1"/>
    <col min="11525" max="11525" width="13.453125" style="1347" customWidth="1"/>
    <col min="11526" max="11526" width="9" style="1347"/>
    <col min="11527" max="11527" width="9.36328125" style="1347" bestFit="1" customWidth="1"/>
    <col min="11528" max="11529" width="9" style="1347"/>
    <col min="11530" max="11530" width="9.36328125" style="1347" bestFit="1" customWidth="1"/>
    <col min="11531" max="11531" width="4" style="1347" customWidth="1"/>
    <col min="11532" max="11532" width="5.08984375" style="1347" customWidth="1"/>
    <col min="11533" max="11533" width="13.90625" style="1347" customWidth="1"/>
    <col min="11534" max="11776" width="9" style="1347"/>
    <col min="11777" max="11777" width="4.90625" style="1347" customWidth="1"/>
    <col min="11778" max="11778" width="13.08984375" style="1347" customWidth="1"/>
    <col min="11779" max="11779" width="15.6328125" style="1347" customWidth="1"/>
    <col min="11780" max="11780" width="9.36328125" style="1347" bestFit="1" customWidth="1"/>
    <col min="11781" max="11781" width="13.453125" style="1347" customWidth="1"/>
    <col min="11782" max="11782" width="9" style="1347"/>
    <col min="11783" max="11783" width="9.36328125" style="1347" bestFit="1" customWidth="1"/>
    <col min="11784" max="11785" width="9" style="1347"/>
    <col min="11786" max="11786" width="9.36328125" style="1347" bestFit="1" customWidth="1"/>
    <col min="11787" max="11787" width="4" style="1347" customWidth="1"/>
    <col min="11788" max="11788" width="5.08984375" style="1347" customWidth="1"/>
    <col min="11789" max="11789" width="13.90625" style="1347" customWidth="1"/>
    <col min="11790" max="12032" width="9" style="1347"/>
    <col min="12033" max="12033" width="4.90625" style="1347" customWidth="1"/>
    <col min="12034" max="12034" width="13.08984375" style="1347" customWidth="1"/>
    <col min="12035" max="12035" width="15.6328125" style="1347" customWidth="1"/>
    <col min="12036" max="12036" width="9.36328125" style="1347" bestFit="1" customWidth="1"/>
    <col min="12037" max="12037" width="13.453125" style="1347" customWidth="1"/>
    <col min="12038" max="12038" width="9" style="1347"/>
    <col min="12039" max="12039" width="9.36328125" style="1347" bestFit="1" customWidth="1"/>
    <col min="12040" max="12041" width="9" style="1347"/>
    <col min="12042" max="12042" width="9.36328125" style="1347" bestFit="1" customWidth="1"/>
    <col min="12043" max="12043" width="4" style="1347" customWidth="1"/>
    <col min="12044" max="12044" width="5.08984375" style="1347" customWidth="1"/>
    <col min="12045" max="12045" width="13.90625" style="1347" customWidth="1"/>
    <col min="12046" max="12288" width="9" style="1347"/>
    <col min="12289" max="12289" width="4.90625" style="1347" customWidth="1"/>
    <col min="12290" max="12290" width="13.08984375" style="1347" customWidth="1"/>
    <col min="12291" max="12291" width="15.6328125" style="1347" customWidth="1"/>
    <col min="12292" max="12292" width="9.36328125" style="1347" bestFit="1" customWidth="1"/>
    <col min="12293" max="12293" width="13.453125" style="1347" customWidth="1"/>
    <col min="12294" max="12294" width="9" style="1347"/>
    <col min="12295" max="12295" width="9.36328125" style="1347" bestFit="1" customWidth="1"/>
    <col min="12296" max="12297" width="9" style="1347"/>
    <col min="12298" max="12298" width="9.36328125" style="1347" bestFit="1" customWidth="1"/>
    <col min="12299" max="12299" width="4" style="1347" customWidth="1"/>
    <col min="12300" max="12300" width="5.08984375" style="1347" customWidth="1"/>
    <col min="12301" max="12301" width="13.90625" style="1347" customWidth="1"/>
    <col min="12302" max="12544" width="9" style="1347"/>
    <col min="12545" max="12545" width="4.90625" style="1347" customWidth="1"/>
    <col min="12546" max="12546" width="13.08984375" style="1347" customWidth="1"/>
    <col min="12547" max="12547" width="15.6328125" style="1347" customWidth="1"/>
    <col min="12548" max="12548" width="9.36328125" style="1347" bestFit="1" customWidth="1"/>
    <col min="12549" max="12549" width="13.453125" style="1347" customWidth="1"/>
    <col min="12550" max="12550" width="9" style="1347"/>
    <col min="12551" max="12551" width="9.36328125" style="1347" bestFit="1" customWidth="1"/>
    <col min="12552" max="12553" width="9" style="1347"/>
    <col min="12554" max="12554" width="9.36328125" style="1347" bestFit="1" customWidth="1"/>
    <col min="12555" max="12555" width="4" style="1347" customWidth="1"/>
    <col min="12556" max="12556" width="5.08984375" style="1347" customWidth="1"/>
    <col min="12557" max="12557" width="13.90625" style="1347" customWidth="1"/>
    <col min="12558" max="12800" width="9" style="1347"/>
    <col min="12801" max="12801" width="4.90625" style="1347" customWidth="1"/>
    <col min="12802" max="12802" width="13.08984375" style="1347" customWidth="1"/>
    <col min="12803" max="12803" width="15.6328125" style="1347" customWidth="1"/>
    <col min="12804" max="12804" width="9.36328125" style="1347" bestFit="1" customWidth="1"/>
    <col min="12805" max="12805" width="13.453125" style="1347" customWidth="1"/>
    <col min="12806" max="12806" width="9" style="1347"/>
    <col min="12807" max="12807" width="9.36328125" style="1347" bestFit="1" customWidth="1"/>
    <col min="12808" max="12809" width="9" style="1347"/>
    <col min="12810" max="12810" width="9.36328125" style="1347" bestFit="1" customWidth="1"/>
    <col min="12811" max="12811" width="4" style="1347" customWidth="1"/>
    <col min="12812" max="12812" width="5.08984375" style="1347" customWidth="1"/>
    <col min="12813" max="12813" width="13.90625" style="1347" customWidth="1"/>
    <col min="12814" max="13056" width="9" style="1347"/>
    <col min="13057" max="13057" width="4.90625" style="1347" customWidth="1"/>
    <col min="13058" max="13058" width="13.08984375" style="1347" customWidth="1"/>
    <col min="13059" max="13059" width="15.6328125" style="1347" customWidth="1"/>
    <col min="13060" max="13060" width="9.36328125" style="1347" bestFit="1" customWidth="1"/>
    <col min="13061" max="13061" width="13.453125" style="1347" customWidth="1"/>
    <col min="13062" max="13062" width="9" style="1347"/>
    <col min="13063" max="13063" width="9.36328125" style="1347" bestFit="1" customWidth="1"/>
    <col min="13064" max="13065" width="9" style="1347"/>
    <col min="13066" max="13066" width="9.36328125" style="1347" bestFit="1" customWidth="1"/>
    <col min="13067" max="13067" width="4" style="1347" customWidth="1"/>
    <col min="13068" max="13068" width="5.08984375" style="1347" customWidth="1"/>
    <col min="13069" max="13069" width="13.90625" style="1347" customWidth="1"/>
    <col min="13070" max="13312" width="9" style="1347"/>
    <col min="13313" max="13313" width="4.90625" style="1347" customWidth="1"/>
    <col min="13314" max="13314" width="13.08984375" style="1347" customWidth="1"/>
    <col min="13315" max="13315" width="15.6328125" style="1347" customWidth="1"/>
    <col min="13316" max="13316" width="9.36328125" style="1347" bestFit="1" customWidth="1"/>
    <col min="13317" max="13317" width="13.453125" style="1347" customWidth="1"/>
    <col min="13318" max="13318" width="9" style="1347"/>
    <col min="13319" max="13319" width="9.36328125" style="1347" bestFit="1" customWidth="1"/>
    <col min="13320" max="13321" width="9" style="1347"/>
    <col min="13322" max="13322" width="9.36328125" style="1347" bestFit="1" customWidth="1"/>
    <col min="13323" max="13323" width="4" style="1347" customWidth="1"/>
    <col min="13324" max="13324" width="5.08984375" style="1347" customWidth="1"/>
    <col min="13325" max="13325" width="13.90625" style="1347" customWidth="1"/>
    <col min="13326" max="13568" width="9" style="1347"/>
    <col min="13569" max="13569" width="4.90625" style="1347" customWidth="1"/>
    <col min="13570" max="13570" width="13.08984375" style="1347" customWidth="1"/>
    <col min="13571" max="13571" width="15.6328125" style="1347" customWidth="1"/>
    <col min="13572" max="13572" width="9.36328125" style="1347" bestFit="1" customWidth="1"/>
    <col min="13573" max="13573" width="13.453125" style="1347" customWidth="1"/>
    <col min="13574" max="13574" width="9" style="1347"/>
    <col min="13575" max="13575" width="9.36328125" style="1347" bestFit="1" customWidth="1"/>
    <col min="13576" max="13577" width="9" style="1347"/>
    <col min="13578" max="13578" width="9.36328125" style="1347" bestFit="1" customWidth="1"/>
    <col min="13579" max="13579" width="4" style="1347" customWidth="1"/>
    <col min="13580" max="13580" width="5.08984375" style="1347" customWidth="1"/>
    <col min="13581" max="13581" width="13.90625" style="1347" customWidth="1"/>
    <col min="13582" max="13824" width="9" style="1347"/>
    <col min="13825" max="13825" width="4.90625" style="1347" customWidth="1"/>
    <col min="13826" max="13826" width="13.08984375" style="1347" customWidth="1"/>
    <col min="13827" max="13827" width="15.6328125" style="1347" customWidth="1"/>
    <col min="13828" max="13828" width="9.36328125" style="1347" bestFit="1" customWidth="1"/>
    <col min="13829" max="13829" width="13.453125" style="1347" customWidth="1"/>
    <col min="13830" max="13830" width="9" style="1347"/>
    <col min="13831" max="13831" width="9.36328125" style="1347" bestFit="1" customWidth="1"/>
    <col min="13832" max="13833" width="9" style="1347"/>
    <col min="13834" max="13834" width="9.36328125" style="1347" bestFit="1" customWidth="1"/>
    <col min="13835" max="13835" width="4" style="1347" customWidth="1"/>
    <col min="13836" max="13836" width="5.08984375" style="1347" customWidth="1"/>
    <col min="13837" max="13837" width="13.90625" style="1347" customWidth="1"/>
    <col min="13838" max="14080" width="9" style="1347"/>
    <col min="14081" max="14081" width="4.90625" style="1347" customWidth="1"/>
    <col min="14082" max="14082" width="13.08984375" style="1347" customWidth="1"/>
    <col min="14083" max="14083" width="15.6328125" style="1347" customWidth="1"/>
    <col min="14084" max="14084" width="9.36328125" style="1347" bestFit="1" customWidth="1"/>
    <col min="14085" max="14085" width="13.453125" style="1347" customWidth="1"/>
    <col min="14086" max="14086" width="9" style="1347"/>
    <col min="14087" max="14087" width="9.36328125" style="1347" bestFit="1" customWidth="1"/>
    <col min="14088" max="14089" width="9" style="1347"/>
    <col min="14090" max="14090" width="9.36328125" style="1347" bestFit="1" customWidth="1"/>
    <col min="14091" max="14091" width="4" style="1347" customWidth="1"/>
    <col min="14092" max="14092" width="5.08984375" style="1347" customWidth="1"/>
    <col min="14093" max="14093" width="13.90625" style="1347" customWidth="1"/>
    <col min="14094" max="14336" width="9" style="1347"/>
    <col min="14337" max="14337" width="4.90625" style="1347" customWidth="1"/>
    <col min="14338" max="14338" width="13.08984375" style="1347" customWidth="1"/>
    <col min="14339" max="14339" width="15.6328125" style="1347" customWidth="1"/>
    <col min="14340" max="14340" width="9.36328125" style="1347" bestFit="1" customWidth="1"/>
    <col min="14341" max="14341" width="13.453125" style="1347" customWidth="1"/>
    <col min="14342" max="14342" width="9" style="1347"/>
    <col min="14343" max="14343" width="9.36328125" style="1347" bestFit="1" customWidth="1"/>
    <col min="14344" max="14345" width="9" style="1347"/>
    <col min="14346" max="14346" width="9.36328125" style="1347" bestFit="1" customWidth="1"/>
    <col min="14347" max="14347" width="4" style="1347" customWidth="1"/>
    <col min="14348" max="14348" width="5.08984375" style="1347" customWidth="1"/>
    <col min="14349" max="14349" width="13.90625" style="1347" customWidth="1"/>
    <col min="14350" max="14592" width="9" style="1347"/>
    <col min="14593" max="14593" width="4.90625" style="1347" customWidth="1"/>
    <col min="14594" max="14594" width="13.08984375" style="1347" customWidth="1"/>
    <col min="14595" max="14595" width="15.6328125" style="1347" customWidth="1"/>
    <col min="14596" max="14596" width="9.36328125" style="1347" bestFit="1" customWidth="1"/>
    <col min="14597" max="14597" width="13.453125" style="1347" customWidth="1"/>
    <col min="14598" max="14598" width="9" style="1347"/>
    <col min="14599" max="14599" width="9.36328125" style="1347" bestFit="1" customWidth="1"/>
    <col min="14600" max="14601" width="9" style="1347"/>
    <col min="14602" max="14602" width="9.36328125" style="1347" bestFit="1" customWidth="1"/>
    <col min="14603" max="14603" width="4" style="1347" customWidth="1"/>
    <col min="14604" max="14604" width="5.08984375" style="1347" customWidth="1"/>
    <col min="14605" max="14605" width="13.90625" style="1347" customWidth="1"/>
    <col min="14606" max="14848" width="9" style="1347"/>
    <col min="14849" max="14849" width="4.90625" style="1347" customWidth="1"/>
    <col min="14850" max="14850" width="13.08984375" style="1347" customWidth="1"/>
    <col min="14851" max="14851" width="15.6328125" style="1347" customWidth="1"/>
    <col min="14852" max="14852" width="9.36328125" style="1347" bestFit="1" customWidth="1"/>
    <col min="14853" max="14853" width="13.453125" style="1347" customWidth="1"/>
    <col min="14854" max="14854" width="9" style="1347"/>
    <col min="14855" max="14855" width="9.36328125" style="1347" bestFit="1" customWidth="1"/>
    <col min="14856" max="14857" width="9" style="1347"/>
    <col min="14858" max="14858" width="9.36328125" style="1347" bestFit="1" customWidth="1"/>
    <col min="14859" max="14859" width="4" style="1347" customWidth="1"/>
    <col min="14860" max="14860" width="5.08984375" style="1347" customWidth="1"/>
    <col min="14861" max="14861" width="13.90625" style="1347" customWidth="1"/>
    <col min="14862" max="15104" width="9" style="1347"/>
    <col min="15105" max="15105" width="4.90625" style="1347" customWidth="1"/>
    <col min="15106" max="15106" width="13.08984375" style="1347" customWidth="1"/>
    <col min="15107" max="15107" width="15.6328125" style="1347" customWidth="1"/>
    <col min="15108" max="15108" width="9.36328125" style="1347" bestFit="1" customWidth="1"/>
    <col min="15109" max="15109" width="13.453125" style="1347" customWidth="1"/>
    <col min="15110" max="15110" width="9" style="1347"/>
    <col min="15111" max="15111" width="9.36328125" style="1347" bestFit="1" customWidth="1"/>
    <col min="15112" max="15113" width="9" style="1347"/>
    <col min="15114" max="15114" width="9.36328125" style="1347" bestFit="1" customWidth="1"/>
    <col min="15115" max="15115" width="4" style="1347" customWidth="1"/>
    <col min="15116" max="15116" width="5.08984375" style="1347" customWidth="1"/>
    <col min="15117" max="15117" width="13.90625" style="1347" customWidth="1"/>
    <col min="15118" max="15360" width="9" style="1347"/>
    <col min="15361" max="15361" width="4.90625" style="1347" customWidth="1"/>
    <col min="15362" max="15362" width="13.08984375" style="1347" customWidth="1"/>
    <col min="15363" max="15363" width="15.6328125" style="1347" customWidth="1"/>
    <col min="15364" max="15364" width="9.36328125" style="1347" bestFit="1" customWidth="1"/>
    <col min="15365" max="15365" width="13.453125" style="1347" customWidth="1"/>
    <col min="15366" max="15366" width="9" style="1347"/>
    <col min="15367" max="15367" width="9.36328125" style="1347" bestFit="1" customWidth="1"/>
    <col min="15368" max="15369" width="9" style="1347"/>
    <col min="15370" max="15370" width="9.36328125" style="1347" bestFit="1" customWidth="1"/>
    <col min="15371" max="15371" width="4" style="1347" customWidth="1"/>
    <col min="15372" max="15372" width="5.08984375" style="1347" customWidth="1"/>
    <col min="15373" max="15373" width="13.90625" style="1347" customWidth="1"/>
    <col min="15374" max="15616" width="9" style="1347"/>
    <col min="15617" max="15617" width="4.90625" style="1347" customWidth="1"/>
    <col min="15618" max="15618" width="13.08984375" style="1347" customWidth="1"/>
    <col min="15619" max="15619" width="15.6328125" style="1347" customWidth="1"/>
    <col min="15620" max="15620" width="9.36328125" style="1347" bestFit="1" customWidth="1"/>
    <col min="15621" max="15621" width="13.453125" style="1347" customWidth="1"/>
    <col min="15622" max="15622" width="9" style="1347"/>
    <col min="15623" max="15623" width="9.36328125" style="1347" bestFit="1" customWidth="1"/>
    <col min="15624" max="15625" width="9" style="1347"/>
    <col min="15626" max="15626" width="9.36328125" style="1347" bestFit="1" customWidth="1"/>
    <col min="15627" max="15627" width="4" style="1347" customWidth="1"/>
    <col min="15628" max="15628" width="5.08984375" style="1347" customWidth="1"/>
    <col min="15629" max="15629" width="13.90625" style="1347" customWidth="1"/>
    <col min="15630" max="15872" width="9" style="1347"/>
    <col min="15873" max="15873" width="4.90625" style="1347" customWidth="1"/>
    <col min="15874" max="15874" width="13.08984375" style="1347" customWidth="1"/>
    <col min="15875" max="15875" width="15.6328125" style="1347" customWidth="1"/>
    <col min="15876" max="15876" width="9.36328125" style="1347" bestFit="1" customWidth="1"/>
    <col min="15877" max="15877" width="13.453125" style="1347" customWidth="1"/>
    <col min="15878" max="15878" width="9" style="1347"/>
    <col min="15879" max="15879" width="9.36328125" style="1347" bestFit="1" customWidth="1"/>
    <col min="15880" max="15881" width="9" style="1347"/>
    <col min="15882" max="15882" width="9.36328125" style="1347" bestFit="1" customWidth="1"/>
    <col min="15883" max="15883" width="4" style="1347" customWidth="1"/>
    <col min="15884" max="15884" width="5.08984375" style="1347" customWidth="1"/>
    <col min="15885" max="15885" width="13.90625" style="1347" customWidth="1"/>
    <col min="15886" max="16128" width="9" style="1347"/>
    <col min="16129" max="16129" width="4.90625" style="1347" customWidth="1"/>
    <col min="16130" max="16130" width="13.08984375" style="1347" customWidth="1"/>
    <col min="16131" max="16131" width="15.6328125" style="1347" customWidth="1"/>
    <col min="16132" max="16132" width="9.36328125" style="1347" bestFit="1" customWidth="1"/>
    <col min="16133" max="16133" width="13.453125" style="1347" customWidth="1"/>
    <col min="16134" max="16134" width="9" style="1347"/>
    <col min="16135" max="16135" width="9.36328125" style="1347" bestFit="1" customWidth="1"/>
    <col min="16136" max="16137" width="9" style="1347"/>
    <col min="16138" max="16138" width="9.36328125" style="1347" bestFit="1" customWidth="1"/>
    <col min="16139" max="16139" width="4" style="1347" customWidth="1"/>
    <col min="16140" max="16140" width="5.08984375" style="1347" customWidth="1"/>
    <col min="16141" max="16141" width="13.90625" style="1347" customWidth="1"/>
    <col min="16142" max="16384" width="9" style="1347"/>
  </cols>
  <sheetData>
    <row r="1" spans="1:257" s="1409" customFormat="1" ht="14.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1">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3">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30">
      <c r="A13" s="1392"/>
      <c r="B13" s="1393" t="s">
        <v>1057</v>
      </c>
      <c r="C13" s="2984">
        <v>44581</v>
      </c>
      <c r="D13" s="2985">
        <v>3.7</v>
      </c>
      <c r="E13" s="2985">
        <f>D13</f>
        <v>3.7</v>
      </c>
      <c r="F13" s="2985">
        <f>D13</f>
        <v>3.7</v>
      </c>
      <c r="G13" s="2985">
        <f>D13</f>
        <v>3.7</v>
      </c>
      <c r="H13" s="298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5">
      <c r="A14" s="1392"/>
      <c r="B14" s="2980"/>
      <c r="C14" s="2981">
        <v>44550</v>
      </c>
      <c r="D14" s="2980">
        <v>3.8</v>
      </c>
      <c r="E14" s="2980">
        <f>D14</f>
        <v>3.8</v>
      </c>
      <c r="F14" s="2980">
        <f>D14</f>
        <v>3.8</v>
      </c>
      <c r="G14" s="2980">
        <f>D14</f>
        <v>3.8</v>
      </c>
      <c r="H14" s="2980">
        <v>4.6500000000000004</v>
      </c>
      <c r="I14" s="2980"/>
      <c r="J14" s="298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5">
      <c r="A15" s="1392"/>
      <c r="B15" s="2980"/>
      <c r="C15" s="2981">
        <v>43941</v>
      </c>
      <c r="D15" s="2980">
        <v>3.85</v>
      </c>
      <c r="E15" s="2980">
        <v>3.85</v>
      </c>
      <c r="F15" s="2980">
        <v>3.85</v>
      </c>
      <c r="G15" s="2980">
        <v>3.85</v>
      </c>
      <c r="H15" s="2980">
        <v>4.6500000000000004</v>
      </c>
      <c r="I15" s="2980"/>
      <c r="J15" s="2980"/>
      <c r="L15" s="1398"/>
      <c r="M15" s="1399">
        <v>42183</v>
      </c>
      <c r="N15" s="1398">
        <v>0.35</v>
      </c>
      <c r="O15" s="1398">
        <v>1.6</v>
      </c>
      <c r="P15" s="1398">
        <v>1.8</v>
      </c>
      <c r="Q15" s="1398">
        <v>2</v>
      </c>
      <c r="R15" s="1398">
        <v>2.6</v>
      </c>
      <c r="S15" s="1398">
        <v>3.25</v>
      </c>
      <c r="T15" s="1398"/>
      <c r="U15" s="1398"/>
      <c r="V15" s="1398"/>
      <c r="W15" s="1398"/>
      <c r="X15" s="1398"/>
      <c r="Y15" s="1398"/>
      <c r="Z15" s="1398"/>
    </row>
    <row r="16" spans="1:257" ht="15">
      <c r="A16" s="1392"/>
      <c r="B16" s="2980"/>
      <c r="C16" s="2981">
        <v>43881</v>
      </c>
      <c r="D16" s="2980">
        <v>4.05</v>
      </c>
      <c r="E16" s="2980">
        <v>4.05</v>
      </c>
      <c r="F16" s="2980">
        <v>4.05</v>
      </c>
      <c r="G16" s="2980">
        <v>4.05</v>
      </c>
      <c r="H16" s="2980">
        <v>4.75</v>
      </c>
      <c r="I16" s="2980"/>
      <c r="J16" s="298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5">
      <c r="A17" s="1392"/>
      <c r="B17" s="2980"/>
      <c r="C17" s="2981">
        <v>43789</v>
      </c>
      <c r="D17" s="2980">
        <v>4.1500000000000004</v>
      </c>
      <c r="E17" s="2980">
        <v>4.1500000000000004</v>
      </c>
      <c r="F17" s="2980">
        <v>4.1500000000000004</v>
      </c>
      <c r="G17" s="2980">
        <v>4.1500000000000004</v>
      </c>
      <c r="H17" s="2980">
        <v>4.8</v>
      </c>
      <c r="I17" s="2980"/>
      <c r="J17" s="298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6.5">
      <c r="A18" s="1392"/>
      <c r="B18" s="2980"/>
      <c r="C18" s="2981">
        <v>43728</v>
      </c>
      <c r="D18" s="2980">
        <v>4.2</v>
      </c>
      <c r="E18" s="2980">
        <v>4.2</v>
      </c>
      <c r="F18" s="2980">
        <v>4.2</v>
      </c>
      <c r="G18" s="2980">
        <v>4.2</v>
      </c>
      <c r="H18" s="2980">
        <v>4.8499999999999996</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5">
      <c r="A19" s="1392"/>
      <c r="B19" s="2979" t="s">
        <v>2811</v>
      </c>
      <c r="C19" s="2982">
        <v>43697</v>
      </c>
      <c r="D19" s="2983">
        <v>4.25</v>
      </c>
      <c r="E19" s="2983">
        <v>4.25</v>
      </c>
      <c r="F19" s="2983">
        <v>4.25</v>
      </c>
      <c r="G19" s="2983">
        <v>4.25</v>
      </c>
      <c r="H19" s="2983">
        <v>4.8499999999999996</v>
      </c>
      <c r="I19" s="2983"/>
      <c r="J19" s="298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5">
      <c r="A20" s="2986"/>
      <c r="B20" s="2987"/>
      <c r="C20" s="2988">
        <v>42301</v>
      </c>
      <c r="D20" s="2989">
        <v>4.3499999999999996</v>
      </c>
      <c r="E20" s="2989">
        <v>4.3499999999999996</v>
      </c>
      <c r="F20" s="2989">
        <v>4.75</v>
      </c>
      <c r="G20" s="2989">
        <v>4.75</v>
      </c>
      <c r="H20" s="2989">
        <v>4.9000000000000004</v>
      </c>
      <c r="I20" s="2989"/>
      <c r="J20" s="298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456" t="s">
        <v>1097</v>
      </c>
      <c r="E1" s="1450" t="s">
        <v>1101</v>
      </c>
      <c r="F1" s="1451" t="s">
        <v>1105</v>
      </c>
    </row>
    <row r="2" spans="1:13" ht="20">
      <c r="A2" s="1457" t="s">
        <v>1098</v>
      </c>
    </row>
    <row r="3" spans="1:13" ht="16.5">
      <c r="A3" s="1458" t="s">
        <v>1099</v>
      </c>
    </row>
    <row r="4" spans="1:13">
      <c r="A4" s="1448" t="s">
        <v>1100</v>
      </c>
      <c r="B4" s="1453" t="s">
        <v>1102</v>
      </c>
      <c r="C4" s="1454"/>
      <c r="D4" s="1455"/>
      <c r="E4" s="1453" t="s">
        <v>27</v>
      </c>
      <c r="F4" s="1454"/>
      <c r="G4" s="1455"/>
      <c r="H4" s="1453" t="s">
        <v>1103</v>
      </c>
      <c r="I4" s="1454"/>
      <c r="J4" s="1455"/>
      <c r="K4" s="1453" t="s">
        <v>6</v>
      </c>
      <c r="L4" s="1454"/>
      <c r="M4" s="1455"/>
    </row>
    <row r="5" spans="1:13">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00" customWidth="1"/>
    <col min="2" max="9" width="12.08984375" style="1600" customWidth="1"/>
    <col min="10" max="16384" width="9" style="1600"/>
  </cols>
  <sheetData>
    <row r="1" spans="1:9" ht="18.5" thickBot="1">
      <c r="A1" s="3305" t="str">
        <f>IF(项目基本情况!B9="房地产市场价值","估价结果一览表","结果表-2")</f>
        <v>结果表-2</v>
      </c>
      <c r="B1" s="3305"/>
      <c r="C1" s="3305"/>
      <c r="D1" s="3305"/>
      <c r="E1" s="3305"/>
      <c r="F1" s="3305"/>
      <c r="G1" s="3305"/>
      <c r="H1" s="3305"/>
      <c r="I1" s="3305"/>
    </row>
    <row r="2" spans="1:9" ht="30" customHeight="1" thickTop="1">
      <c r="A2" s="3306" t="s">
        <v>1365</v>
      </c>
      <c r="B2" s="3306" t="s">
        <v>1366</v>
      </c>
      <c r="C2" s="3306" t="s">
        <v>1367</v>
      </c>
      <c r="D2" s="3306" t="str">
        <f>结果表!D116</f>
        <v>出让国有建设用地使用权价值</v>
      </c>
      <c r="E2" s="3306"/>
      <c r="F2" s="3306" t="str">
        <f>结果表!F116</f>
        <v>在建建筑物价值</v>
      </c>
      <c r="G2" s="3306"/>
      <c r="H2" s="3306" t="str">
        <f>IF(项目基本情况!B9="房地产市场价值","房地产市场价值","房地产价值")</f>
        <v>房地产价值</v>
      </c>
      <c r="I2" s="3306"/>
    </row>
    <row r="3" spans="1:9" ht="16">
      <c r="A3" s="3307"/>
      <c r="B3" s="3307"/>
      <c r="C3" s="3307"/>
      <c r="D3" s="932" t="s">
        <v>1362</v>
      </c>
      <c r="E3" s="932" t="s">
        <v>1368</v>
      </c>
      <c r="F3" s="932" t="s">
        <v>1362</v>
      </c>
      <c r="G3" s="932" t="s">
        <v>1363</v>
      </c>
      <c r="H3" s="932" t="s">
        <v>1362</v>
      </c>
      <c r="I3" s="932" t="s">
        <v>1363</v>
      </c>
    </row>
    <row r="4" spans="1:9" ht="31">
      <c r="A4" s="1628" t="str">
        <f>项目基本情况!S2</f>
        <v>北京市海淀区板井路69号世纪金源大饭店房地产</v>
      </c>
      <c r="B4" s="932">
        <f>项目基本情况!C17</f>
        <v>98312.17</v>
      </c>
      <c r="C4" s="932">
        <f>项目基本情况!C18</f>
        <v>28178.74</v>
      </c>
      <c r="D4" s="932">
        <f ca="1">结果表!D118</f>
        <v>254817</v>
      </c>
      <c r="E4" s="932">
        <f ca="1">结果表!E118</f>
        <v>25919</v>
      </c>
      <c r="F4" s="932">
        <f ca="1">结果表!F118</f>
        <v>80468</v>
      </c>
      <c r="G4" s="932">
        <f ca="1">结果表!G118</f>
        <v>8185</v>
      </c>
      <c r="H4" s="932">
        <f ca="1">结果表!H118</f>
        <v>335285</v>
      </c>
      <c r="I4" s="932">
        <f ca="1">结果表!I118</f>
        <v>34104</v>
      </c>
    </row>
    <row r="5" spans="1:9" ht="30" customHeight="1">
      <c r="A5" s="3307" t="s">
        <v>1364</v>
      </c>
      <c r="B5" s="3307"/>
      <c r="C5" s="3307"/>
      <c r="D5" s="3308" t="str">
        <f ca="1">结果表!D119</f>
        <v>贰拾伍亿肆仟捌佰壹拾柒万元整</v>
      </c>
      <c r="E5" s="3308"/>
      <c r="F5" s="3308" t="str">
        <f ca="1">结果表!F119</f>
        <v>捌亿零肆佰陆拾捌万元整</v>
      </c>
      <c r="G5" s="3308"/>
      <c r="H5" s="3308" t="str">
        <f ca="1">结果表!H119</f>
        <v>叁拾叁亿伍仟贰佰捌拾伍万元整</v>
      </c>
      <c r="I5" s="3308"/>
    </row>
    <row r="6" spans="1:9" ht="15.5">
      <c r="A6" s="3309" t="str">
        <f>结果表!A120</f>
        <v>估价师知悉的法定优先受偿款</v>
      </c>
      <c r="B6" s="3309"/>
      <c r="C6" s="3309"/>
      <c r="D6" s="3309">
        <f>结果表!D120</f>
        <v>0</v>
      </c>
      <c r="E6" s="3309"/>
      <c r="F6" s="3309"/>
      <c r="G6" s="3309"/>
      <c r="H6" s="3309"/>
      <c r="I6" s="3309"/>
    </row>
    <row r="7" spans="1:9" ht="15.5">
      <c r="A7" s="3307" t="s">
        <v>1364</v>
      </c>
      <c r="B7" s="3307"/>
      <c r="C7" s="3307"/>
      <c r="D7" s="3310" t="str">
        <f>结果表!D121</f>
        <v>零元整</v>
      </c>
      <c r="E7" s="3311"/>
      <c r="F7" s="3311"/>
      <c r="G7" s="3311"/>
      <c r="H7" s="3311"/>
      <c r="I7" s="3312"/>
    </row>
    <row r="8" spans="1:9" ht="15.5">
      <c r="A8" s="3309" t="str">
        <f>结果表!A122</f>
        <v>房地产抵押价值</v>
      </c>
      <c r="B8" s="3309"/>
      <c r="C8" s="3309"/>
      <c r="D8" s="3309">
        <f ca="1">结果表!D122</f>
        <v>335285</v>
      </c>
      <c r="E8" s="3309"/>
      <c r="F8" s="3309"/>
      <c r="G8" s="3309"/>
      <c r="H8" s="3309"/>
      <c r="I8" s="3309"/>
    </row>
    <row r="9" spans="1:9" ht="15.5">
      <c r="A9" s="3307" t="s">
        <v>1364</v>
      </c>
      <c r="B9" s="3307"/>
      <c r="C9" s="3307"/>
      <c r="D9" s="3308" t="str">
        <f ca="1">结果表!D123</f>
        <v>叁拾叁亿伍仟贰佰捌拾伍万元整</v>
      </c>
      <c r="E9" s="3308"/>
      <c r="F9" s="3308"/>
      <c r="G9" s="3308"/>
      <c r="H9" s="3308"/>
      <c r="I9" s="3308"/>
    </row>
    <row r="10" spans="1:9" ht="15.5">
      <c r="A10" s="3309" t="str">
        <f>结果表!A124</f>
        <v/>
      </c>
      <c r="B10" s="3309"/>
      <c r="C10" s="3309"/>
      <c r="D10" s="3309" t="str">
        <f>结果表!D124</f>
        <v>——</v>
      </c>
      <c r="E10" s="3309"/>
      <c r="F10" s="3309"/>
      <c r="G10" s="3309"/>
      <c r="H10" s="3309"/>
      <c r="I10" s="3309"/>
    </row>
    <row r="11" spans="1:9" ht="15.5">
      <c r="A11" s="3307" t="s">
        <v>1364</v>
      </c>
      <c r="B11" s="3307"/>
      <c r="C11" s="3307"/>
      <c r="D11" s="3308" t="e">
        <f>结果表!D125</f>
        <v>#VALUE!</v>
      </c>
      <c r="E11" s="3308"/>
      <c r="F11" s="3308"/>
      <c r="G11" s="3308"/>
      <c r="H11" s="3308"/>
      <c r="I11" s="3308"/>
    </row>
    <row r="12" spans="1:9" ht="15.5">
      <c r="A12" s="3309" t="str">
        <f>结果表!A126</f>
        <v/>
      </c>
      <c r="B12" s="3309"/>
      <c r="C12" s="3309"/>
      <c r="D12" s="3309" t="str">
        <f>结果表!D126</f>
        <v>——</v>
      </c>
      <c r="E12" s="3309"/>
      <c r="F12" s="3309"/>
      <c r="G12" s="3309"/>
      <c r="H12" s="3309"/>
      <c r="I12" s="3309"/>
    </row>
    <row r="13" spans="1:9" ht="16" thickBot="1">
      <c r="A13" s="3313" t="s">
        <v>1364</v>
      </c>
      <c r="B13" s="3313"/>
      <c r="C13" s="3313"/>
      <c r="D13" s="3314" t="e">
        <f>结果表!D127</f>
        <v>#VALUE!</v>
      </c>
      <c r="E13" s="3314"/>
      <c r="F13" s="3314"/>
      <c r="G13" s="3314"/>
      <c r="H13" s="3314"/>
      <c r="I13" s="3314"/>
    </row>
    <row r="14" spans="1:9" ht="14.5" thickTop="1">
      <c r="A14" s="3315" t="s">
        <v>1369</v>
      </c>
      <c r="B14" s="3315"/>
      <c r="C14" s="3315"/>
      <c r="D14" s="3315"/>
      <c r="E14" s="3315"/>
      <c r="F14" s="3315"/>
      <c r="G14" s="3315"/>
      <c r="H14" s="3315"/>
      <c r="I14" s="3315"/>
    </row>
    <row r="16" spans="1:9" ht="1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00" customWidth="1"/>
    <col min="2" max="3" width="22.36328125" style="1600" customWidth="1"/>
    <col min="4" max="4" width="23" style="1600" customWidth="1"/>
    <col min="5" max="16384" width="9" style="1600"/>
  </cols>
  <sheetData>
    <row r="1" spans="1:4" ht="18">
      <c r="A1" s="3316" t="s">
        <v>1386</v>
      </c>
      <c r="B1" s="3316"/>
      <c r="C1" s="3316"/>
      <c r="D1" s="3316"/>
    </row>
    <row r="2" spans="1:4" ht="18">
      <c r="A2" s="3317" t="s">
        <v>1370</v>
      </c>
      <c r="B2" s="3317"/>
      <c r="C2" s="3317"/>
      <c r="D2" s="3317"/>
    </row>
    <row r="3" spans="1:4" ht="17.5">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8">
      <c r="A6" s="3317" t="s">
        <v>1376</v>
      </c>
      <c r="B6" s="3317"/>
      <c r="C6" s="3317"/>
      <c r="D6" s="3317"/>
    </row>
    <row r="7" spans="1:4" ht="1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
      <c r="A10" s="1639" t="s">
        <v>1378</v>
      </c>
      <c r="B10" s="672"/>
      <c r="C10" s="672"/>
      <c r="D10" s="672"/>
    </row>
    <row r="11" spans="1:4" ht="30" customHeight="1">
      <c r="A11" s="3318" t="s">
        <v>1379</v>
      </c>
      <c r="B11" s="3319"/>
      <c r="C11" s="3319"/>
      <c r="D11" s="3319"/>
    </row>
    <row r="12" spans="1:4" ht="15.5">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spans="1:4" ht="30" customHeight="1">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spans="1:4" ht="15.75" customHeight="1">
      <c r="A14" s="3319" t="str">
        <f>IF(项目基本情况!B8="抵押","4.本次评估估价师所知悉的法定优先受偿款情况说明如下：","——")</f>
        <v>4.本次评估估价师所知悉的法定优先受偿款情况说明如下：</v>
      </c>
      <c r="B14" s="3320"/>
      <c r="C14" s="3320"/>
      <c r="D14" s="3320"/>
    </row>
    <row r="15" spans="1:4" ht="42" customHeight="1">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spans="1:4" ht="30" customHeight="1">
      <c r="A16" s="3322" t="s">
        <v>1380</v>
      </c>
      <c r="B16" s="3322"/>
      <c r="C16" s="3322"/>
      <c r="D16" s="3322"/>
    </row>
    <row r="17" spans="1:4" ht="144" customHeight="1">
      <c r="A17" s="3322" t="s">
        <v>1381</v>
      </c>
      <c r="B17" s="3322"/>
      <c r="C17" s="3322"/>
      <c r="D17" s="3322"/>
    </row>
    <row r="18" spans="1:4" ht="15.75" customHeight="1">
      <c r="A18" s="3319" t="str">
        <f>IF(项目基本情况!B8="抵押",结果表!K120,"——")</f>
        <v>故，本次评估不存在估价师知悉的法定优先受偿款</v>
      </c>
      <c r="B18" s="3319"/>
      <c r="C18" s="3319"/>
      <c r="D18" s="3319"/>
    </row>
    <row r="19" spans="1:4" ht="46.5" customHeight="1">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spans="1:4" ht="57.75" customHeight="1">
      <c r="A20" s="3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9"/>
      <c r="C20" s="3319"/>
      <c r="D20" s="3319"/>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3"/>
      <c r="C21" s="3323"/>
      <c r="D21" s="3323"/>
    </row>
    <row r="22" spans="1:4" ht="18.75" customHeight="1">
      <c r="A22" s="3324" t="s">
        <v>1382</v>
      </c>
      <c r="B22" s="3324"/>
      <c r="C22" s="3324"/>
      <c r="D22" s="3324"/>
    </row>
    <row r="23" spans="1:4">
      <c r="A23" s="1640"/>
      <c r="B23" s="1612"/>
      <c r="C23" s="1612"/>
      <c r="D23" s="1612"/>
    </row>
    <row r="24" spans="1:4">
      <c r="A24" s="1640"/>
      <c r="B24" s="1612"/>
      <c r="C24" s="1612"/>
      <c r="D24" s="1612"/>
    </row>
    <row r="25" spans="1:4" ht="17.5">
      <c r="A25" s="1641" t="s">
        <v>1383</v>
      </c>
    </row>
    <row r="26" spans="1:4" ht="17.5">
      <c r="A26" s="1610"/>
    </row>
    <row r="27" spans="1:4" ht="17.5">
      <c r="A27" s="1610" t="s">
        <v>1384</v>
      </c>
    </row>
    <row r="30" spans="1:4" ht="17.5">
      <c r="D30" s="1641" t="s">
        <v>1385</v>
      </c>
    </row>
    <row r="31" spans="1:4" ht="13.5" customHeight="1">
      <c r="C31" s="3321">
        <v>42551</v>
      </c>
      <c r="D31" s="33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98" customWidth="1"/>
    <col min="3" max="10" width="12.453125" style="1598" customWidth="1"/>
    <col min="11" max="16384" width="9" style="1598"/>
  </cols>
  <sheetData>
    <row r="1" spans="1:10" ht="17.5">
      <c r="A1" s="1631" t="s">
        <v>657</v>
      </c>
      <c r="B1" s="1642"/>
      <c r="C1" s="1642"/>
      <c r="D1" s="1642"/>
      <c r="E1" s="1642"/>
      <c r="F1" s="1642"/>
      <c r="G1" s="1642"/>
      <c r="H1" s="1642"/>
      <c r="I1" s="1642"/>
      <c r="J1" s="1642"/>
    </row>
    <row r="2" spans="1:10" ht="1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648" customWidth="1"/>
    <col min="2" max="16384" width="14.453125" style="1630"/>
  </cols>
  <sheetData>
    <row r="1" spans="1:7" s="1645" customFormat="1" ht="1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4">
      <c r="A15" s="3330" t="s">
        <v>1393</v>
      </c>
      <c r="B15" s="3325" t="s">
        <v>136</v>
      </c>
      <c r="C15" s="3326"/>
    </row>
    <row r="16" spans="1:7" ht="14">
      <c r="A16" s="3331"/>
      <c r="B16" s="3325" t="s">
        <v>69</v>
      </c>
      <c r="C16" s="3326"/>
    </row>
    <row r="17" spans="1:3" ht="14">
      <c r="A17" s="3331"/>
      <c r="B17" s="3328" t="s">
        <v>1394</v>
      </c>
      <c r="C17" s="1655" t="s">
        <v>1393</v>
      </c>
    </row>
    <row r="18" spans="1:3" ht="14">
      <c r="A18" s="3331"/>
      <c r="B18" s="3328"/>
      <c r="C18" s="1655" t="s">
        <v>1395</v>
      </c>
    </row>
    <row r="19" spans="1:3" ht="14">
      <c r="A19" s="3331"/>
      <c r="B19" s="3328"/>
      <c r="C19" s="1655" t="s">
        <v>1396</v>
      </c>
    </row>
    <row r="20" spans="1:3" ht="14">
      <c r="A20" s="3332"/>
      <c r="B20" s="3327" t="s">
        <v>1397</v>
      </c>
      <c r="C20" s="3326"/>
    </row>
    <row r="21" spans="1:3" ht="14">
      <c r="A21" s="1656" t="s">
        <v>1398</v>
      </c>
      <c r="B21" s="1657"/>
      <c r="C21" s="1658"/>
    </row>
    <row r="22" spans="1:3" ht="14">
      <c r="A22" s="3329" t="s">
        <v>1399</v>
      </c>
      <c r="B22" s="3327" t="s">
        <v>1400</v>
      </c>
      <c r="C22" s="3326"/>
    </row>
    <row r="23" spans="1:3" ht="14">
      <c r="A23" s="3329"/>
      <c r="B23" s="3327" t="s">
        <v>1401</v>
      </c>
      <c r="C23" s="3326"/>
    </row>
    <row r="24" spans="1:3" ht="14">
      <c r="A24" s="3329"/>
      <c r="B24" s="3327" t="s">
        <v>1402</v>
      </c>
      <c r="C24" s="3326"/>
    </row>
    <row r="25" spans="1:3" ht="14">
      <c r="A25" s="3329"/>
      <c r="B25" s="3328" t="s">
        <v>1403</v>
      </c>
      <c r="C25" s="1655" t="s">
        <v>1404</v>
      </c>
    </row>
    <row r="26" spans="1:3" ht="14">
      <c r="A26" s="3329"/>
      <c r="B26" s="3328"/>
      <c r="C26" s="1655" t="s">
        <v>1405</v>
      </c>
    </row>
    <row r="27" spans="1:3" ht="14">
      <c r="A27" s="3329"/>
      <c r="B27" s="3328"/>
      <c r="C27" s="1655" t="s">
        <v>1406</v>
      </c>
    </row>
    <row r="28" spans="1:3" ht="14">
      <c r="A28" s="3329"/>
      <c r="B28" s="3328"/>
      <c r="C28" s="1655" t="s">
        <v>1407</v>
      </c>
    </row>
    <row r="29" spans="1:3" ht="14">
      <c r="A29" s="3329"/>
      <c r="B29" s="3328"/>
      <c r="C29" s="1655" t="s">
        <v>1408</v>
      </c>
    </row>
    <row r="30" spans="1:3" ht="14">
      <c r="A30" s="3329"/>
      <c r="B30" s="3328"/>
      <c r="C30" s="1655" t="s">
        <v>1409</v>
      </c>
    </row>
    <row r="31" spans="1:3" ht="14">
      <c r="A31" s="3329"/>
      <c r="B31" s="3328"/>
      <c r="C31" s="1655" t="s">
        <v>1410</v>
      </c>
    </row>
    <row r="32" spans="1:3" ht="14">
      <c r="A32" s="3329"/>
      <c r="B32" s="3328"/>
      <c r="C32" s="1655" t="s">
        <v>1411</v>
      </c>
    </row>
    <row r="33" spans="1:3" ht="14">
      <c r="A33" s="3329"/>
      <c r="B33" s="3328"/>
      <c r="C33" s="1655" t="s">
        <v>1412</v>
      </c>
    </row>
    <row r="34" spans="1:3">
      <c r="A34" s="1659" t="s">
        <v>76</v>
      </c>
    </row>
    <row r="37" spans="1:3">
      <c r="A37" s="1659" t="s">
        <v>1413</v>
      </c>
    </row>
    <row r="38" spans="1:3" ht="14">
      <c r="A38" s="1660" t="s">
        <v>77</v>
      </c>
    </row>
    <row r="39" spans="1:3" ht="14">
      <c r="A39" s="1660" t="s">
        <v>78</v>
      </c>
    </row>
    <row r="40" spans="1:3" ht="14">
      <c r="A40" s="1660" t="s">
        <v>79</v>
      </c>
    </row>
    <row r="41" spans="1:3" ht="14">
      <c r="A41" s="1661" t="s">
        <v>80</v>
      </c>
    </row>
    <row r="42" spans="1:3" ht="14">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328125" defaultRowHeight="24" customHeight="1"/>
  <cols>
    <col min="1" max="1" width="24.6328125" style="2498" customWidth="1"/>
    <col min="2" max="2" width="38.6328125" style="2498" customWidth="1"/>
    <col min="3" max="3" width="26" style="2498" customWidth="1"/>
    <col min="4" max="4" width="35" style="2498" hidden="1" customWidth="1"/>
    <col min="5" max="5" width="30.08984375" style="2498" customWidth="1"/>
    <col min="6" max="6" width="35.453125" style="2498" customWidth="1"/>
    <col min="7" max="7" width="31" style="2498" customWidth="1"/>
    <col min="8" max="8" width="37.453125" style="2498" hidden="1" customWidth="1"/>
    <col min="9" max="16384" width="22.6328125" style="2498"/>
  </cols>
  <sheetData>
    <row r="1" spans="1:8" ht="24" customHeight="1">
      <c r="A1" s="2497"/>
      <c r="B1" s="2497"/>
      <c r="C1" s="2497"/>
      <c r="D1" s="2497"/>
      <c r="E1" s="2497"/>
      <c r="F1" s="2497"/>
      <c r="G1" s="2497"/>
      <c r="H1" s="2497"/>
    </row>
    <row r="2" spans="1:8" ht="24" customHeight="1">
      <c r="A2" s="2499" t="s">
        <v>2640</v>
      </c>
      <c r="B2" s="2500">
        <f ca="1">TODAY()</f>
        <v>44693</v>
      </c>
      <c r="C2" s="2501" t="s">
        <v>2641</v>
      </c>
      <c r="D2" s="2501"/>
      <c r="E2" s="2501"/>
      <c r="F2" s="2497"/>
      <c r="G2" s="2497"/>
      <c r="H2" s="2497"/>
    </row>
    <row r="3" spans="1:8" ht="24" customHeight="1">
      <c r="A3" s="2502" t="s">
        <v>2642</v>
      </c>
      <c r="B3" s="2503" t="s">
        <v>2643</v>
      </c>
      <c r="C3" s="2503" t="s">
        <v>2644</v>
      </c>
      <c r="D3" s="2504" t="s">
        <v>2645</v>
      </c>
      <c r="E3" s="2505" t="s">
        <v>2646</v>
      </c>
      <c r="F3" s="1412" t="s">
        <v>2647</v>
      </c>
      <c r="G3" s="2503" t="s">
        <v>2644</v>
      </c>
      <c r="H3" s="2504" t="s">
        <v>2648</v>
      </c>
    </row>
    <row r="4" spans="1:8" ht="24" customHeight="1">
      <c r="A4" s="1412" t="s">
        <v>2649</v>
      </c>
      <c r="B4" s="1412">
        <f ca="1">IF(C4&lt;B2,"已过期",1119970066)</f>
        <v>1119970066</v>
      </c>
      <c r="C4" s="2506">
        <v>44876</v>
      </c>
      <c r="D4" s="2507" t="str">
        <f ca="1">A4&amp;"（注册号："&amp;B4&amp;"）"</f>
        <v>梁津（注册号：1119970066）</v>
      </c>
      <c r="E4" s="2508" t="s">
        <v>2649</v>
      </c>
      <c r="F4" s="1412">
        <f ca="1">IF(G4&lt;B2,"已过期",96010014)</f>
        <v>96010014</v>
      </c>
      <c r="G4" s="2509">
        <v>47118</v>
      </c>
      <c r="H4" s="2510" t="str">
        <f ca="1">E4&amp;"（注册号："&amp;F4&amp;"）"</f>
        <v>梁津（注册号：96010014）</v>
      </c>
    </row>
    <row r="5" spans="1:8" ht="24" customHeight="1">
      <c r="A5" s="1412" t="s">
        <v>2650</v>
      </c>
      <c r="B5" s="1412">
        <f ca="1">IF(C5&lt;B2,"已过期",1119970111)</f>
        <v>1119970111</v>
      </c>
      <c r="C5" s="2506">
        <v>44876</v>
      </c>
      <c r="D5" s="2507" t="str">
        <f t="shared" ref="D5:D15" ca="1" si="0">A5&amp;"（注册号："&amp;B5&amp;"）"</f>
        <v>叶凌（注册号：1119970111）</v>
      </c>
      <c r="E5" s="2508" t="s">
        <v>2650</v>
      </c>
      <c r="F5" s="1412">
        <f ca="1">IF(G5&lt;B2,"已过期",94010078)</f>
        <v>94010078</v>
      </c>
      <c r="G5" s="2509">
        <v>46387</v>
      </c>
      <c r="H5" s="2510" t="str">
        <f t="shared" ref="H5:H16" ca="1" si="1">E5&amp;"（注册号："&amp;F5&amp;"）"</f>
        <v>叶凌（注册号：94010078）</v>
      </c>
    </row>
    <row r="6" spans="1:8" ht="24" customHeight="1">
      <c r="A6" s="1412" t="s">
        <v>2651</v>
      </c>
      <c r="B6" s="1412">
        <f ca="1">IF(C6&lt;B2,"已过期",1120050019)</f>
        <v>1120050019</v>
      </c>
      <c r="C6" s="2506">
        <v>45410</v>
      </c>
      <c r="D6" s="2507" t="str">
        <f t="shared" ca="1" si="0"/>
        <v>王鹏（注册号：1120050019）</v>
      </c>
      <c r="E6" s="2508" t="s">
        <v>2651</v>
      </c>
      <c r="F6" s="1412">
        <f ca="1">IF(G6&lt;B2,"已过期",2002110030)</f>
        <v>2002110030</v>
      </c>
      <c r="G6" s="2509">
        <v>46387</v>
      </c>
      <c r="H6" s="2510" t="str">
        <f t="shared" ca="1" si="1"/>
        <v>王鹏（注册号：2002110030）</v>
      </c>
    </row>
    <row r="7" spans="1:8" ht="24" customHeight="1">
      <c r="A7" s="1412" t="s">
        <v>2652</v>
      </c>
      <c r="B7" s="1412">
        <f ca="1">IF(C7&lt;B2,"已过期",1120000080)</f>
        <v>1120000080</v>
      </c>
      <c r="C7" s="2506">
        <v>44876</v>
      </c>
      <c r="D7" s="2507" t="str">
        <f t="shared" ca="1" si="0"/>
        <v>欧红伟（注册号：1120000080）</v>
      </c>
      <c r="E7" s="2508" t="s">
        <v>2652</v>
      </c>
      <c r="F7" s="1412">
        <f ca="1">IF(G7&lt;B2,"已过期",2000110082)</f>
        <v>2000110082</v>
      </c>
      <c r="G7" s="2509">
        <v>46387</v>
      </c>
      <c r="H7" s="2510" t="str">
        <f t="shared" ca="1" si="1"/>
        <v>欧红伟（注册号：2000110082）</v>
      </c>
    </row>
    <row r="8" spans="1:8" ht="24" customHeight="1">
      <c r="A8" s="1412" t="s">
        <v>2653</v>
      </c>
      <c r="B8" s="1412">
        <f ca="1">IF(C8&lt;B2,"已过期",1419970001)</f>
        <v>1419970001</v>
      </c>
      <c r="C8" s="2506">
        <v>44899</v>
      </c>
      <c r="D8" s="2507" t="str">
        <f t="shared" ca="1" si="0"/>
        <v>吴薇（注册号：1419970001）</v>
      </c>
      <c r="E8" s="2508" t="s">
        <v>2653</v>
      </c>
      <c r="F8" s="1412">
        <f ca="1">IF(G8&lt;B2,"已过期",2002110125)</f>
        <v>2002110125</v>
      </c>
      <c r="G8" s="2509">
        <v>47118</v>
      </c>
      <c r="H8" s="2510" t="str">
        <f t="shared" ca="1" si="1"/>
        <v>吴薇（注册号：2002110125）</v>
      </c>
    </row>
    <row r="9" spans="1:8" ht="24" customHeight="1">
      <c r="A9" s="1412" t="s">
        <v>2654</v>
      </c>
      <c r="B9" s="1412">
        <f ca="1">IF(C9&lt;B2,"已过期",1120060040)</f>
        <v>1120060040</v>
      </c>
      <c r="C9" s="2511">
        <v>45592</v>
      </c>
      <c r="D9" s="2507" t="str">
        <f t="shared" ca="1" si="0"/>
        <v>陈颖（注册号：1120060040）</v>
      </c>
      <c r="E9" s="2508" t="s">
        <v>2654</v>
      </c>
      <c r="F9" s="1412">
        <f ca="1">IF(G9&lt;B2,"已过期",2004110096)</f>
        <v>2004110096</v>
      </c>
      <c r="G9" s="2509">
        <v>47118</v>
      </c>
      <c r="H9" s="2510" t="str">
        <f t="shared" ca="1" si="1"/>
        <v>陈颖（注册号：2004110096）</v>
      </c>
    </row>
    <row r="10" spans="1:8" ht="24" customHeight="1">
      <c r="A10" s="1412" t="s">
        <v>2655</v>
      </c>
      <c r="B10" s="1412" t="str">
        <f ca="1">IF(C10&lt;B2,"已过期",1120100036)</f>
        <v>已过期</v>
      </c>
      <c r="C10" s="2511">
        <v>44675</v>
      </c>
      <c r="D10" s="2507" t="str">
        <f t="shared" ca="1" si="0"/>
        <v>崔锴（注册号：已过期）</v>
      </c>
      <c r="E10" s="2508" t="s">
        <v>2655</v>
      </c>
      <c r="F10" s="1412">
        <f ca="1">IF(G10&lt;B2,"已过期",2010110070)</f>
        <v>2010110070</v>
      </c>
      <c r="G10" s="2509">
        <v>47907</v>
      </c>
      <c r="H10" s="2510" t="str">
        <f t="shared" ca="1" si="1"/>
        <v>崔锴（注册号：2010110070）</v>
      </c>
    </row>
    <row r="11" spans="1:8" ht="24" customHeight="1">
      <c r="A11" s="1412" t="s">
        <v>2656</v>
      </c>
      <c r="B11" s="1412">
        <f ca="1">IF(C11&lt;B2,"已过期",1120070131)</f>
        <v>1120070131</v>
      </c>
      <c r="C11" s="2506">
        <v>44849</v>
      </c>
      <c r="D11" s="2507" t="str">
        <f t="shared" ca="1" si="0"/>
        <v>郑燚（注册号：1120070131）</v>
      </c>
      <c r="E11" s="2508" t="s">
        <v>2656</v>
      </c>
      <c r="F11" s="1412">
        <f ca="1">IF(G11&lt;B2,"已过期",2014110011)</f>
        <v>2014110011</v>
      </c>
      <c r="G11" s="2509">
        <v>49302</v>
      </c>
      <c r="H11" s="2510" t="str">
        <f t="shared" ca="1" si="1"/>
        <v>郑燚（注册号：2014110011）</v>
      </c>
    </row>
    <row r="12" spans="1:8" ht="24" customHeight="1">
      <c r="A12" s="1412" t="s">
        <v>2657</v>
      </c>
      <c r="B12" s="1412">
        <f ca="1">IF(C12&lt;B2,"已过期",1120040230)</f>
        <v>1120040230</v>
      </c>
      <c r="C12" s="2511">
        <v>44864</v>
      </c>
      <c r="D12" s="2507" t="str">
        <f t="shared" ca="1" si="0"/>
        <v>苏海（注册号：1120040230）</v>
      </c>
      <c r="E12" s="2508" t="s">
        <v>2657</v>
      </c>
      <c r="F12" s="1412">
        <f ca="1">IF(G12&lt;B2,"已过期",98030020)</f>
        <v>98030020</v>
      </c>
      <c r="G12" s="2509">
        <v>47118</v>
      </c>
      <c r="H12" s="2510" t="str">
        <f t="shared" ca="1" si="1"/>
        <v>苏海（注册号：98030020）</v>
      </c>
    </row>
    <row r="13" spans="1:8" ht="24" customHeight="1">
      <c r="A13" s="1412" t="s">
        <v>2658</v>
      </c>
      <c r="B13" s="1412" t="str">
        <f ca="1">IF(C13&lt;B2,"已过期",1120020033)</f>
        <v>已过期</v>
      </c>
      <c r="C13" s="2506">
        <v>44339</v>
      </c>
      <c r="D13" s="2507" t="str">
        <f t="shared" ca="1" si="0"/>
        <v>刘敬东（注册号：已过期）</v>
      </c>
      <c r="E13" s="2508" t="s">
        <v>2658</v>
      </c>
      <c r="F13" s="1412">
        <f ca="1">IF(G13&lt;B2,"已过期",2000110137)</f>
        <v>2000110137</v>
      </c>
      <c r="G13" s="2509">
        <v>46387</v>
      </c>
      <c r="H13" s="2510" t="str">
        <f t="shared" ca="1" si="1"/>
        <v>刘敬东（注册号：2000110137）</v>
      </c>
    </row>
    <row r="14" spans="1:8" ht="24" customHeight="1">
      <c r="A14" s="1412" t="s">
        <v>2659</v>
      </c>
      <c r="B14" s="1412">
        <f ca="1">IF(C14&lt;B2,"已过期",1119980106)</f>
        <v>1119980106</v>
      </c>
      <c r="C14" s="2511">
        <v>44969</v>
      </c>
      <c r="D14" s="2507" t="str">
        <f t="shared" ca="1" si="0"/>
        <v>刘俊财（注册号：1119980106）</v>
      </c>
      <c r="E14" s="2508" t="s">
        <v>2659</v>
      </c>
      <c r="F14" s="1412">
        <f ca="1">IF(G14&lt;B2,"已过期",96010063)</f>
        <v>96010063</v>
      </c>
      <c r="G14" s="2509">
        <v>47483</v>
      </c>
      <c r="H14" s="2510" t="str">
        <f t="shared" ca="1" si="1"/>
        <v>刘俊财（注册号：96010063）</v>
      </c>
    </row>
    <row r="15" spans="1:8" ht="24" customHeight="1">
      <c r="A15" s="1412" t="s">
        <v>2938</v>
      </c>
      <c r="B15" s="1412">
        <v>1120210056</v>
      </c>
      <c r="C15" s="2511">
        <v>45410</v>
      </c>
      <c r="D15" s="2507" t="str">
        <f t="shared" si="0"/>
        <v>宁小鳗（注册号：1120210056）</v>
      </c>
      <c r="E15" s="2508" t="s">
        <v>2660</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33" t="s">
        <v>2661</v>
      </c>
      <c r="B17" s="3333"/>
      <c r="C17" s="3333"/>
      <c r="D17" s="3333"/>
      <c r="E17" s="3333"/>
      <c r="F17" s="3333"/>
      <c r="G17" s="3333"/>
      <c r="H17" s="3333"/>
    </row>
    <row r="18" spans="1:8" ht="24" customHeight="1">
      <c r="A18" s="3334" t="s">
        <v>2662</v>
      </c>
      <c r="B18" s="3334"/>
      <c r="C18" s="3334"/>
      <c r="D18" s="2504"/>
      <c r="E18" s="3335" t="s">
        <v>2663</v>
      </c>
      <c r="F18" s="3334"/>
      <c r="G18" s="3334"/>
    </row>
    <row r="19" spans="1:8" s="2515" customFormat="1" ht="24" customHeight="1">
      <c r="A19" s="2514" t="s">
        <v>2664</v>
      </c>
      <c r="B19" s="2503" t="s">
        <v>2665</v>
      </c>
      <c r="C19" s="2503" t="s">
        <v>2644</v>
      </c>
      <c r="D19" s="2504"/>
      <c r="E19" s="2508" t="s">
        <v>2664</v>
      </c>
      <c r="F19" s="2503" t="s">
        <v>2665</v>
      </c>
      <c r="G19" s="2503" t="s">
        <v>2644</v>
      </c>
    </row>
    <row r="20" spans="1:8" s="2515" customFormat="1" ht="24" customHeight="1">
      <c r="A20" s="2516" t="s">
        <v>2666</v>
      </c>
      <c r="B20" s="2516" t="s">
        <v>2667</v>
      </c>
      <c r="C20" s="2509">
        <v>44820</v>
      </c>
      <c r="D20" s="2517"/>
      <c r="E20" s="2518" t="s">
        <v>2668</v>
      </c>
      <c r="F20" s="2521" t="s">
        <v>2939</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2022-05-12T04:03:41Z</dcterms:modified>
</cp:coreProperties>
</file>