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F:\军队\"/>
    </mc:Choice>
  </mc:AlternateContent>
  <xr:revisionPtr revIDLastSave="0" documentId="13_ncr:1_{4E3AB6E8-6FB3-4411-A029-C3F4D8FDF458}"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1" r:id="rId27"/>
    <sheet name="Sheet2"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21" l="1"/>
  <c r="F104" i="21"/>
  <c r="D104" i="21"/>
  <c r="I27" i="21"/>
  <c r="G27" i="21"/>
  <c r="E27" i="21"/>
  <c r="L26" i="9" l="1"/>
  <c r="M41" i="21"/>
  <c r="N18" i="1"/>
  <c r="I47" i="21"/>
  <c r="G47" i="21"/>
  <c r="E47" i="21"/>
  <c r="I33" i="21"/>
  <c r="G33" i="21"/>
  <c r="E33" i="21"/>
  <c r="I7" i="21"/>
  <c r="G7" i="21"/>
  <c r="E7" i="21"/>
  <c r="I5" i="21"/>
  <c r="G5" i="21"/>
  <c r="E5" i="2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E67" i="71" s="1"/>
  <c r="P67"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F38" i="71" s="1"/>
  <c r="F39" i="71" s="1"/>
  <c r="P37" i="71"/>
  <c r="O37" i="71"/>
  <c r="Y37" i="71" s="1"/>
  <c r="Z37" i="71" s="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E38" i="71"/>
  <c r="N68" i="71"/>
  <c r="C30" i="71"/>
  <c r="P28" i="71"/>
  <c r="E28" i="71" s="1"/>
  <c r="E63" i="71"/>
  <c r="E64" i="71" s="1"/>
  <c r="U64" i="71" s="1"/>
  <c r="Q28" i="71"/>
  <c r="F28" i="71" s="1"/>
  <c r="D68"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B77" i="43"/>
  <c r="H25" i="40"/>
  <c r="J25" i="40"/>
  <c r="H29" i="39"/>
  <c r="AB29" i="39" s="1"/>
  <c r="J29" i="39"/>
  <c r="AC29" i="39" s="1"/>
  <c r="J18" i="36"/>
  <c r="H18" i="35"/>
  <c r="AB18" i="35" s="1"/>
  <c r="J18" i="35"/>
  <c r="H21" i="37"/>
  <c r="AB21" i="37" s="1"/>
  <c r="F21" i="37"/>
  <c r="H21" i="34"/>
  <c r="H21" i="33"/>
  <c r="F21" i="33"/>
  <c r="AA21" i="33" s="1"/>
  <c r="H1" i="69"/>
  <c r="U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S36" i="39" s="1"/>
  <c r="F39" i="37"/>
  <c r="S39" i="37" s="1"/>
  <c r="F29" i="36"/>
  <c r="AA29" i="36" s="1"/>
  <c r="F16" i="36"/>
  <c r="AA16" i="36" s="1"/>
  <c r="H22" i="35"/>
  <c r="AB22" i="35" s="1"/>
  <c r="F36" i="34"/>
  <c r="AA36" i="34" s="1"/>
  <c r="J35" i="34"/>
  <c r="H39" i="33"/>
  <c r="AB39" i="33"/>
  <c r="S40" i="33"/>
  <c r="W33" i="33"/>
  <c r="F11" i="40"/>
  <c r="AA11" i="40"/>
  <c r="H11" i="40"/>
  <c r="AA9" i="40"/>
  <c r="W31"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W40" i="34" s="1"/>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J25" i="36"/>
  <c r="H28" i="37"/>
  <c r="H38" i="37"/>
  <c r="AB38" i="37" s="1"/>
  <c r="J38" i="37"/>
  <c r="F43" i="39"/>
  <c r="F12" i="40"/>
  <c r="S12" i="40" s="1"/>
  <c r="H12" i="40"/>
  <c r="AB12" i="40" s="1"/>
  <c r="H30" i="40"/>
  <c r="AB30" i="40" s="1"/>
  <c r="H33" i="40"/>
  <c r="U33" i="40" s="1"/>
  <c r="J35" i="40"/>
  <c r="J37" i="40"/>
  <c r="AC37" i="40" s="1"/>
  <c r="F14" i="37"/>
  <c r="H14" i="40"/>
  <c r="AB14" i="40" s="1"/>
  <c r="J14" i="40"/>
  <c r="W14" i="40" s="1"/>
  <c r="F14" i="40"/>
  <c r="AA14" i="40" s="1"/>
  <c r="J14" i="37"/>
  <c r="J36" i="37"/>
  <c r="AC36" i="37" s="1"/>
  <c r="J10" i="36"/>
  <c r="AC10" i="36" s="1"/>
  <c r="F17" i="21"/>
  <c r="H17" i="21"/>
  <c r="AB17" i="21" s="1"/>
  <c r="F15" i="21"/>
  <c r="S15" i="21" s="1"/>
  <c r="J41" i="39"/>
  <c r="W41" i="39" s="1"/>
  <c r="G580" i="3"/>
  <c r="G560" i="3"/>
  <c r="BL504" i="3"/>
  <c r="BA587" i="3"/>
  <c r="G573" i="3"/>
  <c r="G565"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U19" i="21"/>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AB44" i="39"/>
  <c r="H37" i="39"/>
  <c r="AB37" i="39" s="1"/>
  <c r="AC37" i="39"/>
  <c r="W37" i="39"/>
  <c r="H25" i="39"/>
  <c r="J25" i="39"/>
  <c r="AC25" i="39" s="1"/>
  <c r="F25" i="39"/>
  <c r="AA25" i="39" s="1"/>
  <c r="F15" i="39"/>
  <c r="AA15" i="39" s="1"/>
  <c r="H15" i="39"/>
  <c r="U15" i="39" s="1"/>
  <c r="J15" i="39"/>
  <c r="W15" i="39" s="1"/>
  <c r="H41" i="39"/>
  <c r="AA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BP5" i="3"/>
  <c r="G17" i="3"/>
  <c r="BA17" i="3"/>
  <c r="BA15" i="3"/>
  <c r="AZ380" i="3"/>
  <c r="U36" i="40"/>
  <c r="F83" i="43"/>
  <c r="H85" i="43" s="1"/>
  <c r="F50" i="43"/>
  <c r="H54" i="43" s="1"/>
  <c r="F72" i="43"/>
  <c r="H75" i="43" s="1"/>
  <c r="U17" i="39"/>
  <c r="AC35" i="21"/>
  <c r="G8" i="1"/>
  <c r="G10" i="1"/>
  <c r="AC11" i="39"/>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S32" i="36"/>
  <c r="BL14" i="3"/>
  <c r="U30" i="33"/>
  <c r="H12" i="39"/>
  <c r="AB12" i="39"/>
  <c r="BA14" i="3"/>
  <c r="B12" i="1"/>
  <c r="E12" i="1" s="1"/>
  <c r="B10" i="1"/>
  <c r="E10" i="1" s="1"/>
  <c r="K12" i="1"/>
  <c r="M12" i="1" s="1"/>
  <c r="S13" i="1"/>
  <c r="AR13" i="1" s="1"/>
  <c r="R13" i="1"/>
  <c r="J51" i="67"/>
  <c r="C42" i="1"/>
  <c r="C24" i="12" s="1"/>
  <c r="AC34" i="33"/>
  <c r="B41" i="1"/>
  <c r="F48" i="9" s="1"/>
  <c r="O52" i="9" s="1"/>
  <c r="AB37" i="40"/>
  <c r="S35" i="40"/>
  <c r="S17" i="40"/>
  <c r="F32" i="39"/>
  <c r="AA32" i="39" s="1"/>
  <c r="AB27" i="39"/>
  <c r="J21" i="39"/>
  <c r="W21" i="39" s="1"/>
  <c r="F21" i="39"/>
  <c r="S21" i="39" s="1"/>
  <c r="H21" i="39"/>
  <c r="W19" i="39"/>
  <c r="U19" i="39"/>
  <c r="U12" i="39"/>
  <c r="U26" i="36"/>
  <c r="AA34" i="36"/>
  <c r="AC26" i="36"/>
  <c r="AA22" i="36"/>
  <c r="W14" i="36"/>
  <c r="U22" i="36"/>
  <c r="S16" i="36"/>
  <c r="S14" i="36"/>
  <c r="AA25" i="35"/>
  <c r="U36" i="35"/>
  <c r="U32" i="35"/>
  <c r="AA33" i="35"/>
  <c r="AC30" i="35"/>
  <c r="S28" i="35"/>
  <c r="U14" i="35"/>
  <c r="AC9" i="35"/>
  <c r="F9" i="35"/>
  <c r="S9" i="35" s="1"/>
  <c r="H9" i="35"/>
  <c r="U9" i="35" s="1"/>
  <c r="AC29" i="37"/>
  <c r="S32" i="37"/>
  <c r="W30" i="37"/>
  <c r="S36" i="37"/>
  <c r="AA38" i="37"/>
  <c r="J17" i="37"/>
  <c r="F17" i="37"/>
  <c r="AB17" i="37"/>
  <c r="F75" i="37"/>
  <c r="F19" i="37"/>
  <c r="S19" i="37" s="1"/>
  <c r="F23" i="37"/>
  <c r="U15" i="37"/>
  <c r="H10" i="37"/>
  <c r="AB10" i="37" s="1"/>
  <c r="F11" i="37"/>
  <c r="S11" i="37" s="1"/>
  <c r="W25" i="34"/>
  <c r="AB8" i="34"/>
  <c r="AA33" i="34"/>
  <c r="U43" i="34"/>
  <c r="AC39" i="34"/>
  <c r="AB35" i="34"/>
  <c r="U15" i="34"/>
  <c r="H10" i="34"/>
  <c r="AB10" i="34" s="1"/>
  <c r="F11" i="34"/>
  <c r="S11" i="34" s="1"/>
  <c r="W42" i="33"/>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W19" i="33"/>
  <c r="J17" i="33"/>
  <c r="S15" i="33"/>
  <c r="J10" i="33"/>
  <c r="W10" i="33" s="1"/>
  <c r="H10" i="33"/>
  <c r="U10" i="33" s="1"/>
  <c r="W36" i="21"/>
  <c r="AB39" i="21"/>
  <c r="AA43" i="21"/>
  <c r="AA38" i="21"/>
  <c r="AA36" i="21"/>
  <c r="J15" i="21"/>
  <c r="W15" i="21" s="1"/>
  <c r="F23" i="21"/>
  <c r="S23" i="21" s="1"/>
  <c r="F34" i="67"/>
  <c r="F62" i="67" s="1"/>
  <c r="M20" i="67"/>
  <c r="F34" i="15"/>
  <c r="F62" i="15" s="1"/>
  <c r="G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AA15" i="40"/>
  <c r="S31" i="40"/>
  <c r="AB17" i="40"/>
  <c r="AC41" i="39"/>
  <c r="U42" i="39"/>
  <c r="W25" i="39"/>
  <c r="AB11" i="39"/>
  <c r="U11" i="39"/>
  <c r="AA27" i="39"/>
  <c r="S27" i="39"/>
  <c r="W17" i="39"/>
  <c r="AC17" i="39"/>
  <c r="AB39" i="39"/>
  <c r="W34" i="39"/>
  <c r="S20" i="36"/>
  <c r="AA13" i="36"/>
  <c r="AA35" i="37"/>
  <c r="AA29" i="37"/>
  <c r="U30" i="34"/>
  <c r="U38" i="34"/>
  <c r="S19" i="34"/>
  <c r="AA8" i="34"/>
  <c r="S8" i="34"/>
  <c r="AC43" i="34"/>
  <c r="W43" i="34"/>
  <c r="AC35" i="34"/>
  <c r="W35" i="34"/>
  <c r="AC37" i="33"/>
  <c r="U39" i="33"/>
  <c r="U38" i="33"/>
  <c r="S33" i="33"/>
  <c r="W14" i="33"/>
  <c r="W13" i="33"/>
  <c r="S11" i="33"/>
  <c r="AB14" i="21"/>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AC34" i="21"/>
  <c r="C19" i="39"/>
  <c r="C17" i="40"/>
  <c r="C23" i="40"/>
  <c r="B56" i="43"/>
  <c r="B51" i="43"/>
  <c r="B54" i="43"/>
  <c r="B62" i="43"/>
  <c r="B65" i="43"/>
  <c r="D23" i="15"/>
  <c r="D22" i="15"/>
  <c r="E4" i="4"/>
  <c r="B5" i="62" s="1"/>
  <c r="B73" i="72" s="1"/>
  <c r="C4" i="4"/>
  <c r="J32" i="39"/>
  <c r="AC32" i="39" s="1"/>
  <c r="H32" i="39"/>
  <c r="AB32" i="39" s="1"/>
  <c r="J19" i="37"/>
  <c r="W19" i="37" s="1"/>
  <c r="G75" i="37"/>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W17" i="33"/>
  <c r="AC17" i="33"/>
  <c r="AB15" i="21"/>
  <c r="J23" i="21"/>
  <c r="AC23" i="21" s="1"/>
  <c r="H23" i="21"/>
  <c r="AB23" i="21" s="1"/>
  <c r="AP7" i="1"/>
  <c r="A18" i="62"/>
  <c r="B64" i="72" s="1"/>
  <c r="J11" i="37"/>
  <c r="AC11" i="37" s="1"/>
  <c r="J11" i="34"/>
  <c r="W11" i="34" s="1"/>
  <c r="AA17" i="33"/>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6" i="15"/>
  <c r="F7" i="73"/>
  <c r="E12" i="76"/>
  <c r="B10" i="76"/>
  <c r="L48" i="67"/>
  <c r="E7" i="76"/>
  <c r="L48" i="15"/>
  <c r="F9" i="15"/>
  <c r="M8" i="15"/>
  <c r="E2" i="68"/>
  <c r="E8" i="76"/>
  <c r="E9" i="76"/>
  <c r="F3" i="73"/>
  <c r="F4" i="73"/>
  <c r="B8" i="76"/>
  <c r="M23" i="67"/>
  <c r="AO13" i="1"/>
  <c r="F20" i="31"/>
  <c r="B13" i="76"/>
  <c r="L47" i="67"/>
  <c r="E11" i="76"/>
  <c r="M26" i="67"/>
  <c r="D6" i="73"/>
  <c r="L47" i="15"/>
  <c r="E13" i="76"/>
  <c r="F6" i="73"/>
  <c r="B9" i="76"/>
  <c r="E10" i="76"/>
  <c r="F5" i="73"/>
  <c r="D34" i="9"/>
  <c r="B11" i="76"/>
  <c r="D35" i="9"/>
  <c r="B12" i="76"/>
  <c r="M24" i="15"/>
  <c r="F36" i="15"/>
  <c r="B7" i="76"/>
  <c r="U27" i="21" l="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AZ319" i="3"/>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AZ58" i="3" s="1"/>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37" i="15"/>
  <c r="M29" i="15"/>
  <c r="D9" i="69"/>
  <c r="F38" i="67"/>
  <c r="F13" i="67"/>
  <c r="F42" i="67"/>
  <c r="M6" i="15"/>
  <c r="F6" i="67"/>
  <c r="F7" i="15"/>
  <c r="C76" i="15"/>
  <c r="F26" i="15"/>
  <c r="F37" i="67"/>
  <c r="F40" i="15"/>
  <c r="M26" i="15"/>
  <c r="M23" i="15"/>
  <c r="M22" i="67"/>
  <c r="F8" i="67"/>
  <c r="M22" i="15"/>
  <c r="F40" i="67"/>
  <c r="F16" i="67"/>
  <c r="F42" i="15"/>
  <c r="F13" i="15"/>
  <c r="D3" i="73"/>
  <c r="M24" i="67"/>
  <c r="F43" i="15"/>
  <c r="D4" i="73"/>
  <c r="F38" i="15"/>
  <c r="F9" i="67"/>
  <c r="M28" i="67"/>
  <c r="F26" i="67"/>
  <c r="M9" i="15"/>
  <c r="F7" i="67"/>
  <c r="J15" i="15"/>
  <c r="M8" i="67"/>
  <c r="C36" i="69"/>
  <c r="F16" i="15"/>
  <c r="F36" i="67"/>
  <c r="F8" i="15"/>
  <c r="J15" i="67"/>
  <c r="F43" i="67"/>
  <c r="D5" i="73"/>
  <c r="M6" i="67"/>
  <c r="M29" i="67"/>
  <c r="M9" i="67"/>
  <c r="C76" i="67"/>
  <c r="D7" i="73"/>
  <c r="M28" i="15"/>
  <c r="S27" i="21" l="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9" i="3"/>
  <c r="E140" i="3"/>
  <c r="E428" i="3"/>
  <c r="E188" i="3"/>
  <c r="E422" i="3"/>
  <c r="E40" i="3"/>
  <c r="E346" i="3"/>
  <c r="E473" i="3"/>
  <c r="E234" i="3"/>
  <c r="E52" i="3"/>
  <c r="E340" i="3"/>
  <c r="E364" i="3"/>
  <c r="E218" i="3"/>
  <c r="E524" i="3"/>
  <c r="E552" i="3"/>
  <c r="E398" i="3"/>
  <c r="E155" i="3"/>
  <c r="E58" i="3"/>
  <c r="E24" i="3"/>
  <c r="E250" i="3"/>
  <c r="E312" i="3"/>
  <c r="E421" i="3"/>
  <c r="E57" i="3"/>
  <c r="E446" i="3"/>
  <c r="E354" i="3"/>
  <c r="E48" i="3"/>
  <c r="E323" i="3"/>
  <c r="E149"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F27" i="68"/>
  <c r="AE7" i="1"/>
  <c r="AE8" i="1"/>
  <c r="AE12" i="1"/>
  <c r="AE10" i="1"/>
  <c r="C16" i="67"/>
  <c r="G1" i="73"/>
  <c r="F41" i="67"/>
  <c r="F27" i="69"/>
  <c r="C16" i="15"/>
  <c r="E464" i="3" l="1"/>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34" i="69"/>
  <c r="C17" i="15"/>
  <c r="D10" i="69"/>
  <c r="C17" i="67"/>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0" i="9"/>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11" i="1"/>
  <c r="AO9" i="1"/>
  <c r="AO12"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l="1"/>
  <c r="C52" i="69" s="1"/>
  <c r="B2" i="69" s="1"/>
  <c r="C19" i="9"/>
  <c r="B3" i="69"/>
  <c r="C57" i="69" l="1"/>
  <c r="C56" i="69" s="1"/>
  <c r="C21" i="9"/>
  <c r="D22" i="9"/>
  <c r="C102" i="9"/>
  <c r="G19" i="9"/>
  <c r="C20" i="9"/>
  <c r="G20" i="9" l="1"/>
  <c r="C32" i="9" s="1"/>
  <c r="C35" i="9" s="1"/>
  <c r="C34" i="9" s="1"/>
  <c r="C103" i="9"/>
  <c r="G21" i="9"/>
  <c r="D14" i="74"/>
  <c r="G22" i="9" l="1"/>
  <c r="B5" i="74"/>
  <c r="D5" i="74" s="1"/>
  <c r="F14" i="74"/>
  <c r="E14" i="74"/>
  <c r="B30" i="72" l="1"/>
  <c r="B22" i="72"/>
  <c r="D6" i="53"/>
  <c r="C73" i="9"/>
  <c r="C78" i="9"/>
  <c r="B53" i="72"/>
  <c r="F5" i="52"/>
  <c r="F119" i="9"/>
  <c r="M54" i="9"/>
  <c r="D56" i="9"/>
  <c r="D58" i="9"/>
  <c r="C97" i="9"/>
  <c r="D13" i="53"/>
  <c r="D14" i="53"/>
  <c r="B32" i="72"/>
  <c r="D5" i="53"/>
  <c r="B20" i="72"/>
  <c r="D9" i="52"/>
  <c r="D123" i="9"/>
  <c r="H5" i="52"/>
  <c r="H119" i="9"/>
  <c r="C85" i="9"/>
  <c r="C95" i="9"/>
  <c r="C96" i="9"/>
  <c r="E96" i="9"/>
  <c r="E97" i="9"/>
  <c r="H4" i="52"/>
  <c r="C104" i="9"/>
  <c r="P57" i="9"/>
  <c r="N58" i="9"/>
  <c r="N61" i="9"/>
  <c r="D55" i="9"/>
  <c r="M53" i="9"/>
  <c r="N57" i="9"/>
  <c r="N59" i="9"/>
  <c r="N60" i="9"/>
  <c r="D59" i="9"/>
  <c r="M55" i="9"/>
  <c r="B52" i="72"/>
  <c r="G4" i="52"/>
  <c r="D122" i="9"/>
  <c r="D8" i="52"/>
  <c r="C5" i="74"/>
  <c r="C64" i="9"/>
  <c r="C63" i="9"/>
  <c r="C67" i="9"/>
  <c r="C68" i="9"/>
  <c r="D54" i="9"/>
  <c r="C6" i="74"/>
  <c r="D4" i="52"/>
  <c r="B47" i="72"/>
  <c r="C81" i="9"/>
  <c r="I4" i="52"/>
  <c r="C105" i="9"/>
  <c r="M48" i="9"/>
  <c r="E4" i="52"/>
  <c r="B48" i="72"/>
  <c r="G118" i="9"/>
  <c r="F118" i="9"/>
  <c r="F4" i="52"/>
  <c r="B51" i="72"/>
  <c r="E118" i="9"/>
  <c r="D118" i="9"/>
  <c r="D119" i="9"/>
  <c r="D5" i="52"/>
  <c r="B49" i="72"/>
  <c r="C86" i="9"/>
  <c r="C93" i="9"/>
  <c r="H102" i="9"/>
  <c r="D7" i="53"/>
  <c r="B21" i="72"/>
  <c r="D53" i="9"/>
  <c r="D52" i="9"/>
  <c r="H107" i="9"/>
  <c r="H108" i="9"/>
  <c r="D15" i="53"/>
  <c r="B31"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<sst xmlns="http://schemas.openxmlformats.org/spreadsheetml/2006/main" count="9285" uniqueCount="3775">
  <si>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</si>
  <si>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</si>
  <si>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</si>
  <si>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</si>
  <si>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</si>
  <si>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</si>
  <si>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</si>
  <si>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</si>
  <si>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</si>
  <si>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</si>
  <si>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</si>
  <si>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</si>
  <si>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</si>
  <si>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</si>
  <si>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</si>
  <si>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</si>
  <si>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</si>
  <si>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</si>
  <si>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</si>
  <si>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</si>
  <si>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</si>
  <si>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</si>
  <si>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</si>
  <si>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</si>
  <si>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</si>
  <si>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</si>
  <si>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</si>
  <si>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</si>
  <si>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</si>
  <si>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</si>
  <si>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</si>
  <si>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</si>
  <si>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</si>
  <si>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</si>
  <si>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</si>
  <si>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</si>
  <si>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</si>
  <si>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</si>
  <si>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</si>
  <si>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</si>
  <si>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</si>
  <si>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</si>
  <si>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</si>
  <si>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</si>
  <si>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</si>
  <si>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</si>
  <si>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</si>
  <si>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</si>
  <si>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</si>
  <si>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</si>
  <si>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</si>
  <si>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</si>
  <si>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</si>
  <si>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</si>
  <si>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</si>
  <si>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</si>
  <si>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</si>
  <si>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</si>
  <si>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</si>
  <si>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</si>
  <si>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</si>
  <si>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</si>
  <si>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</si>
  <si>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</si>
  <si>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</si>
  <si>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</si>
  <si>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</si>
  <si>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</si>
  <si>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</si>
  <si>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</si>
  <si>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</si>
  <si>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</si>
  <si>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</si>
  <si>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</si>
  <si>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</si>
  <si>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</si>
  <si>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</si>
  <si>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</si>
  <si>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</si>
  <si>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</si>
  <si>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</si>
  <si>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</si>
  <si>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</si>
  <si>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</si>
  <si>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</si>
  <si>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</si>
  <si>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</si>
  <si>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</si>
  <si>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</si>
  <si>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</si>
  <si>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</si>
  <si>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</si>
  <si>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</si>
  <si>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</si>
  <si>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</si>
  <si>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</si>
  <si>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</si>
  <si>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</si>
  <si>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</si>
  <si>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</si>
  <si>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</si>
  <si>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</si>
  <si>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</si>
  <si>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</si>
  <si>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</si>
  <si>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</si>
  <si>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</si>
  <si>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</si>
  <si>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</si>
  <si>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</si>
  <si>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</si>
  <si>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</si>
  <si>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</si>
  <si>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</si>
  <si>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</si>
  <si>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</si>
  <si>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</si>
  <si>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</si>
  <si>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</si>
  <si>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</si>
  <si>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</si>
  <si>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</si>
  <si>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</si>
  <si>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</si>
  <si>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</si>
  <si>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</si>
  <si>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</si>
  <si>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</si>
  <si>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</si>
  <si>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</si>
  <si>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</si>
  <si>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</si>
  <si>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</si>
  <si>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</si>
  <si>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</si>
  <si>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</si>
  <si>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</si>
  <si>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</si>
  <si>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</si>
  <si>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</si>
  <si>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</si>
  <si>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</si>
  <si>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</si>
  <si>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</si>
  <si>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</si>
  <si>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</si>
  <si>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</si>
  <si>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</si>
  <si>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</si>
  <si>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</si>
  <si>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</si>
  <si>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</si>
  <si>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</si>
  <si>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</si>
  <si>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</si>
  <si>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</si>
  <si>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</si>
  <si>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</si>
  <si>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</si>
  <si>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</si>
  <si>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</si>
  <si>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</si>
  <si>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</si>
  <si>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</si>
  <si>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</si>
  <si>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</si>
  <si>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</si>
  <si>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</si>
  <si>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</si>
  <si>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</si>
  <si>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</si>
  <si>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</si>
  <si>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</si>
  <si>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</si>
  <si>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</si>
  <si>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</si>
  <si>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</si>
  <si>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</si>
  <si>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</si>
  <si>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</si>
  <si>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</si>
  <si>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</si>
  <si>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</si>
  <si>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</si>
  <si>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</si>
  <si>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</si>
  <si>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</si>
  <si>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</si>
  <si>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</si>
  <si>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</si>
  <si>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</si>
  <si>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</si>
  <si>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</si>
  <si>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</si>
  <si>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</si>
  <si>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</si>
  <si>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</si>
  <si>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</si>
  <si>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</si>
  <si>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</si>
  <si>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</si>
  <si>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</si>
  <si>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</si>
  <si>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</si>
  <si>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</si>
  <si>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</si>
  <si>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</si>
  <si>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</si>
  <si>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</si>
  <si>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</si>
  <si>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</si>
  <si>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</si>
  <si>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</si>
  <si>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</si>
  <si>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</si>
  <si>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</si>
  <si>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</si>
  <si>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</si>
  <si>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</si>
  <si>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</si>
  <si>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</si>
  <si>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</si>
  <si>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</si>
  <si>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</si>
  <si>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</si>
  <si>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</si>
  <si>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</si>
  <si>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</si>
  <si>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</si>
  <si>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</si>
  <si>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</si>
  <si>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</si>
  <si>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</si>
  <si>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</si>
  <si>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</si>
  <si>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</si>
  <si>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</si>
  <si>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</si>
  <si>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</si>
  <si>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</si>
  <si>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</si>
  <si>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</si>
  <si>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</si>
  <si>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</si>
  <si>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</si>
  <si>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</si>
  <si>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</si>
  <si>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</si>
  <si>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</si>
  <si>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</si>
  <si>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</si>
  <si>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</si>
  <si>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</si>
  <si>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</si>
  <si>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</si>
  <si>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</si>
  <si>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</si>
  <si>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</si>
  <si>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</si>
  <si>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</si>
  <si>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</si>
  <si>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</si>
  <si>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</si>
  <si>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</si>
  <si>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</si>
  <si>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</si>
  <si>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</si>
  <si>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</si>
  <si>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</si>
  <si>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</si>
  <si>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</si>
  <si>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</si>
  <si>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</si>
  <si>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</si>
  <si>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</si>
  <si>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</si>
  <si>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</si>
  <si>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</si>
  <si>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</si>
  <si>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</si>
  <si>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</si>
  <si>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</si>
  <si>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</si>
  <si>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</si>
  <si>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</si>
  <si>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</si>
  <si>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</si>
  <si>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</si>
  <si>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</si>
  <si>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</si>
  <si>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</si>
  <si>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</si>
  <si>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</si>
  <si>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</si>
  <si>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</si>
  <si>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</si>
  <si>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</si>
  <si>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</si>
  <si>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</si>
  <si>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</si>
  <si>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</si>
  <si>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</si>
  <si>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</si>
  <si>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</si>
  <si>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</si>
  <si>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</si>
  <si>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</si>
  <si>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</si>
  <si>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</si>
  <si>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</si>
  <si>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</si>
  <si>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</si>
  <si>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</si>
  <si>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</si>
  <si>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</si>
  <si>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</si>
  <si>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</si>
  <si>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</si>
  <si>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</si>
  <si>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</si>
  <si>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</si>
  <si>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</si>
  <si>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</si>
  <si>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</si>
  <si>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</si>
  <si>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</si>
  <si>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</si>
  <si>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</si>
  <si>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</si>
  <si>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</si>
  <si>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</si>
  <si>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</si>
  <si>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</si>
  <si>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</si>
  <si>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</si>
  <si>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</si>
  <si>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</si>
  <si>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</si>
  <si>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</si>
  <si>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</si>
  <si>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</si>
  <si>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</si>
  <si>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</si>
  <si>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</si>
  <si>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</si>
  <si>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</si>
  <si>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</si>
  <si>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</si>
  <si>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</si>
  <si>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</si>
  <si>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</si>
  <si>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</si>
  <si>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</si>
  <si>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</si>
  <si>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</si>
  <si>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</si>
  <si>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</si>
  <si>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</si>
  <si>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</si>
  <si>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</si>
  <si>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</si>
  <si>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</si>
  <si>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</si>
  <si>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</si>
  <si>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</si>
  <si>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</si>
  <si>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</si>
  <si>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</si>
  <si>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</si>
  <si>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</si>
  <si>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</si>
  <si>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</si>
  <si>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</si>
  <si>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</si>
  <si>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</si>
  <si>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</si>
  <si>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</si>
  <si>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</si>
  <si>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</si>
  <si>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</si>
  <si>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</si>
  <si>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</si>
  <si>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</si>
  <si>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</si>
  <si>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</si>
  <si>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</si>
  <si>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</si>
  <si>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</si>
  <si>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</si>
  <si>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</si>
  <si>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</si>
  <si>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</si>
  <si>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</si>
  <si>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</si>
  <si>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</si>
  <si>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</si>
  <si>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</si>
  <si>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</si>
  <si>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</si>
  <si>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</si>
  <si>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</si>
  <si>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</si>
  <si>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</si>
  <si>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</si>
  <si>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</si>
  <si>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</si>
  <si>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</si>
  <si>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</si>
  <si>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</si>
  <si>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</si>
  <si>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</si>
  <si>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</si>
  <si>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</si>
  <si>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</si>
  <si>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</si>
  <si>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</si>
  <si>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</si>
  <si>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</si>
  <si>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</si>
  <si>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</si>
  <si>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</si>
  <si>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</si>
  <si>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</si>
  <si>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</si>
  <si>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</si>
  <si>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</si>
  <si>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</si>
  <si>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</si>
  <si>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</si>
  <si>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</si>
  <si>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</si>
  <si>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</si>
  <si>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</si>
  <si>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</si>
  <si>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</si>
  <si>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</si>
  <si>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</si>
  <si>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</si>
  <si>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</si>
  <si>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</si>
  <si>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</si>
  <si>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</si>
  <si>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</si>
  <si>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</si>
  <si>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</si>
  <si>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</si>
  <si>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</si>
  <si>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</si>
  <si>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</si>
  <si>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</si>
  <si>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</si>
  <si>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</si>
  <si>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</si>
  <si>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</si>
  <si>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</si>
  <si>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</si>
  <si>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</si>
  <si>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</si>
  <si>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</si>
  <si>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</si>
  <si>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</si>
  <si>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</si>
  <si>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</si>
  <si>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</si>
  <si>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</si>
  <si>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</si>
  <si>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</si>
  <si>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</si>
  <si>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</si>
  <si>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</si>
  <si>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</si>
  <si>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</si>
  <si>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</si>
  <si>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</si>
  <si>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</si>
  <si>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</si>
  <si>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</si>
  <si>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</si>
  <si>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</si>
  <si>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</si>
  <si>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</si>
  <si>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</si>
  <si>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</si>
  <si>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</si>
  <si>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</si>
  <si>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</si>
  <si>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</si>
  <si>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</si>
  <si>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</si>
  <si>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</si>
  <si>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</si>
  <si>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</si>
  <si>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</si>
  <si>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</si>
  <si>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</si>
  <si>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</si>
  <si>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</si>
  <si>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</si>
  <si>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</si>
  <si>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</si>
  <si>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</si>
  <si>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</si>
  <si>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</si>
  <si>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</si>
  <si>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</si>
  <si>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</si>
  <si>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</si>
  <si>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</si>
  <si>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</si>
  <si>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</si>
  <si>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</si>
  <si>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</si>
  <si>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</si>
  <si>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</si>
  <si>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</si>
  <si>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</si>
  <si>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</si>
  <si>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</si>
  <si>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</si>
  <si>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</si>
  <si>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</si>
  <si>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</si>
  <si>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</si>
  <si>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</si>
  <si>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</si>
  <si>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</si>
  <si>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</si>
  <si>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</si>
  <si>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</si>
  <si>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</si>
  <si>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</si>
  <si>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</si>
  <si>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</si>
  <si>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</si>
  <si>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</si>
  <si>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</si>
  <si>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</si>
  <si>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</si>
  <si>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</si>
  <si>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</si>
  <si>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</si>
  <si>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</si>
  <si>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</si>
  <si>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</si>
  <si>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</si>
  <si>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</si>
  <si>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</si>
  <si>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</si>
  <si>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</si>
  <si>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</si>
  <si>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</si>
  <si>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</si>
  <si>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</si>
  <si>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</si>
  <si>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</si>
  <si>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</si>
  <si>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</si>
  <si>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</si>
  <si>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</si>
  <si>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</si>
  <si>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</si>
  <si>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</si>
  <si>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</si>
  <si>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</si>
  <si>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</si>
  <si>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</si>
  <si>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</si>
  <si>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</si>
  <si>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</si>
  <si>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</si>
  <si>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</si>
  <si>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</si>
  <si>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</si>
  <si>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</si>
  <si>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</si>
  <si>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</si>
  <si>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</si>
  <si>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</si>
  <si>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</si>
  <si>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</si>
  <si>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</si>
  <si>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</si>
  <si>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</si>
  <si>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</si>
  <si>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</si>
  <si>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</si>
  <si>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</si>
  <si>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</si>
  <si>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</si>
  <si>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</si>
  <si>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</si>
  <si>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</si>
  <si>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</si>
  <si>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</si>
  <si>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</si>
  <si>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</si>
  <si>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</si>
  <si>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</si>
  <si>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</si>
  <si>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</si>
  <si>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</si>
  <si>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</si>
  <si>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</si>
  <si>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</si>
  <si>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</si>
  <si>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</si>
  <si>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</si>
  <si>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</si>
  <si>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</si>
  <si>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</si>
  <si>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</si>
  <si>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</si>
  <si>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</si>
  <si>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</si>
  <si>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</si>
  <si>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</si>
  <si>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</si>
  <si>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</si>
  <si>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</si>
  <si>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</si>
  <si>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</si>
  <si>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</si>
  <si>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</si>
  <si>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</si>
  <si>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</si>
  <si>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</si>
  <si>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</si>
  <si>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</si>
  <si>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</si>
  <si>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</si>
  <si>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</si>
  <si>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</si>
  <si>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</si>
  <si>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</si>
  <si>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</si>
  <si>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</si>
  <si>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</si>
  <si>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</si>
  <si>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</si>
  <si>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</si>
  <si>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</si>
  <si>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</si>
  <si>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</si>
  <si>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</si>
  <si>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</si>
  <si>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</si>
  <si>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</si>
  <si>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</si>
  <si>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</si>
  <si>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</si>
  <si>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</si>
  <si>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</si>
  <si>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</si>
  <si>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</si>
  <si>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</si>
  <si>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</si>
  <si>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</si>
  <si>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</si>
  <si>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</si>
  <si>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</si>
  <si>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</si>
  <si>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</si>
  <si>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</si>
  <si>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</si>
  <si>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</si>
  <si>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</si>
  <si>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</si>
  <si>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</si>
  <si>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</si>
  <si>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</si>
  <si>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</si>
  <si>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</si>
  <si>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</si>
  <si>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</si>
  <si>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</si>
  <si>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</si>
  <si>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</si>
  <si>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</si>
  <si>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</si>
  <si>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</si>
  <si>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</si>
  <si>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</si>
  <si>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</si>
  <si>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</si>
  <si>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</si>
  <si>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</si>
  <si>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</si>
  <si>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</si>
  <si>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</si>
  <si>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</si>
  <si>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</si>
  <si>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</si>
  <si>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</si>
  <si>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</si>
  <si>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</si>
  <si>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</si>
  <si>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</si>
  <si>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</si>
  <si>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</si>
  <si>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</si>
  <si>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</si>
  <si>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</si>
  <si>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</si>
  <si>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</si>
  <si>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</si>
  <si>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</si>
  <si>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</si>
  <si>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</si>
  <si>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</si>
  <si>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</si>
  <si>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</si>
  <si>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</si>
  <si>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</si>
  <si>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</si>
  <si>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</si>
  <si>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</si>
  <si>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</si>
  <si>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</si>
  <si>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</si>
  <si>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</si>
  <si>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</si>
  <si>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</si>
  <si>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</si>
  <si>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</si>
  <si>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</si>
  <si>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</si>
  <si>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</si>
  <si>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</si>
  <si>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</si>
  <si>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</si>
  <si>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</si>
  <si>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</si>
  <si>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</si>
  <si>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</si>
  <si>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</si>
  <si>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</si>
  <si>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</si>
  <si>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</si>
  <si>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</si>
  <si>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</si>
  <si>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</si>
  <si>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</si>
  <si>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</si>
  <si>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</si>
  <si>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</si>
  <si>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</si>
  <si>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</si>
  <si>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</si>
  <si>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</si>
  <si>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</si>
  <si>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</si>
  <si>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</si>
  <si>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</si>
  <si>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</si>
  <si>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</si>
  <si>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</si>
  <si>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</si>
  <si>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</si>
  <si>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</si>
  <si>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</si>
  <si>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</si>
  <si>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</si>
  <si>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</si>
  <si>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</si>
  <si>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</si>
  <si>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</si>
  <si>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</si>
  <si>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</si>
  <si>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</si>
  <si>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</si>
  <si>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</si>
  <si>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</si>
  <si>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</si>
  <si>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</si>
  <si>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</si>
  <si>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</si>
  <si>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</si>
  <si>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</si>
  <si>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</si>
  <si>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</si>
  <si>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</si>
  <si>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</si>
  <si>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</si>
  <si>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</si>
  <si>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</si>
  <si>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</si>
  <si>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</si>
  <si>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</si>
  <si>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</si>
  <si>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</si>
  <si>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</si>
  <si>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</si>
  <si>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</si>
  <si>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</si>
  <si>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</si>
  <si>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</si>
  <si>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</si>
  <si>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</si>
  <si>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</si>
  <si>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</si>
  <si>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</si>
  <si>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</si>
  <si>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</si>
  <si>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</si>
  <si>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</si>
  <si>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</si>
  <si>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</si>
  <si>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</si>
  <si>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</si>
  <si>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</si>
  <si>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</si>
  <si>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</si>
  <si>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</si>
  <si>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</si>
  <si>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</si>
  <si>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</si>
  <si>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</si>
  <si>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</si>
  <si>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</si>
  <si>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</si>
  <si>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</si>
  <si>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</si>
  <si>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</si>
  <si>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</si>
  <si>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</si>
  <si>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</si>
  <si>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</si>
  <si>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</si>
  <si>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</si>
  <si>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</si>
  <si>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</si>
  <si>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</si>
  <si>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</si>
  <si>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</si>
  <si>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</si>
  <si>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</si>
  <si>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</si>
  <si>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</si>
  <si>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</si>
  <si>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</si>
  <si>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</si>
  <si>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</si>
  <si>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</si>
  <si>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</si>
  <si>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</si>
  <si>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</si>
  <si>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</si>
  <si>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</si>
  <si>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</si>
  <si>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</si>
  <si>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</si>
  <si>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</si>
  <si>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</si>
  <si>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</si>
  <si>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</si>
  <si>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</si>
  <si>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</si>
  <si>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</si>
  <si>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</si>
  <si>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</si>
  <si>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</si>
  <si>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</si>
  <si>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</si>
  <si>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</si>
  <si>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</si>
  <si>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</si>
  <si>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</si>
  <si>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</si>
  <si>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</si>
  <si>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</si>
  <si>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</si>
  <si>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</si>
  <si>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</si>
  <si>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</si>
  <si>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</si>
  <si>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</si>
  <si>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</si>
  <si>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</si>
  <si>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</si>
  <si>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</si>
  <si>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</si>
  <si>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</si>
  <si>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</si>
  <si>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</si>
  <si>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</si>
  <si>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</si>
  <si>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</si>
  <si>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</si>
  <si>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</si>
  <si>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</si>
  <si>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</si>
  <si>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</si>
  <si>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</si>
  <si>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</si>
  <si>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</si>
  <si>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</si>
  <si>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</si>
  <si>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</si>
  <si>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</si>
  <si>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</si>
  <si>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</si>
  <si>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</si>
  <si>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</si>
  <si>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</si>
  <si>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</si>
  <si>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</si>
  <si>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</si>
  <si>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</si>
  <si>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</si>
  <si>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</si>
  <si>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</si>
  <si>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</si>
  <si>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</si>
  <si>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</si>
  <si>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</si>
  <si>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</si>
  <si>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</si>
  <si>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</si>
  <si>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</si>
  <si>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</si>
  <si>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</si>
  <si>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</si>
  <si>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</si>
  <si>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</si>
  <si>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</si>
  <si>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</si>
  <si>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</si>
  <si>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</si>
  <si>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</si>
  <si>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</si>
  <si>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</si>
  <si>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</si>
  <si>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</si>
  <si>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</si>
  <si>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</si>
  <si>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</si>
  <si>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</si>
  <si>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</si>
  <si>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</si>
  <si>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</si>
  <si>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</si>
  <si>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</si>
  <si>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</si>
  <si>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</si>
  <si>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</si>
  <si>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</si>
  <si>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</si>
  <si>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</si>
  <si>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</si>
  <si>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</si>
  <si>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</si>
  <si>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</si>
  <si>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</si>
  <si>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</si>
  <si>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</si>
  <si>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</si>
  <si>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</si>
  <si>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</si>
  <si>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</si>
  <si>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</si>
  <si>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</si>
  <si>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</si>
  <si>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</si>
  <si>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</si>
  <si>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</si>
  <si>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</si>
  <si>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</si>
  <si>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</si>
  <si>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</si>
  <si>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</si>
  <si>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</si>
  <si>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</si>
  <si>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</si>
  <si>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</si>
  <si>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</si>
  <si>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</si>
  <si>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</si>
  <si>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</si>
  <si>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</si>
  <si>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</si>
  <si>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</si>
  <si>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</si>
  <si>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</si>
  <si>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</si>
  <si>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</si>
  <si>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</si>
  <si>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</si>
  <si>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</si>
  <si>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</si>
  <si>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</si>
  <si>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</si>
  <si>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</si>
  <si>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</si>
  <si>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</si>
  <si>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</si>
  <si>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</si>
  <si>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</si>
  <si>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</si>
  <si>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</si>
  <si>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</si>
  <si>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</si>
  <si>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</si>
  <si>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</si>
  <si>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</si>
  <si>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</si>
  <si>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</si>
  <si>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</si>
  <si>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</si>
  <si>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</si>
  <si>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</si>
  <si>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</si>
  <si>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</si>
  <si>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</si>
  <si>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</si>
  <si>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</si>
  <si>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</si>
  <si>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</si>
  <si>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</si>
  <si>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</si>
  <si>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</si>
  <si>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</si>
  <si>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</si>
  <si>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</si>
  <si>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</si>
  <si>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</si>
  <si>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</si>
  <si>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</si>
  <si>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</si>
  <si>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</si>
  <si>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</si>
  <si>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</si>
  <si>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</si>
  <si>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</si>
  <si>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</si>
  <si>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</si>
  <si>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</si>
  <si>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</si>
  <si>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</si>
  <si>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</si>
  <si>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</si>
  <si>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</si>
  <si>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</si>
  <si>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</si>
  <si>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</si>
  <si>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</si>
  <si>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</si>
  <si>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</si>
  <si>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</si>
  <si>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</si>
  <si>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</si>
  <si>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</si>
  <si>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</si>
  <si>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</si>
  <si>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</si>
  <si>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</si>
  <si>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</si>
  <si>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</si>
  <si>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</si>
  <si>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</si>
  <si>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</si>
  <si>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</si>
  <si>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</si>
  <si>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</si>
  <si>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</si>
  <si>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</si>
  <si>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</si>
  <si>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</si>
  <si>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</si>
  <si>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</si>
  <si>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</si>
  <si>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</si>
  <si>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</si>
  <si>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</si>
  <si>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</si>
  <si>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</si>
  <si>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</si>
  <si>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</si>
  <si>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</si>
  <si>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</si>
  <si>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</si>
  <si>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</si>
  <si>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</si>
  <si>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</si>
  <si>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</si>
  <si>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</si>
  <si>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</si>
  <si>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</si>
  <si>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</si>
  <si>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</si>
  <si>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</si>
  <si>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</si>
  <si>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</si>
  <si>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</si>
  <si>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</si>
  <si>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</si>
  <si>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</si>
  <si>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</si>
  <si>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</si>
  <si>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</si>
  <si>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</si>
  <si>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</si>
  <si>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</si>
  <si>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</si>
  <si>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</si>
  <si>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</si>
  <si>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</si>
  <si>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</si>
  <si>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</si>
  <si>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</si>
  <si>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</si>
  <si>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</si>
  <si>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</si>
  <si>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</si>
  <si>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</si>
  <si>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</si>
  <si>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</si>
  <si>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</si>
  <si>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</si>
  <si>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</si>
  <si>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</si>
  <si>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</si>
  <si>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</si>
  <si>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</si>
  <si>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</si>
  <si>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</si>
  <si>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</si>
  <si>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</si>
  <si>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</si>
  <si>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</si>
  <si>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</si>
  <si>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</si>
  <si>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</si>
  <si>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</si>
  <si>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</si>
  <si>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</si>
  <si>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</si>
  <si>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</si>
  <si>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</si>
  <si>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</si>
  <si>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</si>
  <si>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</si>
  <si>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</si>
  <si>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</si>
  <si>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</si>
  <si>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</si>
  <si>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</si>
  <si>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</si>
  <si>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</si>
  <si>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</si>
  <si>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</si>
  <si>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</si>
  <si>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</si>
  <si>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</si>
  <si>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</si>
  <si>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</si>
  <si>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</si>
  <si>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</si>
  <si>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</si>
  <si>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</si>
  <si>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</si>
  <si>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</si>
  <si>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</si>
  <si>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</si>
  <si>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</si>
  <si>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</si>
  <si>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</si>
  <si>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</si>
  <si>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</si>
  <si>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</si>
  <si>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</si>
  <si>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</si>
  <si>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</si>
  <si>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</si>
  <si>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</si>
  <si>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</si>
  <si>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</si>
  <si>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</si>
  <si>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</si>
  <si>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</si>
  <si>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</si>
  <si>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</si>
  <si>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</si>
  <si>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</si>
  <si>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</si>
  <si>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</si>
  <si>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</si>
  <si>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</si>
  <si>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</si>
  <si>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</si>
  <si>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</si>
  <si>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</si>
  <si>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</si>
  <si>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</si>
  <si>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</si>
  <si>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</si>
  <si>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</si>
  <si>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</si>
  <si>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</si>
  <si>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</si>
  <si>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</si>
  <si>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</si>
  <si>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</si>
  <si>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</si>
  <si>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</si>
  <si>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</si>
  <si>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</si>
  <si>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</si>
  <si>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</si>
  <si>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</si>
  <si>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</si>
  <si>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</si>
  <si>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</si>
  <si>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</si>
  <si>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</si>
  <si>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</si>
  <si>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</si>
  <si>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</si>
  <si>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</si>
  <si>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</si>
  <si>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</si>
  <si>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</si>
  <si>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</si>
  <si>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</si>
  <si>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</si>
  <si>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</si>
  <si>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</si>
  <si>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</si>
  <si>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</si>
  <si>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</si>
  <si>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</si>
  <si>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</si>
  <si>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</si>
  <si>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</si>
  <si>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</si>
  <si>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</si>
  <si>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</si>
  <si>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</si>
  <si>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</si>
  <si>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</si>
  <si>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</si>
  <si>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</si>
  <si>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</si>
  <si>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</si>
  <si>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</si>
  <si>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</si>
  <si>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</si>
  <si>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</si>
  <si>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</si>
  <si>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</si>
  <si>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</si>
  <si>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</si>
  <si>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</si>
  <si>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</si>
  <si>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</si>
  <si>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</si>
  <si>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</si>
  <si>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</si>
  <si>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</si>
  <si>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</si>
  <si>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</si>
  <si>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</si>
  <si>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</si>
  <si>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</si>
  <si>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</si>
  <si>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</si>
  <si>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</si>
  <si>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</si>
  <si>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</si>
  <si>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</si>
  <si>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</si>
  <si>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</si>
  <si>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</si>
  <si>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</si>
  <si>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</si>
  <si>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</si>
  <si>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</si>
  <si>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</si>
  <si>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</si>
  <si>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</si>
  <si>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</si>
  <si>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</si>
  <si>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</si>
  <si>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</si>
  <si>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</si>
  <si>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</si>
  <si>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</si>
  <si>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</si>
  <si>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</si>
  <si>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</si>
  <si>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</si>
  <si>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</si>
  <si>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</si>
  <si>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</si>
  <si>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</si>
  <si>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</si>
  <si>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</si>
  <si>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</si>
  <si>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</si>
  <si>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</si>
  <si>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</si>
  <si>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</si>
  <si>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</si>
  <si>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</si>
  <si>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</si>
  <si>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</si>
  <si>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</si>
  <si>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</si>
  <si>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</si>
  <si>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</si>
  <si>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</si>
  <si>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</si>
  <si>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</si>
  <si>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</si>
  <si>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</si>
  <si>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</si>
  <si>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</si>
  <si>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</si>
  <si>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</si>
  <si>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</si>
  <si>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</si>
  <si>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</si>
  <si>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</si>
  <si>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</si>
  <si>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</si>
  <si>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</si>
  <si>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</si>
  <si>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</si>
  <si>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</si>
  <si>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</si>
  <si>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</si>
  <si>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</si>
  <si>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</si>
  <si>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</si>
  <si>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</si>
  <si>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</si>
  <si>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</si>
  <si>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</si>
  <si>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</si>
  <si>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</si>
  <si>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</si>
  <si>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</si>
  <si>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</si>
  <si>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</si>
  <si>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</si>
  <si>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</si>
  <si>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</si>
  <si>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</si>
  <si>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</si>
  <si>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</si>
  <si>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</si>
  <si>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</si>
  <si>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</si>
  <si>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</si>
  <si>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</si>
  <si>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</si>
  <si>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</si>
  <si>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</si>
  <si>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</si>
  <si>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</si>
  <si>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</si>
  <si>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</si>
  <si>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</si>
  <si>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</si>
  <si>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</si>
  <si>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</si>
  <si>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</si>
  <si>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</si>
  <si>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</si>
  <si>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</si>
  <si>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</si>
  <si>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</si>
  <si>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</si>
  <si>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</si>
  <si>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</si>
  <si>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</si>
  <si>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</si>
  <si>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</si>
  <si>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</si>
  <si>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</si>
  <si>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</si>
  <si>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</si>
  <si>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</si>
  <si>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</si>
  <si>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</si>
  <si>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</si>
  <si>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</si>
  <si>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</si>
  <si>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</si>
  <si>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</si>
  <si>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</si>
  <si>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</si>
  <si>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</si>
  <si>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</si>
  <si>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</si>
  <si>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</si>
  <si>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</si>
  <si>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</si>
  <si>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</si>
  <si>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</si>
  <si>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</si>
  <si>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</si>
  <si>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</si>
  <si>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</si>
  <si>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</si>
  <si>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</si>
  <si>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</si>
  <si>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</si>
  <si>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</si>
  <si>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</si>
  <si>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</si>
  <si>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</si>
  <si>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</si>
  <si>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</si>
  <si>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</si>
  <si>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</si>
  <si>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</si>
  <si>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</si>
  <si>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</si>
  <si>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</si>
  <si>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</si>
  <si>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</si>
  <si>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</si>
  <si>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</si>
  <si>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</si>
  <si>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</si>
  <si>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</si>
  <si>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</si>
  <si>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</si>
  <si>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</si>
  <si>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</si>
  <si>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</si>
  <si>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</si>
  <si>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</si>
  <si>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</si>
  <si>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</si>
  <si>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</si>
  <si>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</si>
  <si>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</si>
  <si>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</si>
  <si>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</si>
  <si>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</si>
  <si>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</si>
  <si>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</si>
  <si>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</si>
  <si>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</si>
  <si>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</si>
  <si>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</si>
  <si>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</si>
  <si>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</si>
  <si>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</si>
  <si>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</si>
  <si>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</si>
  <si>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</si>
  <si>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</si>
  <si>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</si>
  <si>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</si>
  <si>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</si>
  <si>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</si>
  <si>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</si>
  <si>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</si>
  <si>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</si>
  <si>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</si>
  <si>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</si>
  <si>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</si>
  <si>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</si>
  <si>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</si>
  <si>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</si>
  <si>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</si>
  <si>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</si>
  <si>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</si>
  <si>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</si>
  <si>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</si>
  <si>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</si>
  <si>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</si>
  <si>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</si>
  <si>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</si>
  <si>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</si>
  <si>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</si>
  <si>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</si>
  <si>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</si>
  <si>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</si>
  <si>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</si>
  <si>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</si>
  <si>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</si>
  <si>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</si>
  <si>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</si>
  <si>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</si>
  <si>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</si>
  <si>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</si>
  <si>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</si>
  <si>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</si>
  <si>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</si>
  <si>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</si>
  <si>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</si>
  <si>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</si>
  <si>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</si>
  <si>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</si>
  <si>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</si>
  <si>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</si>
  <si>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</si>
  <si>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</si>
  <si>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</si>
  <si>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</si>
  <si>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</si>
  <si>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</si>
  <si>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</si>
  <si>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</si>
  <si>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</si>
  <si>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</si>
  <si>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</si>
  <si>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</si>
  <si>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</si>
  <si>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</si>
  <si>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</si>
  <si>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</si>
  <si>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</si>
  <si>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</si>
  <si>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</si>
  <si>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</si>
  <si>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</si>
  <si>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</si>
  <si>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</si>
  <si>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</si>
  <si>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</si>
  <si>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</si>
  <si>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</si>
  <si>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</si>
  <si>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</si>
  <si>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</si>
  <si>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</si>
  <si>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</si>
  <si>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</si>
  <si>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</si>
  <si>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</si>
  <si>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</si>
  <si>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</si>
  <si>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</si>
  <si>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</si>
  <si>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</si>
  <si>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</si>
  <si>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</si>
  <si>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</si>
  <si>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</si>
  <si>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</si>
  <si>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</si>
  <si>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</si>
  <si>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</si>
  <si>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</si>
  <si>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</si>
  <si>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</si>
  <si>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</si>
  <si>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</si>
  <si>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</si>
  <si>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</si>
  <si>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</si>
  <si>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</si>
  <si>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</si>
  <si>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</si>
  <si>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</si>
  <si>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</si>
  <si>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</si>
  <si>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</si>
  <si>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</si>
  <si>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</si>
  <si>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</si>
  <si>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</si>
  <si>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</si>
  <si>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</si>
  <si>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</si>
  <si>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</si>
  <si>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</si>
  <si>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</si>
  <si>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</si>
  <si>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</si>
  <si>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</si>
  <si>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</si>
  <si>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</si>
  <si>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</si>
  <si>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</si>
  <si>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</si>
  <si>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</si>
  <si>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</si>
  <si>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</si>
  <si>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</si>
  <si>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</si>
  <si>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</si>
  <si>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</si>
  <si>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</si>
  <si>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</si>
  <si>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</si>
  <si>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</si>
  <si>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</si>
  <si>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</si>
  <si>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</si>
  <si>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</si>
  <si>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</si>
  <si>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</si>
  <si>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</si>
  <si>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</si>
  <si>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</si>
  <si>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</si>
  <si>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</si>
  <si>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</si>
  <si>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</si>
  <si>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</si>
  <si>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</si>
  <si>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</si>
  <si>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</si>
  <si>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</si>
  <si>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</si>
  <si>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</si>
  <si>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</si>
  <si>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</si>
  <si>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</si>
  <si>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</si>
  <si>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</si>
  <si>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</si>
  <si>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</si>
  <si>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</si>
  <si>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</si>
  <si>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</si>
  <si>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</si>
  <si>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</si>
  <si>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</si>
  <si>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</si>
  <si>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</si>
  <si>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</si>
  <si>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</si>
  <si>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</si>
  <si>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</si>
  <si>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</si>
  <si>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</si>
  <si>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</si>
  <si>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</si>
  <si>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</si>
  <si>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</si>
  <si>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</si>
  <si>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</si>
  <si>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</si>
  <si>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</si>
  <si>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</si>
  <si>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</si>
  <si>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</si>
  <si>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</si>
  <si>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</si>
  <si>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</si>
  <si>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</si>
  <si>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</si>
  <si>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</si>
  <si>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</si>
  <si>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</si>
  <si>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</si>
  <si>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</si>
  <si>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</si>
  <si>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</si>
  <si>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</si>
  <si>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</si>
  <si>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</si>
  <si>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</si>
  <si>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</si>
  <si>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</si>
  <si>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</si>
  <si>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</si>
  <si>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</si>
  <si>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</si>
  <si>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</si>
  <si>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</si>
  <si>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</si>
  <si>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</si>
  <si>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</si>
  <si>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</si>
  <si>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</si>
  <si>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</si>
  <si>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</si>
  <si>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</si>
  <si>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</si>
  <si>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</si>
  <si>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</si>
  <si>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</si>
  <si>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</si>
  <si>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</si>
  <si>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</si>
  <si>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</si>
  <si>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</si>
  <si>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</si>
  <si>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</si>
  <si>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</si>
  <si>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</si>
  <si>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</si>
  <si>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</si>
  <si>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</si>
  <si>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</si>
  <si>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</si>
  <si>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</si>
  <si>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</si>
  <si>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</si>
  <si>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</si>
  <si>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</si>
  <si>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</si>
  <si>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</si>
  <si>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</si>
  <si>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</si>
  <si>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</si>
  <si>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</si>
  <si>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</si>
  <si>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</si>
  <si>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</si>
  <si>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</si>
  <si>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</si>
  <si>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</si>
  <si>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</si>
  <si>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</si>
  <si>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</si>
  <si>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</si>
  <si>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</si>
  <si>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</si>
  <si>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</si>
  <si>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</si>
  <si>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</si>
  <si>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</si>
  <si>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</si>
  <si>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</si>
  <si>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</si>
  <si>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</si>
  <si>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</si>
  <si>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</si>
  <si>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</si>
  <si>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</si>
  <si>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</si>
  <si>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</si>
  <si>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</si>
  <si>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</si>
  <si>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</si>
  <si>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</si>
  <si>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</si>
  <si>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</si>
  <si>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</si>
  <si>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</si>
  <si>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</si>
  <si>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</si>
  <si>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</si>
  <si>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</si>
  <si>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</si>
  <si>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</si>
  <si>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</si>
  <si>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</si>
  <si>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</si>
  <si>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</si>
  <si>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</si>
  <si>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</si>
  <si>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</si>
  <si>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</si>
  <si>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</si>
  <si>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</si>
  <si>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</si>
  <si>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</si>
  <si>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</si>
  <si>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</si>
  <si>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</si>
  <si>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</si>
  <si>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</si>
  <si>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</si>
  <si>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</si>
  <si>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</si>
  <si>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</si>
  <si>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</si>
  <si>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</si>
  <si>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</si>
  <si>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</si>
  <si>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</si>
  <si>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</si>
  <si>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</si>
  <si>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</si>
  <si>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</si>
  <si>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</si>
  <si>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</si>
  <si>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</si>
  <si>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</si>
  <si>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</si>
  <si>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</si>
  <si>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</si>
  <si>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</si>
  <si>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</si>
  <si>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</si>
  <si>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</si>
  <si>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</si>
  <si>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</si>
  <si>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</si>
  <si>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</si>
  <si>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</si>
  <si>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</si>
  <si>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</si>
  <si>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</si>
  <si>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</si>
  <si>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</si>
  <si>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</si>
  <si>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</si>
  <si>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</si>
  <si>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</si>
  <si>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</si>
  <si>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</si>
  <si>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</si>
  <si>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</si>
  <si>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</si>
  <si>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</si>
  <si>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</si>
  <si>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</si>
  <si>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</si>
  <si>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</si>
  <si>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</si>
  <si>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</si>
  <si>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</si>
  <si>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</si>
  <si>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</si>
  <si>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</si>
  <si>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</si>
  <si>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</si>
  <si>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</si>
  <si>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</si>
  <si>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</si>
  <si>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</si>
  <si>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</si>
  <si>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</si>
  <si>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</si>
  <si>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</si>
  <si>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</si>
  <si>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</si>
  <si>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</si>
  <si>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</si>
  <si>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</si>
  <si>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</si>
  <si>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</si>
  <si>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</si>
  <si>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</si>
  <si>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</si>
  <si>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</si>
  <si>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</si>
  <si>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</si>
  <si>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</si>
  <si>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</si>
  <si>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</si>
  <si>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</si>
  <si>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</si>
  <si>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</si>
  <si>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</si>
  <si>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</si>
  <si>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</si>
  <si>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</si>
  <si>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</si>
  <si>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</si>
  <si>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</si>
  <si>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</si>
  <si>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</si>
  <si>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</si>
  <si>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</si>
  <si>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</si>
  <si>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</si>
  <si>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</si>
  <si>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</si>
  <si>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</si>
  <si>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</si>
  <si>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</si>
  <si>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</si>
  <si>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</si>
  <si>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</si>
  <si>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</si>
  <si>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</si>
  <si>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</si>
  <si>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</si>
  <si>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</si>
  <si>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</si>
  <si>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</si>
  <si>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</si>
  <si>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</si>
  <si>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</si>
  <si>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</si>
  <si>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</si>
  <si>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</si>
  <si>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</si>
  <si>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</si>
  <si>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</si>
  <si>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</si>
  <si>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</si>
  <si>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</si>
  <si>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</si>
  <si>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</si>
  <si>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</si>
  <si>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</si>
  <si>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</si>
  <si>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</si>
  <si>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</si>
  <si>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</si>
  <si>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</si>
  <si>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</si>
  <si>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</si>
  <si>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</si>
  <si>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</si>
  <si>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</si>
  <si>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</si>
  <si>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</si>
  <si>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</si>
  <si>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</si>
  <si>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</si>
  <si>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</si>
  <si>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</si>
  <si>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</si>
  <si>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</si>
  <si>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</si>
  <si>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</si>
  <si>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</si>
  <si>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</si>
  <si>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</si>
  <si>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</si>
  <si>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</si>
  <si>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</si>
  <si>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</si>
  <si>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</si>
  <si>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</si>
  <si>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</si>
  <si>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</si>
  <si>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</si>
  <si>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</si>
  <si>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</si>
  <si>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</si>
  <si>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</si>
  <si>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</si>
  <si>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</si>
  <si>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</si>
  <si>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</si>
  <si>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</si>
  <si>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</si>
  <si>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</si>
  <si>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</si>
  <si>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</si>
  <si>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</si>
  <si>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</si>
  <si>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</si>
  <si>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</si>
  <si>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</si>
  <si>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</si>
  <si>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</si>
  <si>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</si>
  <si>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</si>
  <si>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</si>
  <si>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</si>
  <si>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</si>
  <si>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</si>
  <si>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</si>
  <si>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</si>
  <si>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</si>
  <si>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</si>
  <si>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</si>
  <si>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</si>
  <si>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</si>
  <si>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</si>
  <si>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</si>
  <si>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</si>
  <si>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</si>
  <si>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</si>
  <si>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</si>
  <si>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</si>
  <si>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</si>
  <si>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</si>
  <si>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</si>
  <si>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</si>
  <si>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</si>
  <si>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</si>
  <si>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</si>
  <si>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</si>
  <si>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</si>
  <si>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</si>
  <si>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</si>
  <si>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</si>
  <si>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</si>
  <si>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</si>
  <si>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</si>
  <si>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</si>
  <si>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</si>
  <si>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</si>
  <si>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</si>
  <si>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</si>
  <si>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</si>
  <si>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</si>
  <si>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</si>
  <si>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</si>
  <si>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</si>
  <si>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</si>
  <si>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</si>
  <si>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</si>
  <si>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</si>
  <si>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</si>
  <si>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</si>
  <si>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</si>
  <si>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</si>
  <si>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</si>
  <si>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</si>
  <si>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</si>
  <si>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</si>
  <si>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</si>
  <si>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</si>
  <si>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</si>
  <si>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</si>
  <si>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</si>
  <si>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</si>
  <si>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</si>
  <si>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</si>
  <si>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</si>
  <si>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</si>
  <si>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</si>
  <si>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</si>
  <si>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</si>
  <si>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</si>
  <si>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</si>
  <si>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</si>
  <si>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</si>
  <si>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</si>
  <si>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</si>
  <si>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</si>
  <si>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</si>
  <si>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</si>
  <si>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</si>
  <si>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</si>
  <si>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</si>
  <si>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</si>
  <si>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</si>
  <si>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</si>
  <si>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</si>
  <si>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</si>
  <si>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</si>
  <si>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</si>
  <si>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</si>
  <si>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</si>
  <si>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</si>
  <si>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</si>
  <si>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</si>
  <si>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</si>
  <si>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</si>
  <si>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</si>
  <si>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</si>
  <si>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</si>
  <si>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</si>
  <si>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</si>
  <si>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</si>
  <si>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</si>
  <si>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</si>
  <si>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</si>
  <si>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</si>
  <si>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</si>
  <si>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</si>
  <si>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</si>
  <si>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</si>
  <si>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</si>
  <si>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</si>
  <si>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</si>
  <si>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</si>
  <si>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</si>
  <si>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</si>
  <si>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</si>
  <si>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</si>
  <si>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</si>
  <si>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</si>
  <si>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</si>
  <si>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</si>
  <si>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</si>
  <si>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</si>
  <si>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</si>
  <si>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</si>
  <si>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</si>
  <si>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</si>
  <si>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</si>
  <si>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</si>
  <si>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</si>
  <si>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</si>
  <si>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</si>
  <si>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</si>
  <si>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</si>
  <si>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</si>
  <si>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</si>
  <si>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</si>
  <si>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</si>
  <si>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</si>
  <si>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</si>
  <si>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</si>
  <si>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</si>
  <si>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</si>
  <si>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</si>
  <si>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</si>
  <si>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</si>
  <si>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</si>
  <si>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</si>
  <si>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</si>
  <si>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</si>
  <si>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</si>
  <si>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</si>
  <si>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</si>
  <si>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</si>
  <si>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</si>
  <si>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</si>
  <si>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</si>
  <si>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</si>
  <si>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</si>
  <si>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</si>
  <si>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</si>
  <si>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</si>
  <si>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</si>
  <si>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</si>
  <si>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</si>
  <si>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</si>
  <si>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</si>
  <si>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</si>
  <si>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</si>
  <si>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</si>
  <si>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</si>
  <si>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</si>
  <si>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</si>
  <si>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</si>
  <si>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</si>
  <si>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</si>
  <si>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</si>
  <si>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</si>
  <si>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</si>
  <si>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</si>
  <si>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</si>
  <si>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</si>
  <si>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</si>
  <si>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</si>
  <si>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</si>
  <si>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</si>
  <si>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</si>
  <si>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</si>
  <si>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</si>
  <si>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</si>
  <si>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</si>
  <si>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</si>
  <si>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</si>
  <si>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</si>
  <si>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</si>
  <si>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</si>
  <si>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</si>
  <si>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</si>
  <si>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</si>
  <si>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</si>
  <si>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</si>
  <si>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</si>
  <si>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</si>
  <si>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</si>
  <si>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</si>
  <si>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</si>
  <si>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</si>
  <si>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</si>
  <si>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</si>
  <si>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</si>
  <si>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</si>
  <si>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</si>
  <si>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</si>
  <si>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</si>
  <si>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</si>
  <si>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</si>
  <si>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</si>
  <si>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</si>
  <si>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</si>
  <si>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</si>
  <si>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</si>
  <si>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</si>
  <si>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</si>
  <si>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</si>
  <si>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</si>
  <si>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</si>
  <si>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</si>
  <si>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</si>
  <si>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</si>
  <si>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</si>
  <si>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</si>
  <si>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</si>
  <si>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</si>
  <si>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</si>
  <si>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</si>
  <si>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</si>
  <si>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</si>
  <si>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</si>
  <si>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</si>
  <si>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</si>
  <si>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</si>
  <si>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</si>
  <si>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</si>
  <si>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</si>
  <si>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</si>
  <si>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</si>
  <si>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</si>
  <si>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</si>
  <si>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</si>
  <si>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</si>
  <si>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</si>
  <si>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</si>
  <si>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</si>
  <si>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</si>
  <si>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</si>
  <si>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</si>
  <si>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</si>
  <si>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</si>
  <si>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</si>
  <si>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</si>
  <si>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</si>
  <si>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</si>
  <si>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</si>
  <si>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</si>
  <si>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</si>
  <si>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</si>
  <si>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</si>
  <si>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</si>
  <si>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</si>
  <si>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</si>
  <si>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</si>
  <si>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</si>
  <si>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</si>
  <si>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</si>
  <si>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</si>
  <si>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</si>
  <si>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</si>
  <si>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</si>
  <si>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</si>
  <si>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</si>
  <si>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</si>
  <si>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</si>
  <si>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</si>
  <si>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</si>
  <si>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</si>
  <si>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</si>
  <si>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</si>
  <si>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</si>
  <si>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</si>
  <si>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</si>
  <si>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</si>
  <si>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</si>
  <si>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</si>
  <si>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</si>
  <si>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</si>
  <si>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</si>
  <si>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</si>
  <si>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</si>
  <si>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</si>
  <si>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</si>
  <si>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</si>
  <si>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</si>
  <si>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</si>
  <si>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</si>
  <si>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</si>
  <si>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</si>
  <si>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</si>
  <si>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</si>
  <si>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</si>
  <si>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</si>
  <si>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</si>
  <si>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</si>
  <si>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</si>
  <si>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</si>
  <si>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</si>
  <si>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</si>
  <si>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</si>
  <si>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</si>
  <si>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</si>
  <si>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</si>
  <si>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</si>
  <si>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</si>
  <si>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</si>
  <si>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</si>
  <si>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</si>
  <si>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</si>
  <si>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</si>
  <si>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</si>
  <si>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</si>
  <si>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</si>
  <si>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</si>
  <si>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</si>
  <si>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</si>
  <si>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</si>
  <si>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</si>
  <si>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</si>
  <si>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</si>
  <si>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</si>
  <si>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</si>
  <si>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</si>
  <si>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</si>
  <si>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</si>
  <si>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</si>
  <si>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</si>
  <si>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</si>
  <si>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</si>
  <si>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</si>
  <si>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</si>
  <si>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</si>
  <si>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</si>
  <si>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</si>
  <si>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</si>
  <si>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</si>
  <si>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</si>
  <si>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</si>
  <si>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</si>
  <si>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</si>
  <si>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</si>
  <si>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</si>
  <si>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</si>
  <si>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</si>
  <si>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</si>
  <si>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</si>
  <si>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</si>
  <si>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</si>
  <si>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</si>
  <si>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</si>
  <si>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</si>
  <si>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</si>
  <si>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</si>
  <si>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</si>
  <si>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</si>
  <si>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</si>
  <si>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</si>
  <si>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</si>
  <si>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</si>
  <si>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</si>
  <si>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</si>
  <si>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</si>
  <si>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</si>
  <si>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</si>
  <si>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</si>
  <si>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</si>
  <si>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</si>
  <si>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</si>
  <si>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</si>
  <si>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</si>
  <si>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</si>
  <si>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</si>
  <si>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</si>
  <si>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</si>
  <si>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</si>
  <si>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</si>
  <si>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</si>
  <si>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</si>
  <si>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</si>
  <si>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</si>
  <si>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</si>
  <si>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</si>
  <si>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</si>
  <si>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</si>
  <si>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</si>
  <si>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</si>
  <si>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</si>
  <si>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</si>
  <si>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</si>
  <si>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</si>
  <si>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</si>
  <si>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</si>
  <si>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</si>
  <si>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</si>
  <si>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</si>
  <si>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</si>
  <si>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</si>
  <si>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</si>
  <si>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</si>
  <si>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</si>
  <si>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</si>
  <si>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</si>
  <si>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</si>
  <si>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</si>
  <si>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</si>
  <si>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</si>
  <si>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</si>
  <si>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</si>
  <si>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</si>
  <si>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</si>
  <si>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</si>
  <si>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</si>
  <si>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</si>
  <si>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</si>
  <si>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</si>
  <si>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</si>
  <si>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</si>
  <si>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</si>
  <si>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</si>
  <si>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</si>
  <si>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</si>
  <si>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</si>
  <si>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</si>
  <si>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</si>
  <si>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</si>
  <si>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</si>
  <si>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</si>
  <si>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</si>
  <si>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</si>
  <si>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</si>
  <si>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</si>
  <si>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</si>
  <si>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</si>
  <si>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</si>
  <si>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</si>
  <si>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</si>
  <si>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</si>
  <si>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</si>
  <si>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</si>
  <si>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</si>
  <si>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</si>
  <si>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</si>
  <si>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</si>
  <si>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</si>
  <si>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</si>
  <si>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</si>
  <si>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</si>
  <si>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</si>
  <si>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</si>
  <si>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</si>
  <si>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</si>
  <si>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</si>
  <si>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</si>
  <si>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</si>
  <si>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</si>
  <si>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</si>
  <si>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</si>
  <si>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</si>
  <si>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</si>
  <si>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</si>
  <si>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</si>
  <si>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</si>
  <si>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</si>
  <si>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</si>
  <si>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</si>
  <si>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</si>
  <si>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</si>
  <si>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</si>
  <si>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</si>
  <si>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</si>
  <si>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</si>
  <si>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</si>
  <si>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</si>
  <si>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</si>
  <si>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</si>
  <si>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</si>
  <si>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</si>
  <si>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</si>
  <si>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</si>
  <si>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</si>
  <si>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</si>
  <si>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</si>
  <si>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</si>
  <si>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</si>
  <si>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</si>
  <si>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</si>
  <si>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</si>
  <si>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</si>
  <si>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</si>
  <si>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</si>
  <si>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</si>
  <si>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</si>
  <si>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</si>
  <si>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</si>
  <si>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</si>
  <si>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</si>
  <si>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</si>
  <si>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</si>
  <si>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</si>
  <si>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</si>
  <si>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</si>
  <si>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</si>
  <si>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</si>
  <si>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</si>
  <si>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</si>
  <si>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</si>
  <si>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</si>
  <si>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</si>
  <si>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</si>
  <si>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</si>
  <si>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</si>
  <si>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</si>
  <si>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</si>
  <si>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</si>
  <si>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</si>
  <si>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</si>
  <si>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</si>
  <si>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</si>
  <si>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</si>
  <si>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</si>
  <si>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</si>
  <si>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</si>
  <si>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</si>
  <si>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</si>
  <si>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</si>
  <si>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</si>
  <si>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</si>
  <si>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</si>
  <si>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</si>
  <si>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</si>
  <si>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</si>
  <si>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</si>
  <si>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</si>
  <si>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</si>
  <si>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</si>
  <si>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</si>
  <si>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</si>
  <si>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</si>
  <si>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</si>
  <si>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</si>
  <si>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</si>
  <si>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</si>
  <si>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</si>
  <si>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</si>
  <si>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</si>
  <si>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</si>
  <si>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</si>
  <si>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</si>
  <si>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</si>
  <si>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</si>
  <si>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</si>
  <si>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</si>
  <si>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</si>
  <si>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</si>
  <si>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</si>
  <si>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</si>
  <si>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</si>
  <si>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</si>
  <si>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</si>
  <si>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</si>
  <si>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</si>
  <si>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</si>
  <si>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</si>
  <si>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</si>
  <si>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</si>
  <si>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</si>
  <si>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</si>
  <si>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</si>
  <si>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</si>
  <si>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</si>
  <si>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</si>
  <si>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</si>
  <si>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</si>
  <si>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</si>
  <si>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</si>
  <si>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</si>
  <si>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</si>
  <si>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</si>
  <si>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</si>
  <si>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</si>
  <si>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</si>
  <si>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</si>
  <si>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</si>
  <si>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</si>
  <si>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</si>
  <si>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</si>
  <si>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</si>
  <si>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</si>
  <si>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</si>
  <si>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</si>
  <si>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</si>
  <si>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</si>
  <si>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</si>
  <si>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</si>
  <si>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</si>
  <si>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</si>
  <si>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</si>
  <si>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</si>
  <si>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</si>
  <si>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</si>
  <si>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</si>
  <si>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</si>
  <si>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</si>
  <si>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</si>
  <si>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</si>
  <si>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</si>
  <si>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</si>
  <si>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</si>
  <si>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</si>
  <si>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</si>
  <si>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</si>
  <si>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</si>
  <si>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</si>
  <si>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</si>
  <si>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</si>
  <si>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</si>
  <si>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</si>
  <si>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</si>
  <si>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</si>
  <si>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</si>
  <si>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</si>
  <si>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</si>
  <si>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</si>
  <si>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</si>
  <si>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</si>
  <si>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</si>
  <si>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</si>
  <si>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</si>
  <si>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</si>
  <si>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</si>
  <si>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</si>
  <si>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</si>
  <si>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</si>
  <si>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</si>
  <si>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</si>
  <si>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</si>
  <si>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</si>
  <si>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</si>
  <si>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</si>
  <si>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</si>
  <si>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</si>
  <si>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</si>
  <si>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</si>
  <si>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</si>
  <si>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</si>
  <si>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</si>
  <si>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</si>
  <si>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</si>
  <si>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</si>
  <si>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</si>
  <si>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</si>
  <si>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</si>
  <si>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</si>
  <si>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</si>
  <si>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</si>
  <si>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</si>
  <si>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</si>
  <si>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</si>
  <si>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</si>
  <si>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</si>
  <si>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</si>
  <si>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</si>
  <si>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</si>
  <si>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</si>
  <si>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</si>
  <si>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</si>
  <si>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</si>
  <si>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</si>
  <si>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</si>
  <si>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</si>
  <si>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</si>
  <si>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</si>
  <si>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</si>
  <si>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</si>
  <si>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</si>
  <si>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</si>
  <si>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</si>
  <si>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</si>
  <si>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</si>
  <si>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</si>
  <si>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</si>
  <si>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</si>
  <si>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</si>
  <si>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</si>
  <si>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</si>
  <si>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</si>
  <si>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</si>
  <si>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</si>
  <si>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</si>
  <si>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</si>
  <si>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</si>
  <si>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</si>
  <si>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</si>
  <si>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</si>
  <si>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</si>
  <si>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</si>
  <si>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</si>
  <si>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</si>
  <si>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</si>
  <si>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</si>
  <si>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</si>
  <si>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</si>
  <si>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</si>
  <si>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</si>
  <si>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</si>
  <si>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</si>
  <si>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</si>
  <si>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</si>
  <si>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</si>
  <si>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</si>
  <si>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</si>
  <si>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</si>
  <si>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</si>
  <si>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</si>
  <si>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</si>
  <si>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</si>
  <si>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</si>
  <si>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</si>
  <si>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</si>
  <si>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</si>
  <si>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</si>
  <si>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</si>
  <si>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</si>
  <si>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</si>
  <si>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</si>
  <si>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</si>
  <si>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</si>
  <si>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</si>
  <si>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</si>
  <si>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</si>
  <si>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</si>
  <si>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</si>
  <si>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</si>
  <si>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</si>
  <si>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</si>
  <si>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</si>
  <si>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</si>
  <si>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</si>
  <si>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</si>
  <si>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</si>
  <si>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</si>
  <si>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</si>
  <si>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</si>
  <si>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</si>
  <si>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</si>
  <si>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</si>
  <si>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</si>
  <si>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</si>
  <si>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</si>
  <si>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</si>
  <si>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</si>
  <si>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</si>
  <si>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</si>
  <si>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</si>
  <si>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</si>
  <si>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</si>
  <si>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</si>
  <si>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</si>
  <si>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</si>
  <si>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</si>
  <si>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</si>
  <si>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</si>
  <si>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</si>
  <si>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</si>
  <si>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</si>
  <si>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</si>
  <si>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</si>
  <si>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</si>
  <si>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</si>
  <si>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</si>
  <si>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</si>
  <si>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</si>
  <si>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</si>
  <si>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</si>
  <si>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</si>
  <si>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</si>
  <si>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</si>
  <si>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</si>
  <si>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</si>
  <si>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</si>
  <si>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</si>
  <si>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</si>
  <si>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</si>
  <si>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</si>
  <si>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</si>
  <si>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</si>
  <si>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</si>
  <si>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</si>
  <si>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</si>
  <si>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</si>
  <si>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</si>
  <si>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</si>
  <si>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</si>
  <si>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</si>
  <si>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</si>
  <si>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</si>
  <si>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</si>
  <si>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</si>
  <si>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</si>
  <si>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</si>
  <si>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</si>
  <si>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</si>
  <si>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</si>
  <si>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</si>
  <si>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</si>
  <si>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</si>
  <si>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</si>
  <si>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</si>
  <si>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</si>
  <si>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</si>
  <si>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</si>
  <si>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</si>
  <si>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</si>
  <si>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</si>
  <si>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</si>
  <si>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</si>
  <si>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</si>
  <si>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</si>
  <si>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</si>
  <si>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</si>
  <si>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</si>
  <si>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</si>
  <si>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</si>
  <si>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</si>
  <si>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</si>
  <si>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</si>
  <si>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</si>
  <si>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</si>
  <si>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</si>
  <si>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</si>
  <si>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</si>
  <si>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</si>
  <si>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</si>
  <si>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</si>
  <si>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</si>
  <si>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</si>
  <si>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</si>
  <si>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</si>
  <si>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</si>
  <si>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</si>
  <si>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</si>
  <si>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</si>
  <si>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</si>
  <si>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</si>
  <si>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</si>
  <si>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</si>
  <si>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</si>
  <si>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</si>
  <si>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</si>
  <si>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</si>
  <si>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</si>
  <si>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</si>
  <si>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</si>
  <si>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</si>
  <si>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</si>
  <si>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</si>
  <si>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</si>
  <si>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</si>
  <si>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</si>
  <si>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</si>
  <si>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</si>
  <si>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</si>
  <si>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</si>
  <si>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</si>
  <si>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</si>
  <si>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</si>
  <si>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</si>
  <si>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</si>
  <si>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</si>
  <si>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</si>
  <si>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</si>
  <si>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</si>
  <si>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</si>
  <si>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</si>
  <si>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</si>
  <si>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</si>
  <si>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</si>
  <si>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</si>
  <si>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</si>
  <si>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</si>
  <si>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</si>
  <si>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</si>
  <si>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</si>
  <si>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</si>
  <si>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</si>
  <si>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</si>
  <si>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</si>
  <si>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</si>
  <si>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</si>
  <si>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</si>
  <si>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</si>
  <si>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</si>
  <si>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</si>
  <si>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</si>
  <si>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</si>
  <si>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</si>
  <si>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</si>
  <si>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</si>
  <si>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</si>
  <si>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</si>
  <si>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</si>
  <si>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</si>
  <si>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</si>
  <si>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</si>
  <si>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</si>
  <si>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</si>
  <si>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</si>
  <si>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</si>
  <si>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</si>
  <si>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</si>
  <si>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</si>
  <si>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</si>
  <si>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</si>
  <si>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</si>
  <si>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</si>
  <si>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</si>
  <si>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</si>
  <si>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</si>
  <si>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</si>
  <si>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</si>
  <si>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</si>
  <si>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</si>
  <si>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</si>
  <si>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</si>
  <si>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</si>
  <si>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</si>
  <si>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</si>
  <si>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</si>
  <si>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</si>
  <si>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</si>
  <si>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</si>
  <si>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</si>
  <si>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</si>
  <si>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</si>
  <si>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</si>
  <si>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</si>
  <si>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</si>
  <si>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</si>
  <si>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</si>
  <si>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</si>
  <si>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</si>
  <si>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</si>
  <si>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</si>
  <si>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</si>
  <si>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</si>
  <si>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</si>
  <si>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</si>
  <si>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</si>
  <si>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</si>
  <si>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</si>
  <si>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</si>
  <si>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</si>
  <si>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</si>
  <si>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</si>
  <si>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</si>
  <si>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</si>
  <si>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</si>
  <si>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</si>
  <si>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</si>
  <si>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</si>
  <si>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</si>
  <si>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</si>
  <si>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</si>
  <si>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</si>
  <si>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</si>
  <si>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</si>
  <si>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</si>
  <si>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</si>
  <si>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</si>
  <si>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</si>
  <si>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</si>
  <si>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</si>
  <si>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</si>
  <si>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</si>
  <si>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</si>
  <si>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</si>
  <si>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</si>
  <si>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</si>
  <si>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</si>
  <si>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</si>
  <si>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</si>
  <si>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</si>
  <si>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</si>
  <si>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</si>
  <si>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</si>
  <si>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</si>
  <si>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</si>
  <si>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</si>
  <si>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</si>
  <si>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</si>
  <si>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</si>
  <si>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</si>
  <si>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</si>
  <si>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</si>
  <si>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</si>
  <si>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</si>
  <si>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</si>
  <si>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</si>
  <si>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</si>
  <si>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</si>
  <si>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</si>
  <si>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</si>
  <si>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</si>
  <si>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</si>
  <si>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</si>
  <si>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</si>
  <si>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</si>
  <si>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</si>
  <si>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</si>
  <si>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</si>
  <si>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</si>
  <si>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</si>
  <si>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</si>
  <si>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</si>
  <si>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</si>
  <si>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</si>
  <si>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</si>
  <si>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</si>
  <si>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</si>
  <si>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</si>
  <si>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</si>
  <si>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</si>
  <si>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</si>
  <si>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</si>
  <si>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</si>
  <si>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</si>
  <si>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</si>
  <si>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</si>
  <si>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</si>
  <si>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</si>
  <si>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</si>
  <si>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</si>
  <si>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</si>
  <si>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</si>
  <si>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</si>
  <si>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</si>
  <si>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</si>
  <si>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</si>
  <si>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</si>
  <si>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</si>
  <si>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</si>
  <si>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</si>
  <si>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</si>
  <si>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</si>
  <si>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</si>
  <si>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</si>
  <si>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</si>
  <si>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</si>
  <si>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</si>
  <si>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</si>
  <si>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</si>
  <si>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</si>
  <si>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</si>
  <si>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</si>
  <si>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</si>
  <si>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</si>
  <si>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</si>
  <si>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</si>
  <si>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</si>
  <si>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</si>
  <si>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</si>
  <si>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</si>
  <si>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</si>
  <si>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</si>
  <si>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</si>
  <si>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</si>
  <si>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</si>
  <si>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</si>
  <si>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</si>
  <si>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</si>
  <si>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</si>
  <si>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</si>
  <si>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</si>
  <si>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</si>
  <si>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</si>
  <si>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</si>
  <si>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</si>
  <si>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</si>
  <si>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</si>
  <si>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</si>
  <si>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</si>
  <si>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</si>
  <si>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</si>
  <si>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</si>
  <si>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</si>
  <si>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</si>
  <si>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</si>
  <si>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</si>
  <si>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</si>
  <si>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</si>
  <si>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</si>
  <si>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</si>
  <si>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</si>
  <si>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</si>
  <si>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</si>
  <si>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</si>
  <si>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</si>
  <si>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</si>
  <si>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</si>
  <si>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</si>
  <si>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</si>
  <si>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</si>
  <si>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</si>
  <si>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</si>
  <si>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</si>
  <si>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</si>
  <si>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</si>
  <si>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</si>
  <si>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</si>
  <si>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</si>
  <si>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</si>
  <si>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</si>
  <si>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</si>
  <si>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</si>
  <si>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</si>
  <si>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</si>
  <si>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</si>
  <si>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</si>
  <si>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</si>
  <si>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</si>
  <si>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</si>
  <si>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</si>
  <si>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</si>
  <si>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</si>
  <si>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</si>
  <si>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</si>
  <si>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</si>
  <si>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</si>
  <si>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</si>
  <si>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</si>
  <si>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</si>
  <si>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</si>
  <si>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</si>
  <si>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</si>
  <si>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</si>
  <si>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</si>
  <si>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</si>
  <si>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</si>
  <si>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</si>
  <si>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</si>
  <si>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</si>
  <si>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</si>
  <si>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</si>
  <si>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</si>
  <si>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</si>
  <si>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</si>
  <si>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</si>
  <si>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</si>
  <si>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</si>
  <si>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</si>
  <si>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</si>
  <si>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</si>
  <si>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</si>
  <si>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</si>
  <si>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</si>
  <si>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</si>
  <si>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</si>
  <si>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</si>
  <si>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</si>
  <si>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</si>
  <si>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</si>
  <si>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</si>
  <si>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</si>
  <si>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</si>
  <si>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</si>
  <si>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</si>
  <si>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</si>
  <si>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</si>
  <si>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</si>
  <si>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</si>
  <si>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</si>
  <si>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</si>
  <si>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</si>
  <si>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</si>
  <si>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</si>
  <si>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</si>
  <si>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</si>
  <si>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</si>
  <si>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</si>
  <si>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</si>
  <si>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</si>
  <si>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</si>
  <si>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</si>
  <si>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</si>
  <si>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</si>
  <si>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</si>
  <si>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</si>
  <si>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</si>
  <si>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</si>
  <si>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</si>
  <si>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</si>
  <si>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</si>
  <si>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</si>
  <si>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</si>
  <si>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</si>
  <si>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</si>
  <si>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</si>
  <si>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</si>
  <si>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</si>
  <si>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</si>
  <si>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</si>
  <si>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</si>
  <si>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</si>
  <si>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</si>
  <si>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</si>
  <si>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</si>
  <si>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</si>
  <si>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</si>
  <si>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</si>
  <si>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</si>
  <si>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</si>
  <si>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</si>
  <si>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</si>
  <si>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</si>
  <si>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</si>
  <si>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</si>
  <si>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</si>
  <si>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</si>
  <si>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</si>
  <si>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</si>
  <si>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</si>
  <si>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</si>
  <si>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</si>
  <si>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</si>
  <si>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</si>
  <si>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</si>
  <si>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</si>
  <si>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</si>
  <si>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</si>
  <si>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</si>
  <si>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</si>
  <si>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</si>
  <si>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</si>
  <si>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</si>
  <si>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</si>
  <si>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</si>
  <si>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</si>
  <si>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</si>
  <si>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</si>
  <si>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</si>
  <si>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</si>
  <si>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</si>
  <si>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</si>
  <si>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</si>
  <si>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</si>
  <si>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</si>
  <si>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</si>
  <si>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</si>
  <si>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</si>
  <si>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</si>
  <si>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</si>
  <si>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</si>
  <si>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</si>
  <si>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</si>
  <si>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</si>
  <si>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</si>
  <si>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</si>
  <si>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</si>
  <si>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</si>
  <si>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</si>
  <si>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</si>
  <si>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</si>
  <si>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</si>
  <si>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</si>
  <si>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</si>
  <si>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</si>
  <si>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</si>
  <si>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</si>
  <si>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</si>
  <si>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</si>
  <si>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</si>
  <si>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</si>
  <si>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</si>
  <si>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</si>
  <si>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</si>
  <si>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</si>
  <si>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</si>
  <si>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</si>
  <si>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</si>
  <si>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</si>
  <si>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</si>
  <si>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</si>
  <si>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</si>
  <si>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</si>
  <si>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</si>
  <si>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</si>
  <si>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</si>
  <si>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</si>
  <si>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</si>
  <si>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</si>
  <si>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</si>
  <si>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</si>
  <si>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</si>
  <si>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</si>
  <si>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</si>
  <si>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</si>
  <si>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</si>
  <si>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</si>
  <si>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</si>
  <si>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</si>
  <si>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</si>
  <si>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</si>
  <si>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</si>
  <si>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</si>
  <si>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</si>
  <si>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</si>
  <si>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</si>
  <si>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</si>
  <si>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</si>
  <si>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</si>
  <si>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</si>
  <si>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</si>
  <si>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</si>
  <si>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</si>
  <si>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</si>
  <si>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</si>
  <si>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</si>
  <si>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</si>
  <si>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</si>
  <si>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</si>
  <si>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</si>
  <si>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</si>
  <si>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</si>
  <si>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</si>
  <si>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</si>
  <si>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</si>
  <si>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</si>
  <si>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</si>
  <si>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</si>
  <si>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</si>
  <si>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</si>
  <si>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</si>
  <si>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</si>
  <si>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</si>
  <si>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</si>
  <si>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</si>
  <si>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</si>
  <si>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</si>
  <si>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</si>
  <si>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</si>
  <si>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</si>
  <si>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</si>
  <si>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</si>
  <si>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</si>
  <si>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</si>
  <si>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</si>
  <si>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</si>
  <si>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</si>
  <si>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</si>
  <si>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</si>
  <si>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</si>
  <si>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</si>
  <si>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</si>
  <si>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</si>
  <si>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</si>
  <si>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</si>
  <si>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</si>
  <si>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</si>
  <si>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</si>
  <si>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</si>
  <si>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</si>
  <si>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</si>
  <si>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</si>
  <si>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</si>
  <si>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</si>
  <si>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</si>
  <si>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</si>
  <si>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</si>
  <si>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</si>
  <si>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</si>
  <si>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</si>
  <si>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</si>
  <si>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</si>
  <si>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</si>
  <si>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</si>
  <si>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</si>
  <si>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</si>
  <si>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</si>
  <si>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</si>
  <si>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</si>
  <si>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</si>
  <si>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</si>
  <si>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</si>
  <si>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</si>
  <si>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</si>
  <si>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</si>
  <si>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</si>
  <si>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</si>
  <si>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</si>
  <si>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</si>
  <si>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</si>
  <si>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</si>
  <si>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</si>
  <si>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</si>
  <si>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</si>
  <si>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</si>
  <si>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</si>
  <si>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</si>
  <si>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</si>
  <si>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</si>
  <si>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</si>
  <si>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</si>
  <si>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</si>
  <si>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</si>
  <si>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</si>
  <si>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</si>
  <si>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</si>
  <si>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</si>
  <si>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</si>
  <si>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</si>
  <si>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</si>
  <si>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</si>
  <si>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</si>
  <si>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</si>
  <si>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</si>
  <si>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</si>
  <si>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</si>
  <si>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</si>
  <si>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</si>
  <si>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</si>
  <si>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</si>
  <si>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</si>
  <si>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</si>
  <si>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</si>
  <si>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</si>
  <si>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</si>
  <si>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</si>
  <si>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</si>
  <si>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</si>
  <si>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</si>
  <si>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</si>
  <si>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</si>
  <si>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</si>
  <si>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</si>
  <si>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</si>
  <si>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</si>
  <si>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</si>
  <si>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</si>
  <si>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</si>
  <si>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</si>
  <si>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</si>
  <si>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</si>
  <si>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</si>
  <si>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</si>
  <si>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</si>
  <si>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</si>
  <si>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</si>
  <si>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</si>
  <si>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</si>
  <si>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</si>
  <si>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</si>
  <si>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</si>
  <si>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</si>
  <si>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</si>
  <si>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</si>
  <si>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居住区名</t>
    <phoneticPr fontId="3" type="noConversion"/>
  </si>
  <si>
    <t>组团名</t>
    <phoneticPr fontId="3" type="noConversion"/>
  </si>
  <si>
    <t>楼号</t>
    <phoneticPr fontId="3" type="noConversion"/>
  </si>
  <si>
    <t>单元</t>
    <phoneticPr fontId="3" type="noConversion"/>
  </si>
  <si>
    <t>门牌号</t>
    <phoneticPr fontId="3" type="noConversion"/>
  </si>
  <si>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</si>
  <si>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</si>
  <si>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</si>
  <si>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</si>
  <si>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</si>
  <si>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</si>
  <si>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</si>
  <si>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</si>
  <si>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</si>
  <si>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</si>
  <si>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</si>
  <si>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</si>
  <si>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</si>
  <si>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</si>
  <si>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</si>
  <si>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</si>
  <si>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工程进度</t>
  </si>
  <si>
    <t>二室一厅一卫一厨</t>
    <phoneticPr fontId="3" type="noConversion"/>
  </si>
  <si>
    <t>复式、平层√、跃层、错层</t>
  </si>
  <si>
    <t>现房</t>
    <phoneticPr fontId="3" type="noConversion"/>
  </si>
  <si>
    <t>101号</t>
    <phoneticPr fontId="3" type="noConversion"/>
  </si>
  <si>
    <t>三室一厅二卫一厨</t>
    <phoneticPr fontId="3" type="noConversion"/>
  </si>
  <si>
    <t>现房</t>
  </si>
  <si>
    <t>八宝山南路重兴园</t>
  </si>
  <si>
    <t>4号楼</t>
  </si>
  <si>
    <t xml:space="preserve"> </t>
  </si>
  <si>
    <t>604号</t>
    <phoneticPr fontId="3" type="noConversion"/>
  </si>
  <si>
    <t>三室二厅二卫一厨</t>
  </si>
  <si>
    <t>北重西厂区宿舍</t>
    <phoneticPr fontId="3" type="noConversion"/>
  </si>
  <si>
    <t>16#楼</t>
    <phoneticPr fontId="3" type="noConversion"/>
  </si>
  <si>
    <t>4单元</t>
    <phoneticPr fontId="3" type="noConversion"/>
  </si>
  <si>
    <t>八宝山南路重兴园</t>
    <phoneticPr fontId="3" type="noConversion"/>
  </si>
  <si>
    <t>4号楼</t>
    <phoneticPr fontId="3" type="noConversion"/>
  </si>
  <si>
    <t>1605号</t>
    <phoneticPr fontId="3" type="noConversion"/>
  </si>
  <si>
    <t>南</t>
    <phoneticPr fontId="24" type="noConversion"/>
  </si>
  <si>
    <t>东</t>
    <phoneticPr fontId="24" type="noConversion"/>
  </si>
  <si>
    <t>西</t>
    <phoneticPr fontId="24" type="noConversion"/>
  </si>
  <si>
    <t>北</t>
  </si>
  <si>
    <t>北</t>
    <phoneticPr fontId="24" type="noConversion"/>
  </si>
  <si>
    <t>14-0013-001</t>
  </si>
  <si>
    <t>北重西厂区宿舍（西兴花园）</t>
    <phoneticPr fontId="247" type="noConversion"/>
  </si>
  <si>
    <t>石景山区</t>
  </si>
  <si>
    <t>15,17</t>
  </si>
  <si>
    <t>外墙涂料</t>
  </si>
  <si>
    <t>外窗：钢窗；户门：木门</t>
  </si>
  <si>
    <t>喷大白浆</t>
  </si>
  <si>
    <t>刮腻子</t>
  </si>
  <si>
    <t>水泥地面</t>
  </si>
  <si>
    <t>木门</t>
  </si>
  <si>
    <t>洗菜池</t>
  </si>
  <si>
    <t>座便器、洗面盆</t>
  </si>
  <si>
    <t>水泥地面，四白落地</t>
  </si>
  <si>
    <t>罐装液化气</t>
  </si>
  <si>
    <t>小区集中供暖</t>
  </si>
  <si>
    <t>电视天线每户1个进线插座</t>
  </si>
  <si>
    <t>双路供电</t>
  </si>
  <si>
    <t>市政供水</t>
  </si>
  <si>
    <t>电表出户</t>
  </si>
  <si>
    <t>消防井</t>
  </si>
  <si>
    <t>24小时保安值勤</t>
  </si>
  <si>
    <t>地上车位</t>
  </si>
  <si>
    <t>规范化物业管理</t>
  </si>
  <si>
    <t>标准居住区</t>
  </si>
  <si>
    <t xml:space="preserve">市级、区级√、小区级 、街区级   </t>
  </si>
  <si>
    <t>城市主干道、城市次干道√、支路</t>
  </si>
  <si>
    <t>有373支,622等公交线路经过</t>
  </si>
  <si>
    <t>利用周围配套设施</t>
  </si>
  <si>
    <t>罐装煤气</t>
  </si>
  <si>
    <t>刘珊魏伯欣</t>
  </si>
  <si>
    <t>北重西厂区宿舍（西兴花园）</t>
  </si>
  <si>
    <t>每户3条电话线；电视天线每户2个进线插座</t>
  </si>
  <si>
    <t>电表出户,磁卡计费</t>
  </si>
  <si>
    <t>14-0013-002</t>
  </si>
  <si>
    <t>北重西厂区宿舍（重兴园）</t>
  </si>
  <si>
    <t>B1、B2、G1</t>
  </si>
  <si>
    <t>初装修</t>
  </si>
  <si>
    <t>上人屋面</t>
  </si>
  <si>
    <t>外窗：双玻塑钢窗；户门：安全户门</t>
  </si>
  <si>
    <t>乳胶漆</t>
  </si>
  <si>
    <t>水泥压光</t>
  </si>
  <si>
    <t>水泥地面，涂料墙面</t>
  </si>
  <si>
    <t>管道天然气</t>
  </si>
  <si>
    <t>电话出线口每户2个；电视天线每户2个进线插座</t>
  </si>
  <si>
    <t>消防栓</t>
  </si>
  <si>
    <t>奥的斯电梯</t>
  </si>
  <si>
    <t>每个单元设对讲系统，24小时保安值勤</t>
  </si>
  <si>
    <t>地下车库</t>
  </si>
  <si>
    <t>天然气√、煤气</t>
  </si>
  <si>
    <t>范国才</t>
  </si>
  <si>
    <t>B3、B4</t>
  </si>
  <si>
    <t>底层为石材及仿石面砖，上部为乳胶漆涂料</t>
  </si>
  <si>
    <t>外窗：塑钢窗；户门：三防门</t>
  </si>
  <si>
    <t>刮耐水腻子</t>
  </si>
  <si>
    <t>刮水泥腻子</t>
  </si>
  <si>
    <t>预留装饰面</t>
  </si>
  <si>
    <t>有防水层，预留贴地砖高度</t>
  </si>
  <si>
    <t>无</t>
  </si>
  <si>
    <t>电话出线口每户2个；电视天线每户2个进线插座；智能化宽带每户一个信息点</t>
  </si>
  <si>
    <t>电表磁卡计量</t>
  </si>
  <si>
    <t>日立电梯</t>
  </si>
  <si>
    <t>有373支,622、831、905等公交线路经过</t>
  </si>
  <si>
    <t>魏伯欣</t>
  </si>
  <si>
    <t>新增</t>
  </si>
  <si>
    <t>B5、B6、B7</t>
  </si>
  <si>
    <t>外墙砖</t>
  </si>
  <si>
    <t>G2 G3</t>
  </si>
  <si>
    <t>耐水腻子</t>
  </si>
  <si>
    <t>合资电梯</t>
  </si>
  <si>
    <t>杨红英</t>
  </si>
  <si>
    <t>北重西厂住宅三期（重兴嘉园）</t>
    <phoneticPr fontId="3" type="noConversion"/>
  </si>
  <si>
    <t>17#（施2#）、18#（施3#）楼</t>
    <phoneticPr fontId="3" type="noConversion"/>
  </si>
  <si>
    <t>外窗：铝合金窗；户门：四防门</t>
    <phoneticPr fontId="3" type="noConversion"/>
  </si>
  <si>
    <t>刮腻子</t>
    <phoneticPr fontId="3" type="noConversion"/>
  </si>
  <si>
    <t>结构面</t>
    <phoneticPr fontId="3" type="noConversion"/>
  </si>
  <si>
    <t>水泥地面</t>
    <phoneticPr fontId="3" type="noConversion"/>
  </si>
  <si>
    <t>无</t>
    <phoneticPr fontId="3" type="noConversion"/>
  </si>
  <si>
    <t>集中供暖</t>
    <phoneticPr fontId="3" type="noConversion"/>
  </si>
  <si>
    <t>预留电话、电视天线、网络接口</t>
    <phoneticPr fontId="3" type="noConversion"/>
  </si>
  <si>
    <t>市政供电</t>
    <phoneticPr fontId="3" type="noConversion"/>
  </si>
  <si>
    <t>DYNET电梯</t>
    <phoneticPr fontId="3" type="noConversion"/>
  </si>
  <si>
    <t>单元门设对讲门禁，保安值勤</t>
    <phoneticPr fontId="3" type="noConversion"/>
  </si>
  <si>
    <t>提供规范物业管理</t>
  </si>
  <si>
    <t>有373支、622、831、905等公交线路经过</t>
    <phoneticPr fontId="3" type="noConversion"/>
  </si>
  <si>
    <t>邓晓澜</t>
    <phoneticPr fontId="3" type="noConversion"/>
  </si>
  <si>
    <t>新增</t>
    <phoneticPr fontId="3" type="noConversion"/>
  </si>
  <si>
    <t>五</t>
    <phoneticPr fontId="3" type="noConversion"/>
  </si>
  <si>
    <t>北重西厂住宅三期（重兴园）</t>
    <phoneticPr fontId="3" type="noConversion"/>
  </si>
  <si>
    <t>20#、21#、23#、24#</t>
    <phoneticPr fontId="3" type="noConversion"/>
  </si>
  <si>
    <t>1.8米以下防水层</t>
    <phoneticPr fontId="3" type="noConversion"/>
  </si>
  <si>
    <t>地砖、墙砖、顶棚涂料</t>
    <phoneticPr fontId="3" type="noConversion"/>
  </si>
  <si>
    <t>涂料顶棚、墙面，前室部分地砖</t>
    <phoneticPr fontId="3" type="noConversion"/>
  </si>
  <si>
    <t>电、气表卡表计量</t>
    <phoneticPr fontId="3" type="noConversion"/>
  </si>
  <si>
    <t>三</t>
    <phoneticPr fontId="3" type="noConversion"/>
  </si>
  <si>
    <t>08-0014</t>
  </si>
  <si>
    <t>龙华园二区</t>
  </si>
  <si>
    <t>昌平区</t>
  </si>
  <si>
    <t>外窗：单玻铝合金窗；户门：三防门</t>
  </si>
  <si>
    <t>涂料</t>
  </si>
  <si>
    <t>瓷砖到顶</t>
  </si>
  <si>
    <t>水泥楼面</t>
  </si>
  <si>
    <t>地砖</t>
  </si>
  <si>
    <t>橱柜、操作台、洗菜池</t>
  </si>
  <si>
    <t>座便器、洗脸盆</t>
  </si>
  <si>
    <t>预留电话出线口、电视天线进线插座。</t>
  </si>
  <si>
    <t>小区双路供电</t>
  </si>
  <si>
    <t>电表磁卡计费。</t>
  </si>
  <si>
    <t xml:space="preserve">市级、区级、小区级√、街区级    </t>
  </si>
  <si>
    <t>有618路公交线路经过</t>
  </si>
  <si>
    <t>商店√、学校、托幼、医疗、办公、综合服务、邮电、变配电站√、水泵房√、锅炉房√、煤气站、天然气站</t>
  </si>
  <si>
    <t>苏海</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</si>
  <si>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</si>
  <si>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</si>
  <si>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</si>
  <si>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</si>
  <si>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</si>
  <si>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</si>
  <si>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</si>
  <si>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</si>
  <si>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</si>
  <si>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</si>
  <si>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已封顶</t>
    <phoneticPr fontId="3" type="noConversion"/>
  </si>
  <si>
    <t>08-0016</t>
  </si>
  <si>
    <t>龙兴园</t>
  </si>
  <si>
    <t>不上人屋面</t>
  </si>
  <si>
    <t>外窗：铝合金窗；户门：防盗门</t>
  </si>
  <si>
    <t>防滑地砖</t>
  </si>
  <si>
    <t>座便器、洗手池、水龙头</t>
  </si>
  <si>
    <t>水泥地面，喷涂墙面</t>
  </si>
  <si>
    <t>管道天然气入户</t>
  </si>
  <si>
    <t>电话出线口每户2个；电视天线每户2个进线插座。</t>
  </si>
  <si>
    <t>小区深井供水</t>
  </si>
  <si>
    <t>每个户设保安对讲系统，24小时保安值勤。</t>
  </si>
  <si>
    <t>城市主干道√、城市次干道、支路</t>
  </si>
  <si>
    <t>有345、344、845、618路等多条公交线路经过</t>
  </si>
  <si>
    <t xml:space="preserve">欧红伟 </t>
  </si>
  <si>
    <t>粗装修</t>
  </si>
  <si>
    <t>外窗：铝合金窗；户门：多功能安全门</t>
  </si>
  <si>
    <t>水泥地面压光</t>
  </si>
  <si>
    <t>做防水处理</t>
  </si>
  <si>
    <t>热水器、燃气灶</t>
  </si>
  <si>
    <t>20-24#</t>
  </si>
  <si>
    <t>电表磁卡计费、燃气表磁卡计费</t>
  </si>
  <si>
    <t>二</t>
  </si>
  <si>
    <t>08-0017</t>
  </si>
  <si>
    <t>龙泽苑</t>
  </si>
  <si>
    <t>H1-3、5、6、8-10</t>
  </si>
  <si>
    <t>外窗为：中空双玻塑钢窗；户门：防盗门</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</si>
  <si>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</si>
  <si>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</si>
  <si>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</si>
  <si>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</si>
  <si>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</si>
  <si>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</si>
  <si>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</si>
  <si>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</si>
  <si>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</si>
  <si>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</si>
  <si>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</si>
  <si>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</si>
  <si>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</si>
  <si>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</si>
  <si>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</si>
  <si>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</si>
  <si>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</si>
  <si>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</si>
  <si>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</si>
  <si>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</si>
  <si>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</si>
  <si>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</si>
  <si>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</si>
  <si>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</si>
  <si>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</si>
  <si>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</si>
  <si>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</si>
  <si>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</si>
  <si>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</si>
  <si>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</si>
  <si>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</si>
  <si>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</si>
  <si>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</si>
  <si>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</si>
  <si>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</si>
  <si>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</si>
  <si>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</si>
  <si>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C4C5整体厨房</t>
  </si>
  <si>
    <t>外窗为：塑钢双层玻璃窗；户门：钢质多功能四防户门</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</si>
  <si>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</si>
  <si>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</si>
  <si>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</si>
  <si>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</si>
  <si>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</si>
  <si>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</si>
  <si>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</si>
  <si>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</si>
  <si>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</si>
  <si>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</si>
  <si>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</si>
  <si>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</si>
  <si>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</si>
  <si>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</si>
  <si>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</si>
  <si>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</si>
  <si>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</si>
  <si>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</si>
  <si>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</si>
  <si>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</si>
  <si>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</si>
  <si>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</si>
  <si>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</si>
  <si>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</si>
  <si>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</si>
  <si>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</si>
  <si>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</si>
  <si>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</si>
  <si>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</si>
  <si>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</si>
  <si>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</si>
  <si>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</si>
  <si>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</si>
  <si>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</si>
  <si>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</si>
  <si>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</si>
  <si>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</si>
  <si>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</si>
  <si>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</si>
  <si>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</si>
  <si>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</si>
  <si>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</si>
  <si>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</si>
  <si>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</si>
  <si>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</si>
  <si>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</si>
  <si>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</si>
  <si>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天泽苑（龙泽国际公馆）</t>
    <phoneticPr fontId="3" type="noConversion"/>
  </si>
  <si>
    <t>1号楼</t>
    <phoneticPr fontId="3" type="noConversion"/>
  </si>
  <si>
    <t>外墙涂料</t>
    <phoneticPr fontId="174" type="noConversion"/>
  </si>
  <si>
    <t>外窗：塑钢窗；户门：防盗门</t>
    <phoneticPr fontId="174" type="noConversion"/>
  </si>
  <si>
    <t>耐水腻子</t>
    <phoneticPr fontId="3" type="noConversion"/>
  </si>
  <si>
    <t>水泥抹面</t>
    <phoneticPr fontId="174" type="noConversion"/>
  </si>
  <si>
    <t>水泥沙浆地面，涂料墙面</t>
    <phoneticPr fontId="3" type="noConversion"/>
  </si>
  <si>
    <t>管道天然气</t>
    <phoneticPr fontId="3" type="noConversion"/>
  </si>
  <si>
    <t>预留有线电视天线、电话线接口</t>
    <phoneticPr fontId="3" type="noConversion"/>
  </si>
  <si>
    <t>市政供水</t>
    <phoneticPr fontId="3" type="noConversion"/>
  </si>
  <si>
    <t>电表磁卡计量</t>
    <phoneticPr fontId="3" type="noConversion"/>
  </si>
  <si>
    <t>消防井</t>
    <phoneticPr fontId="174" type="noConversion"/>
  </si>
  <si>
    <t>1单元1部电梯运行</t>
    <phoneticPr fontId="3" type="noConversion"/>
  </si>
  <si>
    <t>保安值勤</t>
    <phoneticPr fontId="3" type="noConversion"/>
  </si>
  <si>
    <t>地下车库</t>
    <phoneticPr fontId="3" type="noConversion"/>
  </si>
  <si>
    <t>提供规范物业管理</t>
    <phoneticPr fontId="3" type="noConversion"/>
  </si>
  <si>
    <t>标准居住区</t>
    <phoneticPr fontId="174" type="noConversion"/>
  </si>
  <si>
    <t>市级、区级、小区级 √  、街区级</t>
    <phoneticPr fontId="3" type="noConversion"/>
  </si>
  <si>
    <t>城市主干道√、城市次干道、支路</t>
    <phoneticPr fontId="3" type="noConversion"/>
  </si>
  <si>
    <t>有314、375支等公交线路经过</t>
  </si>
  <si>
    <t>利用周围配套设施</t>
    <phoneticPr fontId="3" type="noConversion"/>
  </si>
  <si>
    <t>天然气√、煤气</t>
    <phoneticPr fontId="3" type="noConversion"/>
  </si>
  <si>
    <t>刘朝阳</t>
    <phoneticPr fontId="3" type="noConversion"/>
  </si>
  <si>
    <t>二</t>
    <phoneticPr fontId="3" type="noConversion"/>
  </si>
  <si>
    <t>居室</t>
  </si>
  <si>
    <t>厨房</t>
  </si>
  <si>
    <t>卫生间</t>
  </si>
  <si>
    <t>公共部分</t>
  </si>
  <si>
    <t>录入、修改时间</t>
  </si>
  <si>
    <t>序号</t>
  </si>
  <si>
    <t>小区名称</t>
  </si>
  <si>
    <t>所在区县</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</si>
  <si>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</si>
  <si>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</si>
  <si>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</si>
  <si>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</si>
  <si>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</si>
  <si>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</si>
  <si>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</si>
  <si>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</si>
  <si>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</si>
  <si>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</si>
  <si>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</si>
  <si>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</si>
  <si>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</si>
  <si>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</si>
  <si>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</si>
  <si>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</si>
  <si>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</si>
  <si>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</si>
  <si>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</si>
  <si>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</si>
  <si>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</si>
  <si>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</si>
  <si>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</si>
  <si>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</si>
  <si>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</si>
  <si>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</si>
  <si>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</si>
  <si>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</si>
  <si>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</si>
  <si>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</si>
  <si>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</si>
  <si>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</si>
  <si>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</si>
  <si>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</si>
  <si>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</si>
  <si>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</si>
  <si>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</si>
  <si>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</si>
  <si>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</si>
  <si>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</si>
  <si>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楼层</t>
    <phoneticPr fontId="24" type="noConversion"/>
  </si>
  <si>
    <t>2/6</t>
    <phoneticPr fontId="24" type="noConversion"/>
  </si>
  <si>
    <t>6/24</t>
    <phoneticPr fontId="134" type="noConversion"/>
  </si>
  <si>
    <t>16/24</t>
    <phoneticPr fontId="134" type="noConversion"/>
  </si>
  <si>
    <t>4/6</t>
    <phoneticPr fontId="134" type="noConversion"/>
  </si>
  <si>
    <t>6/24</t>
    <phoneticPr fontId="24" type="noConversion"/>
  </si>
  <si>
    <t>4/6</t>
    <phoneticPr fontId="24" type="noConversion"/>
  </si>
  <si>
    <t>16/24</t>
    <phoneticPr fontId="24" type="noConversion"/>
  </si>
  <si>
    <t>高层塔楼</t>
  </si>
  <si>
    <t>高层塔楼</t>
    <phoneticPr fontId="24" type="noConversion"/>
  </si>
  <si>
    <t>原合同</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</si>
</sst>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2]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indexed="44"/>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76" fontId="138"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29" fillId="23" borderId="1" xfId="0" applyFont="1" applyFill="1" applyBorder="1" applyAlignment="1"/>
    <xf numFmtId="0" fontId="129" fillId="23" borderId="1" xfId="0" applyFont="1" applyFill="1" applyBorder="1" applyAlignment="1">
      <alignment horizontal="right"/>
    </xf>
    <xf numFmtId="0" fontId="129" fillId="23" borderId="1" xfId="0" applyFont="1" applyFill="1" applyBorder="1" applyAlignment="1">
      <alignment horizontal="left"/>
    </xf>
    <xf numFmtId="176" fontId="129" fillId="23" borderId="1" xfId="0" applyNumberFormat="1" applyFont="1" applyFill="1" applyBorder="1" applyAlignment="1">
      <alignment horizontal="right"/>
    </xf>
    <xf numFmtId="185" fontId="129" fillId="23" borderId="1" xfId="0" applyNumberFormat="1" applyFont="1" applyFill="1" applyBorder="1" applyAlignment="1">
      <alignment horizontal="right"/>
    </xf>
    <xf numFmtId="176" fontId="129" fillId="5" borderId="1" xfId="0" applyNumberFormat="1" applyFont="1" applyFill="1" applyBorder="1" applyAlignment="1">
      <alignment horizontal="right"/>
    </xf>
    <xf numFmtId="196" fontId="129" fillId="23" borderId="1" xfId="0" applyNumberFormat="1" applyFont="1" applyFill="1" applyBorder="1" applyAlignment="1"/>
    <xf numFmtId="9" fontId="129" fillId="23" borderId="1" xfId="0" applyNumberFormat="1" applyFont="1" applyFill="1" applyBorder="1" applyAlignment="1"/>
    <xf numFmtId="2" fontId="129" fillId="23" borderId="1" xfId="0" applyNumberFormat="1" applyFont="1" applyFill="1" applyBorder="1" applyAlignment="1">
      <alignment horizontal="right"/>
    </xf>
    <xf numFmtId="196" fontId="129" fillId="23" borderId="1" xfId="0" applyNumberFormat="1" applyFont="1" applyFill="1" applyBorder="1" applyAlignment="1">
      <alignment horizontal="right"/>
    </xf>
    <xf numFmtId="0" fontId="129" fillId="23" borderId="0" xfId="0" applyFont="1" applyFill="1" applyAlignment="1"/>
    <xf numFmtId="49" fontId="129" fillId="23" borderId="1" xfId="19" applyNumberFormat="1" applyFont="1" applyFill="1" applyBorder="1" applyAlignment="1">
      <alignment horizontal="left"/>
    </xf>
    <xf numFmtId="49" fontId="129" fillId="23" borderId="1" xfId="0" applyNumberFormat="1" applyFont="1" applyFill="1" applyBorder="1" applyAlignment="1">
      <alignment horizontal="left"/>
    </xf>
    <xf numFmtId="1" fontId="129" fillId="23" borderId="1" xfId="0" applyNumberFormat="1" applyFont="1" applyFill="1" applyBorder="1" applyAlignment="1">
      <alignment horizontal="right"/>
    </xf>
    <xf numFmtId="197" fontId="129" fillId="23" borderId="1" xfId="0" applyNumberFormat="1" applyFont="1" applyFill="1" applyBorder="1" applyAlignment="1"/>
    <xf numFmtId="9" fontId="129" fillId="23" borderId="1" xfId="0" applyNumberFormat="1" applyFont="1" applyFill="1" applyBorder="1" applyAlignment="1">
      <alignment horizontal="right"/>
    </xf>
    <xf numFmtId="0" fontId="129" fillId="23" borderId="1" xfId="0" applyFont="1" applyFill="1" applyBorder="1" applyAlignment="1" applyProtection="1">
      <alignment horizontal="right"/>
      <protection locked="0"/>
    </xf>
    <xf numFmtId="0" fontId="129" fillId="23" borderId="1" xfId="0" applyFont="1" applyFill="1" applyBorder="1" applyAlignment="1" applyProtection="1">
      <protection locked="0"/>
    </xf>
    <xf numFmtId="0" fontId="19" fillId="23" borderId="1" xfId="0" applyFont="1" applyFill="1" applyBorder="1" applyAlignment="1"/>
    <xf numFmtId="49" fontId="19" fillId="23" borderId="1" xfId="0" applyNumberFormat="1" applyFont="1" applyFill="1" applyBorder="1" applyAlignment="1"/>
    <xf numFmtId="49" fontId="19" fillId="23" borderId="1" xfId="19" applyNumberFormat="1" applyFont="1" applyFill="1" applyBorder="1" applyAlignment="1">
      <alignment horizontal="left"/>
    </xf>
    <xf numFmtId="0" fontId="77" fillId="23" borderId="1" xfId="0" applyFont="1" applyFill="1" applyBorder="1" applyAlignment="1"/>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7" fontId="19" fillId="23" borderId="1" xfId="0" applyNumberFormat="1" applyFont="1" applyFill="1" applyBorder="1" applyAlignment="1"/>
    <xf numFmtId="9" fontId="77" fillId="23" borderId="1" xfId="0" applyNumberFormat="1" applyFont="1" applyFill="1" applyBorder="1" applyAlignment="1"/>
    <xf numFmtId="2" fontId="77" fillId="23" borderId="1" xfId="0" applyNumberFormat="1" applyFont="1" applyFill="1" applyBorder="1" applyAlignment="1">
      <alignment horizontal="right"/>
    </xf>
    <xf numFmtId="197"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14" fontId="129" fillId="23" borderId="0" xfId="0" applyNumberFormat="1" applyFont="1" applyFill="1" applyAlignment="1"/>
    <xf numFmtId="14" fontId="129" fillId="23" borderId="1" xfId="0" applyNumberFormat="1" applyFont="1" applyFill="1" applyBorder="1" applyAlignment="1" applyProtection="1">
      <protection locked="0"/>
    </xf>
    <xf numFmtId="14" fontId="19" fillId="23" borderId="1" xfId="0" applyNumberFormat="1" applyFont="1" applyFill="1" applyBorder="1" applyAlignment="1" applyProtection="1">
      <protection locked="0"/>
    </xf>
    <xf numFmtId="0" fontId="128" fillId="0" borderId="83" xfId="0" applyFont="1" applyBorder="1" applyAlignment="1" applyProtection="1">
      <alignment horizontal="center" vertical="center"/>
      <protection locked="0"/>
    </xf>
    <xf numFmtId="0" fontId="19" fillId="24" borderId="1" xfId="0" applyFont="1" applyFill="1" applyBorder="1" applyAlignment="1"/>
    <xf numFmtId="0" fontId="19" fillId="24" borderId="1" xfId="0" applyFont="1" applyFill="1" applyBorder="1" applyAlignment="1">
      <alignment horizontal="left" vertical="center"/>
    </xf>
    <xf numFmtId="9" fontId="19" fillId="24" borderId="1" xfId="0" applyNumberFormat="1" applyFont="1" applyFill="1" applyBorder="1" applyAlignment="1"/>
    <xf numFmtId="0" fontId="19" fillId="0" borderId="0" xfId="0" applyFont="1" applyAlignment="1"/>
    <xf numFmtId="0" fontId="19" fillId="24" borderId="1" xfId="0" applyFont="1" applyFill="1" applyBorder="1" applyAlignment="1">
      <alignment horizontal="left"/>
    </xf>
    <xf numFmtId="0" fontId="19" fillId="24" borderId="1" xfId="0" applyFont="1" applyFill="1" applyBorder="1" applyAlignment="1">
      <alignment horizontal="right"/>
    </xf>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lignment horizontal="left"/>
    </xf>
    <xf numFmtId="0" fontId="184" fillId="24" borderId="1" xfId="0" applyFont="1" applyFill="1" applyBorder="1" applyAlignment="1">
      <alignment horizontal="left"/>
    </xf>
    <xf numFmtId="31" fontId="184" fillId="24" borderId="1" xfId="0" applyNumberFormat="1" applyFont="1" applyFill="1" applyBorder="1" applyAlignment="1">
      <alignment horizontal="left"/>
    </xf>
    <xf numFmtId="31" fontId="19" fillId="24" borderId="1" xfId="0" applyNumberFormat="1" applyFont="1" applyFill="1" applyBorder="1" applyAlignment="1" applyProtection="1">
      <alignment horizontal="center"/>
      <protection locked="0"/>
    </xf>
    <xf numFmtId="0" fontId="19" fillId="0" borderId="0" xfId="0" applyFont="1" applyAlignment="1">
      <alignment horizontal="left"/>
    </xf>
    <xf numFmtId="49" fontId="19" fillId="24" borderId="1" xfId="0" applyNumberFormat="1" applyFont="1" applyFill="1" applyBorder="1" applyAlignment="1"/>
    <xf numFmtId="0" fontId="80" fillId="22" borderId="1" xfId="0" applyFont="1" applyFill="1" applyBorder="1" applyAlignment="1">
      <alignment horizontal="center"/>
    </xf>
    <xf numFmtId="0" fontId="80" fillId="22" borderId="1" xfId="0" applyFont="1" applyFill="1" applyBorder="1" applyAlignment="1">
      <alignment horizontal="left"/>
    </xf>
    <xf numFmtId="0" fontId="80" fillId="22" borderId="1" xfId="0" applyFont="1" applyFill="1" applyBorder="1" applyAlignment="1">
      <alignment horizontal="left" vertical="center"/>
    </xf>
    <xf numFmtId="9" fontId="80" fillId="22" borderId="1" xfId="0" applyNumberFormat="1" applyFont="1" applyFill="1" applyBorder="1" applyAlignment="1">
      <alignment horizontal="center"/>
    </xf>
    <xf numFmtId="0" fontId="80" fillId="22" borderId="13" xfId="0" applyFont="1" applyFill="1" applyBorder="1" applyAlignment="1">
      <alignment horizontal="center"/>
    </xf>
    <xf numFmtId="0" fontId="80" fillId="22" borderId="13" xfId="0" applyFont="1" applyFill="1" applyBorder="1" applyAlignment="1">
      <alignment horizontal="left"/>
    </xf>
    <xf numFmtId="0" fontId="80" fillId="22" borderId="13" xfId="0" applyFont="1" applyFill="1" applyBorder="1" applyAlignment="1">
      <alignment horizontal="left" vertical="center"/>
    </xf>
    <xf numFmtId="9" fontId="80" fillId="22" borderId="13" xfId="0" applyNumberFormat="1" applyFont="1" applyFill="1" applyBorder="1" applyAlignment="1">
      <alignment horizontal="center"/>
    </xf>
    <xf numFmtId="0" fontId="19" fillId="25" borderId="1" xfId="0" applyFont="1" applyFill="1" applyBorder="1" applyAlignment="1"/>
    <xf numFmtId="0" fontId="19" fillId="25" borderId="1" xfId="0" applyFont="1" applyFill="1" applyBorder="1" applyAlignment="1">
      <alignment horizontal="left" vertical="center"/>
    </xf>
    <xf numFmtId="9" fontId="19" fillId="25" borderId="1" xfId="0" applyNumberFormat="1" applyFont="1" applyFill="1" applyBorder="1" applyAlignment="1"/>
    <xf numFmtId="0" fontId="19" fillId="25" borderId="0" xfId="0" applyFont="1" applyFill="1" applyAlignment="1"/>
    <xf numFmtId="49" fontId="129" fillId="23" borderId="0" xfId="0" applyNumberFormat="1" applyFont="1" applyFill="1" applyAlignment="1"/>
    <xf numFmtId="49" fontId="129" fillId="23" borderId="1" xfId="0" applyNumberFormat="1" applyFont="1" applyFill="1" applyBorder="1" applyAlignment="1" applyProtection="1">
      <protection locked="0"/>
    </xf>
    <xf numFmtId="49" fontId="19" fillId="23" borderId="1" xfId="0" applyNumberFormat="1" applyFont="1" applyFill="1" applyBorder="1" applyAlignment="1" applyProtection="1">
      <protection locked="0"/>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49" fontId="208"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0" xfId="0" applyFont="1" applyFill="1" applyProtection="1">
      <alignmen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7979;&#31639;&#8212;&#8212;02&#22522;&#20934;&#22320;&#20215;-&#21271;&#37325;&#35199;&#21378;.xlsx" TargetMode="External"/><Relationship Id="rId1" Type="http://schemas.openxmlformats.org/officeDocument/2006/relationships/externalLinkPath" Target="&#27979;&#31639;&#8212;&#8212;02&#22522;&#20934;&#22320;&#20215;-&#21271;&#37325;&#35199;&#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75019</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2004年4月7日</v>
      </c>
    </row>
    <row r="13" spans="1:2">
      <c r="A13" s="1119" t="s">
        <v>529</v>
      </c>
      <c r="B13" s="1120" t="str">
        <f>'预评函-1'!A18</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7" t="s">
        <v>385</v>
      </c>
      <c r="C54" s="1445" t="s">
        <v>583</v>
      </c>
    </row>
    <row r="55" spans="1:4">
      <c r="A55" s="3260"/>
      <c r="B55" s="1447" t="s">
        <v>386</v>
      </c>
      <c r="C55" s="1445" t="s">
        <v>584</v>
      </c>
    </row>
    <row r="56" spans="1:4">
      <c r="A56" s="3260"/>
      <c r="B56" s="1447" t="s">
        <v>387</v>
      </c>
      <c r="C56" s="1445" t="s">
        <v>588</v>
      </c>
    </row>
    <row r="57" spans="1:4">
      <c r="A57" s="326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61" t="s">
        <v>2582</v>
      </c>
      <c r="J2" s="3261"/>
      <c r="K2" s="3261"/>
      <c r="L2" s="3261"/>
      <c r="M2" s="3261"/>
      <c r="N2" s="3261"/>
      <c r="O2" s="3261"/>
      <c r="P2" s="3261"/>
      <c r="Q2" s="3261"/>
      <c r="R2" s="3261"/>
    </row>
    <row r="3" spans="1:18">
      <c r="A3" s="2762" t="s">
        <v>2503</v>
      </c>
      <c r="B3" s="2763">
        <f>项目基本情况!D3</f>
        <v>38084</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22.71</v>
      </c>
      <c r="D5" s="2767">
        <f>IF(ISERROR(ROUND(POWER(1+E5,A5-C5)*(POWER(1+E5,C5)-1)/(POWER(1+E5,A5)-1),3)),0,ROUND(POWER(1+E5,A5-C5)*(POWER(1+E5,C5)-1)/(POWER(1+E5,A5)-1),4))</f>
        <v>0.74480000000000002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32.72</v>
      </c>
      <c r="D6" s="2767">
        <f>IF(ISERROR(ROUND(POWER(1+E6,A6-C6)*(POWER(1+E6,C6)-1)/(POWER(1+E6,A6)-1),3)),0,ROUND(POWER(1+E6,A6-C6)*(POWER(1+E6,C6)-1)/(POWER(1+E6,A6)-1),4))</f>
        <v>0.84130000000000005</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52.73</v>
      </c>
      <c r="D7" s="2767">
        <f>IF(ISERROR(ROUND(POWER(1+E7,A7-C7)*(POWER(1+E7,C7)-1)/(POWER(1+E7,A7)-1),3)),0,ROUND(POWER(1+E7,A7-C7)*(POWER(1+E7,C7)-1)/(POWER(1+E7,A7)-1),4))</f>
        <v>0.9335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38084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72"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73"/>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79"/>
      <c r="C16" s="3280"/>
      <c r="D16" s="3281"/>
      <c r="E16" s="2221" t="s">
        <v>2194</v>
      </c>
      <c r="F16" s="3282"/>
      <c r="G16" s="3283"/>
      <c r="H16" s="3283"/>
      <c r="I16" s="3284"/>
      <c r="J16" s="2244"/>
      <c r="K16" s="2402"/>
      <c r="L16" s="1670"/>
      <c r="M16" s="1670"/>
      <c r="N16" s="2244"/>
      <c r="O16" s="1670"/>
      <c r="P16" s="2244"/>
      <c r="Q16" s="2244"/>
      <c r="R16" s="2244"/>
    </row>
    <row r="17" spans="1:28">
      <c r="A17" s="305" t="s">
        <v>2195</v>
      </c>
      <c r="B17" s="294" t="s">
        <v>2196</v>
      </c>
      <c r="C17" s="8">
        <f>'数据-汇总表'!E3</f>
        <v>41.77</v>
      </c>
      <c r="D17" s="1256" t="s">
        <v>2197</v>
      </c>
      <c r="E17" s="3285" t="s">
        <v>2198</v>
      </c>
      <c r="F17" s="3286"/>
      <c r="G17" s="3286"/>
      <c r="H17" s="3286"/>
      <c r="I17" s="328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88" t="s">
        <v>2202</v>
      </c>
      <c r="F18" s="3289"/>
      <c r="G18" s="3289"/>
      <c r="H18" s="3289"/>
      <c r="I18" s="329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75" t="s">
        <v>2206</v>
      </c>
      <c r="C20" s="3276"/>
      <c r="D20" s="3277" t="s">
        <v>2207</v>
      </c>
      <c r="E20" s="3278"/>
      <c r="F20" s="2429" t="s">
        <v>1056</v>
      </c>
      <c r="G20" s="2441"/>
      <c r="H20" s="2441"/>
      <c r="I20" s="2441"/>
      <c r="J20" s="2244"/>
      <c r="K20" s="327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7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7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63"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6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6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4"/>
      <c r="B30" s="294" t="s">
        <v>2218</v>
      </c>
      <c r="C30" s="3265"/>
      <c r="D30" s="3266"/>
      <c r="E30" s="2441"/>
      <c r="F30" s="2441"/>
      <c r="G30" s="2441"/>
      <c r="H30" s="2441"/>
      <c r="I30" s="2441"/>
      <c r="J30" s="2244"/>
      <c r="K30" s="2401"/>
      <c r="L30" s="2398"/>
      <c r="M30" s="2398"/>
      <c r="N30" s="2244"/>
      <c r="O30" s="1670"/>
      <c r="P30" s="2244"/>
      <c r="Q30" s="2244"/>
      <c r="R30" s="2244"/>
      <c r="S30" s="2244"/>
      <c r="T30" s="2244"/>
      <c r="U30" s="2244"/>
      <c r="V30" s="2244"/>
    </row>
    <row r="31" spans="1:28">
      <c r="A31" s="326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6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6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4"/>
      <c r="V34" s="2244"/>
    </row>
    <row r="35" spans="1:30">
      <c r="A35" s="2235"/>
      <c r="B35" s="3262" t="s">
        <v>2229</v>
      </c>
      <c r="C35" s="3262"/>
      <c r="D35" s="3262"/>
      <c r="E35" s="326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20" sqref="S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41.77</v>
      </c>
      <c r="H5" s="13">
        <f t="shared" ref="H5:AT5" si="0">SUM(H13:H656)</f>
        <v>41.77</v>
      </c>
      <c r="I5" s="13">
        <f t="shared" si="0"/>
        <v>41.77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41.77</v>
      </c>
      <c r="BA5" s="15">
        <f t="shared" si="1"/>
        <v>41.77</v>
      </c>
      <c r="BB5" s="15">
        <f t="shared" si="1"/>
        <v>41.77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41.77</v>
      </c>
      <c r="H13" s="17">
        <f>SUMIF(I$12:AB$12,"总值",I13:AB13)</f>
        <v>41.77</v>
      </c>
      <c r="I13" s="1514">
        <v>41.77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41.77</v>
      </c>
      <c r="BA13" s="13">
        <f>SUM(BB13:BK13)</f>
        <v>41.77</v>
      </c>
      <c r="BB13" s="13">
        <f>IF($D13="是",I13-J13,0)</f>
        <v>41.77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0" t="s">
        <v>1131</v>
      </c>
      <c r="B2" s="3300"/>
      <c r="C2" s="3300"/>
      <c r="D2" s="748" t="s">
        <v>1107</v>
      </c>
      <c r="E2" s="1523" t="s">
        <v>1108</v>
      </c>
      <c r="F2" s="2438"/>
      <c r="G2" s="2431"/>
      <c r="H2" s="2432"/>
      <c r="I2" s="2146" t="s">
        <v>1132</v>
      </c>
      <c r="J2" s="2438"/>
      <c r="K2" s="2438"/>
      <c r="L2" s="2438"/>
      <c r="M2" s="2438"/>
      <c r="N2" s="2439"/>
      <c r="O2" s="2438"/>
      <c r="P2" s="2438"/>
    </row>
    <row r="3" spans="1:16" ht="15.75" thickBot="1">
      <c r="A3" s="3301" t="s">
        <v>1105</v>
      </c>
      <c r="B3" s="3301"/>
      <c r="C3" s="3301"/>
      <c r="D3" s="41">
        <f>'数据-基础表'!AY6</f>
        <v>0</v>
      </c>
      <c r="E3" s="41">
        <f>'数据-基础表'!AZ5</f>
        <v>41.77</v>
      </c>
      <c r="F3" s="2438"/>
      <c r="G3" s="42"/>
      <c r="H3" s="43" t="s">
        <v>1106</v>
      </c>
      <c r="I3" s="802" t="e">
        <f>ROUND('数据-基础表'!B3/'数据-基础表'!A3,2)</f>
        <v>#DIV/0!</v>
      </c>
      <c r="J3" s="2438"/>
      <c r="K3" s="2438"/>
      <c r="L3" s="2438"/>
      <c r="M3" s="2438"/>
      <c r="N3" s="2439"/>
      <c r="O3" s="2438"/>
      <c r="P3" s="2438"/>
    </row>
    <row r="4" spans="1:16" ht="15">
      <c r="A4" s="3302"/>
      <c r="B4" s="3303"/>
      <c r="C4" s="330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05" t="s">
        <v>1110</v>
      </c>
      <c r="C5" s="3305"/>
      <c r="D5" s="43">
        <f>ROUND($D$3*E5/$E$3,2)</f>
        <v>0</v>
      </c>
      <c r="E5" s="44">
        <f>SUMIF('数据-基础表'!$11:$11,"住宅",'数据-基础表'!$5:$5)</f>
        <v>41.77</v>
      </c>
      <c r="F5" s="2438"/>
      <c r="G5" s="42"/>
      <c r="H5" s="43" t="s">
        <v>1106</v>
      </c>
      <c r="I5" s="802" t="e">
        <f>ROUND(E31/D31,2)</f>
        <v>#DIV/0!</v>
      </c>
      <c r="J5" s="2438"/>
      <c r="K5" s="2438"/>
      <c r="L5" s="2438"/>
      <c r="M5" s="2438"/>
      <c r="N5" s="2438"/>
      <c r="O5" s="2438"/>
      <c r="P5" s="2438"/>
    </row>
    <row r="6" spans="1:16" ht="15" thickBot="1">
      <c r="A6" s="1527"/>
      <c r="B6" s="3305" t="s">
        <v>1111</v>
      </c>
      <c r="C6" s="3305"/>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97"/>
      <c r="B7" s="3298"/>
      <c r="C7" s="3299"/>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41.77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41.77</v>
      </c>
      <c r="F16" s="2438"/>
      <c r="G16" s="2438"/>
      <c r="H16" s="1531" t="s">
        <v>1135</v>
      </c>
      <c r="I16" s="1532"/>
      <c r="J16" s="1071"/>
      <c r="K16" s="3294" t="s">
        <v>1135</v>
      </c>
      <c r="L16" s="3295"/>
      <c r="M16" s="3295"/>
      <c r="N16" s="3295"/>
      <c r="O16" s="3295"/>
      <c r="P16" s="3296"/>
    </row>
    <row r="17" spans="1:19" ht="15">
      <c r="A17" s="1533" t="s">
        <v>1136</v>
      </c>
      <c r="B17" s="1534" t="s">
        <v>1137</v>
      </c>
      <c r="C17" s="1535" t="s">
        <v>1138</v>
      </c>
      <c r="D17" s="1536" t="s">
        <v>1126</v>
      </c>
      <c r="E17" s="1537" t="s">
        <v>1127</v>
      </c>
      <c r="F17" s="1538"/>
      <c r="G17" s="1539"/>
      <c r="H17" s="1540" t="s">
        <v>1139</v>
      </c>
      <c r="I17" s="1541" t="s">
        <v>1124</v>
      </c>
      <c r="J17" s="1071"/>
      <c r="K17" s="3291" t="s">
        <v>1140</v>
      </c>
      <c r="L17" s="3292"/>
      <c r="M17" s="3293"/>
      <c r="N17" s="3291" t="s">
        <v>1141</v>
      </c>
      <c r="O17" s="3292"/>
      <c r="P17" s="329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41.77</v>
      </c>
      <c r="F19" s="2557">
        <f>'数据-基础表'!I13</f>
        <v>41.77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41.77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41.77</v>
      </c>
      <c r="F27" s="1072">
        <f>IF(SUM(F19:F26)=E8,SUM(F19:F26),"地上面积有误")</f>
        <v>41.77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41.77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41.77</v>
      </c>
      <c r="F31" s="644">
        <f>F27+F30</f>
        <v>41.77</v>
      </c>
      <c r="G31" s="645">
        <f>G27+G30</f>
        <v>0</v>
      </c>
      <c r="H31" s="2438"/>
      <c r="I31" s="2438"/>
      <c r="J31" s="2438"/>
      <c r="K31" s="2438"/>
      <c r="L31" s="2438"/>
      <c r="M31" s="2438"/>
      <c r="N31" s="2438"/>
      <c r="O31" s="2438"/>
      <c r="P31" s="2438"/>
    </row>
    <row r="32" spans="1:19">
      <c r="A32" s="1526"/>
      <c r="B32" s="1526" t="s">
        <v>1159</v>
      </c>
      <c r="C32" s="1526"/>
      <c r="D32" s="1526"/>
      <c r="E32" s="990">
        <f>SUMIF(C19:C26,"*住宅*",E19:E26)</f>
        <v>41.77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38084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41.77</v>
      </c>
      <c r="L6" s="692">
        <v>1500</v>
      </c>
      <c r="M6" s="64">
        <f t="shared" ref="M6:M14" si="0">ROUND(K6*L6/10000,0)</f>
        <v>6</v>
      </c>
      <c r="N6" s="690">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62655.000000000007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41.77</v>
      </c>
      <c r="L16" s="87">
        <f>ROUND(M16*10000/SUM(K6:K14),0)</f>
        <v>1436</v>
      </c>
      <c r="M16" s="87">
        <f>SUM(M6:M14)</f>
        <v>6</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ROUND(1-0.98*(2004-1990)/50,2)</f>
        <v>0.73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1.9799999999999998E-2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5.4900000000000004E-2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306" t="s">
        <v>2286</v>
      </c>
      <c r="B1" s="3307"/>
      <c r="C1" s="3307"/>
      <c r="D1" s="3307"/>
      <c r="E1" s="3307"/>
      <c r="F1" s="3307"/>
      <c r="G1" s="330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41.77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38084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12</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41.77</v>
      </c>
      <c r="C14" s="2305"/>
      <c r="D14" s="2305">
        <f ca="1">结果表!G19</f>
        <v>12</v>
      </c>
      <c r="E14" s="2305">
        <f ca="1">ROUND(D14*10000/B14,0)</f>
        <v>2873</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M18" sqref="M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4" t="s">
        <v>1265</v>
      </c>
      <c r="B4" s="1625" t="s">
        <v>1266</v>
      </c>
      <c r="C4" s="1626" t="s">
        <v>3397</v>
      </c>
      <c r="D4" s="1626" t="s">
        <v>3398</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22" t="s">
        <v>1268</v>
      </c>
      <c r="B5" s="3309">
        <v>25</v>
      </c>
      <c r="C5" s="3325">
        <v>0</v>
      </c>
      <c r="D5" s="3345">
        <f>10-C5</f>
        <v>10</v>
      </c>
      <c r="E5" s="123" t="s">
        <v>1269</v>
      </c>
      <c r="F5" s="1627"/>
      <c r="G5" s="1627"/>
      <c r="H5" s="1627"/>
      <c r="I5" s="1281"/>
    </row>
    <row r="6" spans="1:12" ht="12.75">
      <c r="A6" s="3322"/>
      <c r="B6" s="3309"/>
      <c r="C6" s="3326"/>
      <c r="D6" s="3345"/>
      <c r="E6" s="123" t="s">
        <v>1270</v>
      </c>
      <c r="F6" s="1627"/>
      <c r="G6" s="1627"/>
      <c r="H6" s="1627"/>
      <c r="I6" s="1281"/>
    </row>
    <row r="7" spans="1:12" ht="12.75">
      <c r="A7" s="3322"/>
      <c r="B7" s="3309"/>
      <c r="C7" s="3327"/>
      <c r="D7" s="3345"/>
      <c r="E7" s="123" t="s">
        <v>1271</v>
      </c>
      <c r="F7" s="1627"/>
      <c r="G7" s="1627"/>
      <c r="H7" s="1627"/>
      <c r="I7" s="1281"/>
    </row>
    <row r="8" spans="1:12" ht="12.75">
      <c r="A8" s="3322" t="s">
        <v>1272</v>
      </c>
      <c r="B8" s="3309">
        <v>15</v>
      </c>
      <c r="C8" s="3325"/>
      <c r="D8" s="3345"/>
      <c r="E8" s="123" t="s">
        <v>1273</v>
      </c>
      <c r="F8" s="1627"/>
      <c r="G8" s="1627"/>
      <c r="H8" s="1627"/>
      <c r="I8" s="1281"/>
    </row>
    <row r="9" spans="1:12" ht="12.75">
      <c r="A9" s="3322"/>
      <c r="B9" s="3309"/>
      <c r="C9" s="3327"/>
      <c r="D9" s="3345"/>
      <c r="E9" s="123" t="s">
        <v>1274</v>
      </c>
      <c r="F9" s="1627"/>
      <c r="G9" s="1627"/>
      <c r="H9" s="1627"/>
      <c r="I9" s="1281"/>
    </row>
    <row r="10" spans="1:12" ht="12.75">
      <c r="A10" s="3322" t="s">
        <v>1275</v>
      </c>
      <c r="B10" s="3309">
        <v>15</v>
      </c>
      <c r="C10" s="3325"/>
      <c r="D10" s="3345"/>
      <c r="E10" s="123" t="s">
        <v>1276</v>
      </c>
      <c r="F10" s="1627"/>
      <c r="G10" s="1627"/>
      <c r="H10" s="1627"/>
      <c r="I10" s="1281"/>
    </row>
    <row r="11" spans="1:12" ht="12.75">
      <c r="A11" s="3322"/>
      <c r="B11" s="3309"/>
      <c r="C11" s="3327"/>
      <c r="D11" s="3345"/>
      <c r="E11" s="123" t="s">
        <v>1277</v>
      </c>
      <c r="F11" s="1627"/>
      <c r="G11" s="1627"/>
      <c r="H11" s="1627"/>
      <c r="I11" s="1281"/>
    </row>
    <row r="12" spans="1:12" ht="12.75">
      <c r="A12" s="3322" t="s">
        <v>1278</v>
      </c>
      <c r="B12" s="3309">
        <v>15</v>
      </c>
      <c r="C12" s="3325"/>
      <c r="D12" s="3345"/>
      <c r="E12" s="123" t="s">
        <v>1279</v>
      </c>
      <c r="F12" s="1627"/>
      <c r="G12" s="1627"/>
      <c r="H12" s="1627"/>
      <c r="I12" s="1281"/>
    </row>
    <row r="13" spans="1:12" ht="12.75">
      <c r="A13" s="3322"/>
      <c r="B13" s="3309"/>
      <c r="C13" s="3327"/>
      <c r="D13" s="3345"/>
      <c r="E13" s="123" t="s">
        <v>1280</v>
      </c>
      <c r="F13" s="1627"/>
      <c r="G13" s="1627"/>
      <c r="H13" s="1627"/>
      <c r="I13" s="1281"/>
    </row>
    <row r="14" spans="1:12" ht="12.75">
      <c r="A14" s="3322" t="s">
        <v>1281</v>
      </c>
      <c r="B14" s="3309">
        <v>30</v>
      </c>
      <c r="C14" s="3325"/>
      <c r="D14" s="3345"/>
      <c r="E14" s="123" t="s">
        <v>1282</v>
      </c>
      <c r="F14" s="1627"/>
      <c r="G14" s="1627"/>
      <c r="H14" s="1627"/>
      <c r="I14" s="1281"/>
    </row>
    <row r="15" spans="1:12" ht="12.75">
      <c r="A15" s="3322"/>
      <c r="B15" s="3309"/>
      <c r="C15" s="3326"/>
      <c r="D15" s="3345"/>
      <c r="E15" s="123" t="s">
        <v>1283</v>
      </c>
      <c r="F15" s="1627"/>
      <c r="G15" s="1627"/>
      <c r="H15" s="1627"/>
      <c r="I15" s="1281"/>
    </row>
    <row r="16" spans="1:12" ht="12.75">
      <c r="A16" s="3322"/>
      <c r="B16" s="3309"/>
      <c r="C16" s="3327"/>
      <c r="D16" s="3345"/>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32" t="s">
        <v>2131</v>
      </c>
      <c r="F18" s="3333"/>
      <c r="G18" s="3333"/>
      <c r="H18" s="3333"/>
      <c r="I18" s="3333"/>
      <c r="K18" s="294" t="s">
        <v>1289</v>
      </c>
      <c r="L18" s="294">
        <f>IF(C1="",'数据-汇总表'!E3,SUMIF(项目类型,C1,'数据-汇总表'!E17:E26)+SUMIF(项目类型,C1,'数据-汇总表'!I17:I26))</f>
        <v>41.77</v>
      </c>
      <c r="M18" s="294">
        <f>IF(C1="",'数据-汇总表'!E3,SUMIF(项目类型,C1,'数据-汇总表'!E17:E26))</f>
        <v>41.77</v>
      </c>
    </row>
    <row r="19" spans="1:36" ht="15">
      <c r="A19" s="1630" t="s">
        <v>1290</v>
      </c>
      <c r="B19" s="1631" t="s">
        <v>1291</v>
      </c>
      <c r="C19" s="126">
        <f ca="1">SUMIF(INDIRECT("'"&amp;C4&amp;"'"&amp;"!A:A"),结果表!B19,INDIRECT("'"&amp;C4&amp;"'"&amp;"!B:B"))</f>
        <v>16.872800000000002</v>
      </c>
      <c r="D19" s="127">
        <f ca="1">SUMIF(INDIRECT("'"&amp;D4&amp;"'"&amp;"!A:A"),结果表!B19,INDIRECT("'"&amp;D4&amp;"'"&amp;"!B:B"))</f>
        <v>12.4308</v>
      </c>
      <c r="E19" s="1630" t="s">
        <v>1292</v>
      </c>
      <c r="F19" s="1631" t="s">
        <v>1291</v>
      </c>
      <c r="G19" s="128">
        <f ca="1">ROUND(C19*$C$18+D19*$D$18,0)</f>
        <v>12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4039</v>
      </c>
      <c r="D20" s="130">
        <f ca="1">SUMIF(INDIRECT("'"&amp;D4&amp;"'"&amp;"!A:A"),结果表!B20,INDIRECT("'"&amp;D4&amp;"'"&amp;"!B:B"))</f>
        <v>2976</v>
      </c>
      <c r="E20" s="1633"/>
      <c r="F20" s="43" t="s">
        <v>1295</v>
      </c>
      <c r="G20" s="131">
        <f ca="1">ROUND(C20*$C$18+D20*$D$18,0)</f>
        <v>2976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0.3573382244103358</v>
      </c>
      <c r="E22" s="121"/>
      <c r="F22" s="121"/>
      <c r="G22" s="121">
        <f ca="1">ROUND(G20*'数据-汇总表'!F19,0)</f>
        <v>124308</v>
      </c>
      <c r="H22" s="121"/>
      <c r="I22" s="121"/>
    </row>
    <row r="23" spans="1:36" ht="13.5" thickBot="1">
      <c r="A23" s="646"/>
      <c r="B23" s="646"/>
      <c r="C23" s="646"/>
      <c r="D23" s="646"/>
      <c r="E23" s="121"/>
      <c r="F23" s="121"/>
      <c r="G23" s="121"/>
      <c r="H23" s="121"/>
      <c r="I23" s="121"/>
    </row>
    <row r="24" spans="1:36" ht="14.25">
      <c r="A24" s="3316" t="s">
        <v>1299</v>
      </c>
      <c r="B24" s="1631" t="s">
        <v>1291</v>
      </c>
      <c r="C24" s="128">
        <f>IF(B30=0,0,D30)</f>
        <v>0</v>
      </c>
      <c r="D24" s="1637"/>
      <c r="E24" s="121"/>
      <c r="F24" s="121"/>
      <c r="G24" s="121"/>
      <c r="H24" s="121"/>
      <c r="I24" s="121"/>
      <c r="L24" s="3558" t="s">
        <v>3774</v>
      </c>
    </row>
    <row r="25" spans="1:36" ht="14.25">
      <c r="A25" s="3317"/>
      <c r="B25" s="43" t="s">
        <v>1295</v>
      </c>
      <c r="C25" s="133">
        <f>IF(B30=0,0,C30)</f>
        <v>0</v>
      </c>
      <c r="D25" s="1638"/>
      <c r="E25" s="121"/>
      <c r="F25" s="121"/>
      <c r="G25" s="121"/>
      <c r="H25" s="121"/>
      <c r="I25" s="121"/>
      <c r="L25" s="684">
        <v>100000</v>
      </c>
    </row>
    <row r="26" spans="1:36" ht="13.5" customHeight="1">
      <c r="A26" s="1639" t="s">
        <v>1300</v>
      </c>
      <c r="B26" s="134" t="s">
        <v>1301</v>
      </c>
      <c r="C26" s="134" t="s">
        <v>1302</v>
      </c>
      <c r="D26" s="135" t="s">
        <v>1303</v>
      </c>
      <c r="E26" s="121"/>
      <c r="F26" s="121"/>
      <c r="G26" s="121"/>
      <c r="H26" s="121"/>
      <c r="I26" s="121"/>
      <c r="L26" s="684">
        <f>ROUND(L25/系统读取表!B14,0)</f>
        <v>2394</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2976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3" t="s">
        <v>1326</v>
      </c>
      <c r="B45" s="3314"/>
      <c r="C45" s="3315"/>
      <c r="D45" s="147" t="e">
        <f ca="1">ROUND(H101*F45,0)</f>
        <v>#REF!</v>
      </c>
      <c r="E45" s="148" t="s">
        <v>1327</v>
      </c>
      <c r="F45" s="149">
        <v>1</v>
      </c>
      <c r="G45" s="150" t="s">
        <v>1328</v>
      </c>
      <c r="H45" s="121"/>
      <c r="I45" s="121"/>
      <c r="J45" s="3391" t="s">
        <v>1329</v>
      </c>
      <c r="K45" s="3391"/>
      <c r="L45" s="3391"/>
      <c r="M45" s="3391"/>
      <c r="N45" s="3391"/>
      <c r="O45" s="3391"/>
    </row>
    <row r="46" spans="1:15" ht="14.25" customHeight="1">
      <c r="A46" s="3310" t="s">
        <v>1330</v>
      </c>
      <c r="B46" s="3311"/>
      <c r="C46" s="3311"/>
      <c r="D46" s="3311"/>
      <c r="E46" s="3311"/>
      <c r="F46" s="3311"/>
      <c r="G46" s="3312"/>
      <c r="H46" s="1668"/>
      <c r="I46" s="151"/>
      <c r="J46" s="2309">
        <v>1</v>
      </c>
      <c r="K46" s="3372" t="s">
        <v>1331</v>
      </c>
      <c r="L46" s="3372"/>
      <c r="M46" s="3392"/>
      <c r="N46" s="3392"/>
      <c r="O46" s="3392"/>
    </row>
    <row r="47" spans="1:15" ht="12" customHeight="1">
      <c r="A47" s="152" t="s">
        <v>1332</v>
      </c>
      <c r="B47" s="153"/>
      <c r="C47" s="154"/>
      <c r="D47" s="1024" t="s">
        <v>1333</v>
      </c>
      <c r="E47" s="294" t="s">
        <v>1334</v>
      </c>
      <c r="F47" s="155" t="s">
        <v>1335</v>
      </c>
      <c r="G47" s="2332" t="s">
        <v>1336</v>
      </c>
      <c r="H47" s="2333"/>
      <c r="I47" s="151"/>
      <c r="J47" s="2309">
        <v>2</v>
      </c>
      <c r="K47" s="3372" t="s">
        <v>1337</v>
      </c>
      <c r="L47" s="3372"/>
      <c r="M47" s="3393">
        <f>'数据-取费表'!B2</f>
        <v>38084</v>
      </c>
      <c r="N47" s="3393"/>
      <c r="O47" s="3393"/>
    </row>
    <row r="48" spans="1:15" ht="25.5">
      <c r="A48" s="3341" t="s">
        <v>1338</v>
      </c>
      <c r="B48" s="3324"/>
      <c r="C48" s="332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2" t="s">
        <v>1340</v>
      </c>
      <c r="L48" s="3372"/>
      <c r="M48" s="3394" t="e">
        <f ca="1">H101</f>
        <v>#REF!</v>
      </c>
      <c r="N48" s="3394"/>
      <c r="O48" s="3394"/>
    </row>
    <row r="49" spans="1:35" ht="25.5" customHeight="1">
      <c r="A49" s="2152" t="s">
        <v>1341</v>
      </c>
      <c r="B49" s="3308" t="s">
        <v>1342</v>
      </c>
      <c r="C49" s="3308"/>
      <c r="D49" s="1478">
        <v>0</v>
      </c>
      <c r="E49" s="316" t="s">
        <v>1343</v>
      </c>
      <c r="F49" s="2232" t="s">
        <v>28</v>
      </c>
      <c r="G49" s="3378"/>
      <c r="H49" s="2134" t="s">
        <v>2134</v>
      </c>
      <c r="I49" s="2135"/>
      <c r="J49" s="2309">
        <v>4</v>
      </c>
      <c r="K49" s="3372" t="str">
        <f>IF(项目基本情况!E8="房地产抵押价值","房地产抵押价值","抵押担保权已注销时的房地产抵押价值")</f>
        <v>抵押担保权已注销时的房地产抵押价值</v>
      </c>
      <c r="L49" s="3372"/>
      <c r="M49" s="3394" t="str">
        <f>IF(项目基本情况!E8="房地产抵押价值",H107,H109)</f>
        <v>——</v>
      </c>
      <c r="N49" s="3394"/>
      <c r="O49" s="3394"/>
    </row>
    <row r="50" spans="1:35" ht="25.5" customHeight="1">
      <c r="A50" s="2337"/>
      <c r="B50" s="3308" t="s">
        <v>1344</v>
      </c>
      <c r="C50" s="3308"/>
      <c r="D50" s="2189"/>
      <c r="E50" s="323"/>
      <c r="F50" s="2232"/>
      <c r="G50" s="3379"/>
      <c r="H50" s="2136" t="s">
        <v>2135</v>
      </c>
      <c r="I50" s="2135"/>
      <c r="J50" s="3391" t="s">
        <v>1345</v>
      </c>
      <c r="K50" s="3391"/>
      <c r="L50" s="3391"/>
      <c r="M50" s="3391"/>
      <c r="N50" s="3391"/>
      <c r="O50" s="3391"/>
    </row>
    <row r="51" spans="1:35" ht="20.45" customHeight="1">
      <c r="A51" s="2338"/>
      <c r="B51" s="3308" t="s">
        <v>1346</v>
      </c>
      <c r="C51" s="3308"/>
      <c r="D51" s="1024"/>
      <c r="E51" s="319"/>
      <c r="F51" s="2232"/>
      <c r="G51" s="3380"/>
      <c r="H51" s="2136" t="s">
        <v>2136</v>
      </c>
      <c r="I51" s="2135"/>
      <c r="J51" s="2310" t="s">
        <v>1347</v>
      </c>
      <c r="K51" s="3372" t="s">
        <v>1348</v>
      </c>
      <c r="L51" s="3372"/>
      <c r="M51" s="2310" t="s">
        <v>1349</v>
      </c>
      <c r="N51" s="2310" t="s">
        <v>1350</v>
      </c>
      <c r="O51" s="2310" t="s">
        <v>1351</v>
      </c>
    </row>
    <row r="52" spans="1:35" ht="24" customHeight="1">
      <c r="A52" s="2153" t="s">
        <v>1352</v>
      </c>
      <c r="B52" s="3308" t="s">
        <v>1353</v>
      </c>
      <c r="C52" s="3308"/>
      <c r="D52" s="1024" t="e">
        <f ca="1">ROUND(D45*'数据-取费表'!B41/(1+'数据-取费表'!C42),0)</f>
        <v>#REF!</v>
      </c>
      <c r="E52" s="1256" t="s">
        <v>1354</v>
      </c>
      <c r="F52" s="2339">
        <f>'数据-取费表'!B41</f>
        <v>5.6000000000000001E-2</v>
      </c>
      <c r="G52" s="2340"/>
      <c r="H52" s="2330"/>
      <c r="I52" s="1669"/>
      <c r="J52" s="2309">
        <v>1</v>
      </c>
      <c r="K52" s="3373" t="s">
        <v>1355</v>
      </c>
      <c r="L52" s="3373"/>
      <c r="M52" s="2311" t="b">
        <f>D48</f>
        <v>0</v>
      </c>
      <c r="N52" s="2309" t="str">
        <f>E48</f>
        <v>销售额×税（费）率</v>
      </c>
      <c r="O52" s="2312">
        <f>F48</f>
        <v>5.6000000000000001E-2</v>
      </c>
    </row>
    <row r="53" spans="1:35" ht="12" customHeight="1">
      <c r="A53" s="2153" t="s">
        <v>1356</v>
      </c>
      <c r="B53" s="3334" t="s">
        <v>2291</v>
      </c>
      <c r="C53" s="3335"/>
      <c r="D53" s="1024" t="e">
        <f ca="1">ROUND(D45*'数据-取费表'!B41/(1+'数据-取费表'!C42),0)</f>
        <v>#REF!</v>
      </c>
      <c r="E53" s="1256" t="s">
        <v>1354</v>
      </c>
      <c r="F53" s="2339">
        <f>'数据-取费表'!B41</f>
        <v>5.6000000000000001E-2</v>
      </c>
      <c r="G53" s="2340"/>
      <c r="H53" s="2330"/>
      <c r="I53" s="1669"/>
      <c r="J53" s="2309">
        <v>2</v>
      </c>
      <c r="K53" s="3373" t="s">
        <v>1357</v>
      </c>
      <c r="L53" s="3373"/>
      <c r="M53" s="2311" t="e">
        <f t="shared" ref="M53:O54" ca="1" si="0">D55</f>
        <v>#REF!</v>
      </c>
      <c r="N53" s="2309" t="str">
        <f t="shared" si="0"/>
        <v>销售额×税（费）率</v>
      </c>
      <c r="O53" s="2312" t="str">
        <f t="shared" si="0"/>
        <v>免征</v>
      </c>
    </row>
    <row r="54" spans="1:35" ht="12" customHeight="1">
      <c r="A54" s="2153" t="s">
        <v>1358</v>
      </c>
      <c r="B54" s="3334" t="s">
        <v>2292</v>
      </c>
      <c r="C54" s="3335"/>
      <c r="D54" s="1024" t="e">
        <f ca="1">C68</f>
        <v>#REF!</v>
      </c>
      <c r="E54" s="319" t="s">
        <v>1359</v>
      </c>
      <c r="F54" s="2339">
        <f>'数据-取费表'!B41</f>
        <v>5.6000000000000001E-2</v>
      </c>
      <c r="G54" s="2340"/>
      <c r="H54" s="2341"/>
      <c r="I54" s="1669"/>
      <c r="J54" s="2309">
        <v>3</v>
      </c>
      <c r="K54" s="3373" t="s">
        <v>1360</v>
      </c>
      <c r="L54" s="3373"/>
      <c r="M54" s="2311" t="e">
        <f t="shared" ca="1" si="0"/>
        <v>#REF!</v>
      </c>
      <c r="N54" s="2309" t="str">
        <f t="shared" si="0"/>
        <v>增值额×税（费）率</v>
      </c>
      <c r="O54" s="2313" t="str">
        <f t="shared" si="0"/>
        <v>免征</v>
      </c>
    </row>
    <row r="55" spans="1:35" ht="24" customHeight="1">
      <c r="A55" s="3323" t="s">
        <v>1361</v>
      </c>
      <c r="B55" s="3324"/>
      <c r="C55" s="3324"/>
      <c r="D55" s="12" t="e">
        <f ca="1">IF(H55="个人住宅",0,ROUND(D45*I55,0))</f>
        <v>#REF!</v>
      </c>
      <c r="E55" s="1256" t="s">
        <v>1362</v>
      </c>
      <c r="F55" s="2339" t="str">
        <f>IF(H55="正常",I55,"免征")</f>
        <v>免征</v>
      </c>
      <c r="G55" s="2340"/>
      <c r="H55" s="2336"/>
      <c r="I55" s="157">
        <f>'数据-取费表'!B49</f>
        <v>5.0000000000000001E-4</v>
      </c>
      <c r="J55" s="2309">
        <f>IF(H59="非个人房产","",4)</f>
        <v>4</v>
      </c>
      <c r="K55" s="3373" t="str">
        <f>IF(H59="非个人房产","——","个人所得税")</f>
        <v>个人所得税</v>
      </c>
      <c r="L55" s="3373"/>
      <c r="M55" s="2314" t="e">
        <f ca="1">D59</f>
        <v>#REF!</v>
      </c>
      <c r="N55" s="1883" t="str">
        <f>E59</f>
        <v>差额计税</v>
      </c>
      <c r="O55" s="2315">
        <f>F59</f>
        <v>0.01</v>
      </c>
    </row>
    <row r="56" spans="1:35" ht="24.75">
      <c r="A56" s="3323"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396" t="str">
        <f>IF(项目基本情况!K6="上海银行","其他处置费用","")</f>
        <v/>
      </c>
      <c r="L56" s="3397"/>
      <c r="M56" s="2311" t="str">
        <f>IF(项目基本情况!K6="上海银行",M69,"")</f>
        <v/>
      </c>
      <c r="N56" s="3396" t="str">
        <f>IF(项目基本情况!K6="上海银行","包含处置中涉及的律师、诉讼、拍卖、评估等费用","")</f>
        <v/>
      </c>
      <c r="O56" s="3399"/>
    </row>
    <row r="57" spans="1:35" ht="12.75">
      <c r="A57" s="2153" t="s">
        <v>1341</v>
      </c>
      <c r="B57" s="3334" t="s">
        <v>1366</v>
      </c>
      <c r="C57" s="3335"/>
      <c r="D57" s="1478">
        <v>0</v>
      </c>
      <c r="E57" s="316" t="s">
        <v>1343</v>
      </c>
      <c r="F57" s="294"/>
      <c r="G57" s="2340"/>
      <c r="H57" s="2344"/>
      <c r="I57" s="1670"/>
      <c r="J57" s="3373">
        <f>IF(AND(J55="",J56=""),4,IF(项目基本情况!K6="上海银行",结果表!J56+1,结果表!J55+1))</f>
        <v>5</v>
      </c>
      <c r="K57" s="3373" t="s">
        <v>1367</v>
      </c>
      <c r="L57" s="2316" t="s">
        <v>1368</v>
      </c>
      <c r="M57" s="2317"/>
      <c r="N57" s="2318">
        <f ca="1">SUMIF(M52:M56,"&lt;9e307")</f>
        <v>0</v>
      </c>
      <c r="O57" s="2319"/>
      <c r="P57" s="2464" t="e">
        <f ca="1">N57/M49</f>
        <v>#VALUE!</v>
      </c>
    </row>
    <row r="58" spans="1:35" ht="24.75">
      <c r="A58" s="2153" t="s">
        <v>1352</v>
      </c>
      <c r="B58" s="3334" t="s">
        <v>1369</v>
      </c>
      <c r="C58" s="3308"/>
      <c r="D58" s="12" t="e">
        <f ca="1">IF(H58="转让取得",C81,C97)</f>
        <v>#REF!</v>
      </c>
      <c r="E58" s="1256" t="s">
        <v>1364</v>
      </c>
      <c r="F58" s="294" t="s">
        <v>28</v>
      </c>
      <c r="G58" s="2340"/>
      <c r="H58" s="2343"/>
      <c r="I58" s="1670"/>
      <c r="J58" s="3373"/>
      <c r="K58" s="3373"/>
      <c r="L58" s="2316" t="s">
        <v>1370</v>
      </c>
      <c r="M58" s="2320"/>
      <c r="N58" s="2321" t="str">
        <f ca="1">NUMBERSTRING(INT(N57*10000),2)&amp;"元整"</f>
        <v>零元整</v>
      </c>
      <c r="O58" s="2322"/>
    </row>
    <row r="59" spans="1:35" ht="24.75" thickBot="1">
      <c r="A59" s="3376" t="s">
        <v>1371</v>
      </c>
      <c r="B59" s="3377"/>
      <c r="C59" s="337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4">
        <f>J57+1</f>
        <v>6</v>
      </c>
      <c r="K59" s="3373" t="s">
        <v>1372</v>
      </c>
      <c r="L59" s="2309" t="s">
        <v>1368</v>
      </c>
      <c r="M59" s="2323"/>
      <c r="N59" s="2324" t="e">
        <f ca="1">M49-N57</f>
        <v>#VALUE!</v>
      </c>
      <c r="O59" s="2325"/>
    </row>
    <row r="60" spans="1:35" ht="12" customHeight="1">
      <c r="A60" s="1671"/>
      <c r="B60" s="646"/>
      <c r="C60" s="646"/>
      <c r="D60" s="646"/>
      <c r="E60" s="1466"/>
      <c r="F60" s="1670"/>
      <c r="G60" s="1670"/>
      <c r="H60" s="151"/>
      <c r="I60" s="121"/>
      <c r="J60" s="3375"/>
      <c r="K60" s="3373"/>
      <c r="L60" s="2316" t="s">
        <v>1370</v>
      </c>
      <c r="M60" s="2320"/>
      <c r="N60" s="2321" t="e">
        <f ca="1">NUMBERSTRING(INT(N59*10000),2)&amp;"元整"</f>
        <v>#VALUE!</v>
      </c>
      <c r="O60" s="2322"/>
    </row>
    <row r="61" spans="1:35" ht="13.5" thickBot="1">
      <c r="A61" s="3321" t="s">
        <v>1373</v>
      </c>
      <c r="B61" s="3321"/>
      <c r="C61" s="3321"/>
      <c r="D61" s="3321"/>
      <c r="E61" s="3321"/>
      <c r="F61" s="1670"/>
      <c r="G61" s="1670"/>
      <c r="H61" s="151"/>
      <c r="I61" s="121"/>
      <c r="J61" s="2309">
        <f>J59+1</f>
        <v>7</v>
      </c>
      <c r="K61" s="3373" t="s">
        <v>1374</v>
      </c>
      <c r="L61" s="3373"/>
      <c r="M61" s="2326"/>
      <c r="N61" s="2327" t="e">
        <f ca="1">ROUND(N59*10000/'数据-汇总表'!E3,0)</f>
        <v>#VALUE!</v>
      </c>
      <c r="O61" s="2328"/>
    </row>
    <row r="62" spans="1:35" ht="12.75">
      <c r="A62" s="3339" t="s">
        <v>1375</v>
      </c>
      <c r="B62" s="334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8"/>
      <c r="K69" s="1245" t="s">
        <v>1393</v>
      </c>
      <c r="L69" s="1245"/>
      <c r="M69" s="294" t="e">
        <f>ROUND(SUM(M63:M68),0)</f>
        <v>#VALUE!</v>
      </c>
      <c r="N69" s="2331" t="e">
        <f>M69/M49</f>
        <v>#VALUE!</v>
      </c>
      <c r="Z69" s="1623"/>
      <c r="AI69" s="1561"/>
    </row>
    <row r="70" spans="1:35" s="642" customFormat="1" ht="15" thickBot="1">
      <c r="A70" s="3360" t="s">
        <v>1394</v>
      </c>
      <c r="B70" s="3361"/>
      <c r="C70" s="3361"/>
      <c r="D70" s="3361"/>
      <c r="E70" s="3361"/>
      <c r="F70" s="3361"/>
      <c r="G70" s="3361"/>
      <c r="H70" s="336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1375</v>
      </c>
      <c r="B71" s="334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4" t="s">
        <v>1402</v>
      </c>
      <c r="F76" s="3308"/>
      <c r="G76" s="3308"/>
      <c r="H76" s="335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18" t="s">
        <v>1406</v>
      </c>
      <c r="F78" s="3319"/>
      <c r="G78" s="3319"/>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0" t="s">
        <v>1410</v>
      </c>
      <c r="B83" s="3361"/>
      <c r="C83" s="3361"/>
      <c r="D83" s="3361"/>
      <c r="E83" s="3361"/>
      <c r="F83" s="3361"/>
      <c r="G83" s="3361"/>
      <c r="H83" s="336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1375</v>
      </c>
      <c r="B84" s="334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0" t="s">
        <v>2129</v>
      </c>
      <c r="H90" s="340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8" t="s">
        <v>1422</v>
      </c>
      <c r="F92" s="3319"/>
      <c r="G92" s="3319"/>
      <c r="H92" s="332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18" t="s">
        <v>1406</v>
      </c>
      <c r="F93" s="3319"/>
      <c r="G93" s="3319"/>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2" t="s">
        <v>1428</v>
      </c>
      <c r="B100" s="3303"/>
      <c r="C100" s="3303"/>
      <c r="D100" s="3320"/>
      <c r="E100" s="3303" t="s">
        <v>1429</v>
      </c>
      <c r="F100" s="3303"/>
      <c r="G100" s="3303"/>
      <c r="H100" s="3320"/>
      <c r="I100" s="121"/>
    </row>
    <row r="101" spans="1:35" ht="18.75" customHeight="1">
      <c r="A101" s="3381" t="s">
        <v>1430</v>
      </c>
      <c r="B101" s="3382"/>
      <c r="C101" s="2370" t="str">
        <f>C4</f>
        <v>成本法 (元)</v>
      </c>
      <c r="D101" s="2371" t="str">
        <f>D4</f>
        <v>比较法-住宅</v>
      </c>
      <c r="E101" s="3395" t="s">
        <v>1431</v>
      </c>
      <c r="F101" s="3352"/>
      <c r="G101" s="1687" t="s">
        <v>1432</v>
      </c>
      <c r="H101" s="2380" t="e">
        <f ca="1">H118</f>
        <v>#REF!</v>
      </c>
      <c r="I101" s="121"/>
    </row>
    <row r="102" spans="1:35" ht="18.75" customHeight="1">
      <c r="A102" s="3354" t="s">
        <v>1433</v>
      </c>
      <c r="B102" s="2369" t="s">
        <v>1432</v>
      </c>
      <c r="C102" s="2370">
        <f ca="1">IF(D32="楼面单价",ROUND(C19,0),C19)</f>
        <v>16.872800000000002</v>
      </c>
      <c r="D102" s="2371">
        <f ca="1">IF(D32="楼面单价",ROUND(D19,0),D19)</f>
        <v>12.4308</v>
      </c>
      <c r="E102" s="3395"/>
      <c r="F102" s="3352"/>
      <c r="G102" s="1687" t="s">
        <v>1434</v>
      </c>
      <c r="H102" s="2340" t="e">
        <f ca="1">I118</f>
        <v>#REF!</v>
      </c>
      <c r="I102" s="121"/>
    </row>
    <row r="103" spans="1:35" ht="42.75" customHeight="1">
      <c r="A103" s="3354"/>
      <c r="B103" s="2369" t="s">
        <v>1434</v>
      </c>
      <c r="C103" s="2372">
        <f ca="1">C20</f>
        <v>4039</v>
      </c>
      <c r="D103" s="2373">
        <f ca="1">D20</f>
        <v>2976</v>
      </c>
      <c r="E103" s="3389" t="s">
        <v>1435</v>
      </c>
      <c r="F103" s="3390"/>
      <c r="G103" s="1688" t="s">
        <v>1436</v>
      </c>
      <c r="H103" s="2380">
        <f>IF(D36="正常操作",H104+H105+H106,H105+H106)</f>
        <v>0</v>
      </c>
      <c r="I103" s="121"/>
    </row>
    <row r="104" spans="1:35" ht="18.75" customHeight="1">
      <c r="A104" s="335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5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51" t="str">
        <f>IF(项目基本情况!E8="已注销","——","3.房地产抵押价值")</f>
        <v>3.房地产抵押价值</v>
      </c>
      <c r="F107" s="3352"/>
      <c r="G107" s="1687" t="s">
        <v>1432</v>
      </c>
      <c r="H107" s="2380" t="e">
        <f ca="1">IF(E107="——","——",H101-H103)</f>
        <v>#REF!</v>
      </c>
      <c r="I107" s="121"/>
    </row>
    <row r="108" spans="1:35" ht="18.75" customHeight="1">
      <c r="A108" s="121"/>
      <c r="B108" s="121"/>
      <c r="C108" s="121"/>
      <c r="D108" s="121"/>
      <c r="E108" s="3351"/>
      <c r="F108" s="3352"/>
      <c r="G108" s="1687" t="s">
        <v>1434</v>
      </c>
      <c r="H108" s="2340">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52"/>
      <c r="G109" s="1687" t="s">
        <v>1432</v>
      </c>
      <c r="H109" s="2383" t="str">
        <f>IF(E109="——","——",H101-H105-H106)</f>
        <v>——</v>
      </c>
      <c r="I109" s="121"/>
    </row>
    <row r="110" spans="1:35" ht="18.75" customHeight="1">
      <c r="A110" s="121"/>
      <c r="B110" s="121"/>
      <c r="C110" s="121"/>
      <c r="D110" s="121"/>
      <c r="E110" s="3351"/>
      <c r="F110" s="3352"/>
      <c r="G110" s="1687" t="s">
        <v>1434</v>
      </c>
      <c r="H110" s="2340"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53"/>
      <c r="G111" s="1687" t="s">
        <v>1432</v>
      </c>
      <c r="H111" s="2380" t="str">
        <f>IF(E111="——","——",N59)</f>
        <v>——</v>
      </c>
      <c r="I111" s="121"/>
    </row>
    <row r="112" spans="1:35" ht="18.75" customHeight="1" thickBot="1">
      <c r="A112" s="121"/>
      <c r="B112" s="121"/>
      <c r="C112" s="121"/>
      <c r="D112" s="121"/>
      <c r="E112" s="3384"/>
      <c r="F112" s="3385"/>
      <c r="G112" s="1690" t="s">
        <v>1434</v>
      </c>
      <c r="H112" s="2384" t="str">
        <f>IF(E111="——","——",N61)</f>
        <v>——</v>
      </c>
      <c r="I112" s="121"/>
    </row>
    <row r="113" spans="1:27" ht="18.75" customHeight="1">
      <c r="A113" s="121"/>
      <c r="B113" s="121"/>
      <c r="C113" s="121"/>
      <c r="D113" s="121"/>
      <c r="E113" s="3356" t="s">
        <v>1440</v>
      </c>
      <c r="F113" s="3356"/>
      <c r="G113" s="3356"/>
      <c r="H113" s="3356"/>
      <c r="I113" s="121"/>
    </row>
    <row r="114" spans="1:27" ht="3.75" customHeight="1">
      <c r="A114" s="646"/>
      <c r="B114" s="646"/>
      <c r="C114" s="646"/>
      <c r="D114" s="646"/>
      <c r="E114" s="1671"/>
      <c r="F114" s="1671"/>
      <c r="G114" s="1671"/>
      <c r="H114" s="1671"/>
      <c r="I114" s="646"/>
    </row>
    <row r="115" spans="1:27" ht="18.75" customHeight="1">
      <c r="A115" s="3366" t="s">
        <v>1442</v>
      </c>
      <c r="B115" s="3367"/>
      <c r="C115" s="3367"/>
      <c r="D115" s="3367"/>
      <c r="E115" s="3367"/>
      <c r="F115" s="3367"/>
      <c r="G115" s="3367"/>
      <c r="H115" s="3367"/>
      <c r="I115" s="3368"/>
    </row>
    <row r="116" spans="1:27" ht="27" customHeight="1">
      <c r="A116" s="3322" t="s">
        <v>1443</v>
      </c>
      <c r="B116" s="3357" t="s">
        <v>1444</v>
      </c>
      <c r="C116" s="3357" t="s">
        <v>1445</v>
      </c>
      <c r="D116" s="3370" t="s">
        <v>1446</v>
      </c>
      <c r="E116" s="3371"/>
      <c r="F116" s="3365" t="s">
        <v>1447</v>
      </c>
      <c r="G116" s="3365"/>
      <c r="H116" s="3322" t="s">
        <v>1448</v>
      </c>
      <c r="I116" s="3322"/>
    </row>
    <row r="117" spans="1:27" ht="18.75" customHeight="1">
      <c r="A117" s="3322"/>
      <c r="B117" s="3358"/>
      <c r="C117" s="335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41.77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2" t="s">
        <v>1452</v>
      </c>
      <c r="B119" s="3322"/>
      <c r="C119" s="3322"/>
      <c r="D119" s="3362" t="e">
        <f ca="1">NUMBERSTRING(INT(D118*10000),2)&amp;"元整"</f>
        <v>#REF!</v>
      </c>
      <c r="E119" s="3364"/>
      <c r="F119" s="3362" t="e">
        <f ca="1">NUMBERSTRING(INT(F118*10000),2)&amp;"元整"</f>
        <v>#REF!</v>
      </c>
      <c r="G119" s="3364"/>
      <c r="H119" s="3362" t="e">
        <f ca="1">NUMBERSTRING(INT(H118*10000),2)&amp;"元整"</f>
        <v>#REF!</v>
      </c>
      <c r="I119" s="3364"/>
    </row>
    <row r="120" spans="1:27" ht="18.75" customHeight="1">
      <c r="A120" s="3386" t="str">
        <f>IF(项目基本情况!B9="房地产市场价值","",MID(E103,3,LEN(E103)-2))</f>
        <v/>
      </c>
      <c r="B120" s="3387"/>
      <c r="C120" s="3388"/>
      <c r="D120" s="3386">
        <f>H103</f>
        <v>0</v>
      </c>
      <c r="E120" s="3387"/>
      <c r="F120" s="3387"/>
      <c r="G120" s="3387"/>
      <c r="H120" s="3387"/>
      <c r="I120" s="33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2" t="s">
        <v>1452</v>
      </c>
      <c r="B121" s="3363"/>
      <c r="C121" s="3364"/>
      <c r="D121" s="3362" t="str">
        <f>IF(D120=0,"零元整",NUMBERSTRING(INT(D120*10000),2)&amp;"元整")</f>
        <v>零元整</v>
      </c>
      <c r="E121" s="3363"/>
      <c r="F121" s="3363"/>
      <c r="G121" s="3363"/>
      <c r="H121" s="3363"/>
      <c r="I121" s="3364"/>
      <c r="AA121" s="684"/>
    </row>
    <row r="122" spans="1:27" ht="18.75" customHeight="1">
      <c r="A122" s="3353" t="str">
        <f>IF(项目基本情况!B9="房地产市场价值","",MID(E107,3,LEN(E107)-2))</f>
        <v/>
      </c>
      <c r="B122" s="3353"/>
      <c r="C122" s="3353"/>
      <c r="D122" s="3386" t="e">
        <f ca="1">H107</f>
        <v>#REF!</v>
      </c>
      <c r="E122" s="3387"/>
      <c r="F122" s="3387"/>
      <c r="G122" s="3387"/>
      <c r="H122" s="3387"/>
      <c r="I122" s="3388"/>
      <c r="AA122" s="684"/>
    </row>
    <row r="123" spans="1:27" ht="18.75" customHeight="1">
      <c r="A123" s="3322" t="s">
        <v>1452</v>
      </c>
      <c r="B123" s="3322"/>
      <c r="C123" s="3322"/>
      <c r="D123" s="3362" t="e">
        <f ca="1">NUMBERSTRING(INT(D122*10000),2)&amp;"元整"</f>
        <v>#REF!</v>
      </c>
      <c r="E123" s="3363"/>
      <c r="F123" s="3363"/>
      <c r="G123" s="3363"/>
      <c r="H123" s="3363"/>
      <c r="I123" s="3364"/>
      <c r="AA123" s="684"/>
    </row>
    <row r="124" spans="1:27" ht="18.75" customHeight="1">
      <c r="A124" s="3353" t="str">
        <f>IF(项目基本情况!B9="房地产市场价值","",MID(E109,3,LEN(E109)-2))</f>
        <v/>
      </c>
      <c r="B124" s="3353"/>
      <c r="C124" s="3353"/>
      <c r="D124" s="3386" t="str">
        <f>H109</f>
        <v>——</v>
      </c>
      <c r="E124" s="3387"/>
      <c r="F124" s="3387"/>
      <c r="G124" s="3387"/>
      <c r="H124" s="3387"/>
      <c r="I124" s="3388"/>
      <c r="AA124" s="684"/>
    </row>
    <row r="125" spans="1:27" ht="18.75" customHeight="1">
      <c r="A125" s="3322" t="s">
        <v>1452</v>
      </c>
      <c r="B125" s="3322"/>
      <c r="C125" s="3322"/>
      <c r="D125" s="3362" t="e">
        <f>NUMBERSTRING(INT(D124*10000),2)&amp;"元整"</f>
        <v>#VALUE!</v>
      </c>
      <c r="E125" s="3363"/>
      <c r="F125" s="3363"/>
      <c r="G125" s="3363"/>
      <c r="H125" s="3363"/>
      <c r="I125" s="3364"/>
      <c r="AA125" s="684"/>
    </row>
    <row r="126" spans="1:27" ht="18.75" customHeight="1">
      <c r="A126" s="3353" t="str">
        <f>IF(项目基本情况!B9="房地产市场价值","",MID(E111,3,LEN(E111)-2))</f>
        <v/>
      </c>
      <c r="B126" s="3353"/>
      <c r="C126" s="3353"/>
      <c r="D126" s="3386" t="str">
        <f>H111</f>
        <v>——</v>
      </c>
      <c r="E126" s="3387"/>
      <c r="F126" s="3387"/>
      <c r="G126" s="3387"/>
      <c r="H126" s="3387"/>
      <c r="I126" s="3388"/>
      <c r="AA126" s="684"/>
    </row>
    <row r="127" spans="1:27" ht="18.75" customHeight="1">
      <c r="A127" s="3322" t="s">
        <v>1452</v>
      </c>
      <c r="B127" s="3322"/>
      <c r="C127" s="3322"/>
      <c r="D127" s="3362" t="e">
        <f>NUMBERSTRING(INT(D126*10000),2)&amp;"元整"</f>
        <v>#VALUE!</v>
      </c>
      <c r="E127" s="3363"/>
      <c r="F127" s="3363"/>
      <c r="G127" s="3363"/>
      <c r="H127" s="3363"/>
      <c r="I127" s="3364"/>
      <c r="AA127" s="684"/>
    </row>
    <row r="128" spans="1:27" ht="21.75" customHeight="1">
      <c r="A128" s="3369" t="s">
        <v>1453</v>
      </c>
      <c r="B128" s="3369"/>
      <c r="C128" s="3369"/>
      <c r="D128" s="3369"/>
      <c r="E128" s="3369"/>
      <c r="F128" s="3369"/>
      <c r="G128" s="3369"/>
      <c r="H128" s="3369"/>
      <c r="I128" s="33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41.77</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41.77</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5.4900000000000004E-2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41.77</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02" t="s">
        <v>1544</v>
      </c>
    </row>
    <row r="43" spans="1:7" ht="13.5" customHeight="1">
      <c r="A43" s="734" t="s">
        <v>347</v>
      </c>
      <c r="B43" s="207" t="s">
        <v>1545</v>
      </c>
      <c r="C43" s="230">
        <f ca="1">ROUND(IF('数据-取费表'!B22&lt;=1,C39*F22*'数据-取费表'!B21/2,C39*(POWER((1+F22),'数据-取费表'!B21/2)-1)),0)</f>
        <v>0</v>
      </c>
      <c r="D43" s="230"/>
      <c r="E43" s="230"/>
      <c r="F43" s="231"/>
      <c r="G43" s="3403"/>
    </row>
    <row r="44" spans="1:7" ht="13.5" customHeight="1">
      <c r="A44" s="734" t="s">
        <v>348</v>
      </c>
      <c r="B44" s="207" t="s">
        <v>1546</v>
      </c>
      <c r="C44" s="230">
        <f ca="1">ROUND(IF('数据-取费表'!B22&lt;=1,C40*F22*'数据-取费表'!B21/2,C40*(POWER((1+F22),'数据-取费表'!B21/2)-1)),4)</f>
        <v>5.0000000000000001E-4</v>
      </c>
      <c r="D44" s="230"/>
      <c r="E44" s="230"/>
      <c r="F44" s="231"/>
      <c r="G44" s="3404"/>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0" t="str">
        <f>项目基本情况!B1</f>
        <v>北京市房地产市场价值预评估</v>
      </c>
      <c r="C37" s="3220"/>
      <c r="D37" s="3220"/>
      <c r="E37" s="3220"/>
      <c r="F37" s="3220"/>
      <c r="G37" s="3220"/>
      <c r="H37" s="3220"/>
      <c r="I37" s="322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16.872800000000002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77307</v>
      </c>
      <c r="D5" s="203" t="s">
        <v>1469</v>
      </c>
      <c r="E5" s="204" t="s">
        <v>1470</v>
      </c>
      <c r="F5" s="204" t="s">
        <v>1471</v>
      </c>
      <c r="G5" s="205"/>
    </row>
    <row r="6" spans="1:8" s="206" customFormat="1" ht="13.5" customHeight="1">
      <c r="A6" s="732" t="s">
        <v>1472</v>
      </c>
      <c r="B6" s="207" t="s">
        <v>1473</v>
      </c>
      <c r="C6" s="208">
        <f>'[2]2002基准地价'!$E$18</f>
        <v>75019</v>
      </c>
      <c r="D6" s="209"/>
      <c r="E6" s="210"/>
      <c r="F6" s="210"/>
      <c r="G6" s="211"/>
    </row>
    <row r="7" spans="1:8" s="206" customFormat="1" ht="13.5" customHeight="1">
      <c r="A7" s="732" t="s">
        <v>1474</v>
      </c>
      <c r="B7" s="207" t="s">
        <v>1475</v>
      </c>
      <c r="C7" s="212">
        <f>ROUND(C6*F7,0)</f>
        <v>2288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41.77</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41.77</v>
      </c>
      <c r="E19" s="203">
        <f>'数据-取费表'!B31</f>
        <v>0</v>
      </c>
      <c r="F19" s="223"/>
      <c r="G19" s="1714" t="s">
        <v>3413</v>
      </c>
    </row>
    <row r="20" spans="1:7" s="206" customFormat="1" ht="13.5" customHeight="1">
      <c r="A20" s="247" t="s">
        <v>1574</v>
      </c>
      <c r="B20" s="202" t="s">
        <v>1575</v>
      </c>
      <c r="C20" s="224">
        <f>ROUND((C5+C19)*F20,0)</f>
        <v>773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8763</v>
      </c>
      <c r="D22" s="227">
        <f ca="1">C26</f>
        <v>5.0000000000000001E-4</v>
      </c>
      <c r="E22" s="228" t="s">
        <v>1579</v>
      </c>
      <c r="F22" s="229">
        <f ca="1">'数据-取费表'!B40</f>
        <v>5.4900000000000004E-2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7808</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7808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101502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62655</v>
      </c>
      <c r="D34" s="209"/>
      <c r="E34" s="212"/>
      <c r="F34" s="249"/>
      <c r="G34" s="211"/>
    </row>
    <row r="35" spans="1:7" ht="13.5" customHeight="1">
      <c r="A35" s="734" t="s">
        <v>351</v>
      </c>
      <c r="B35" s="207" t="s">
        <v>1527</v>
      </c>
      <c r="C35" s="212">
        <f ca="1">ROUND(C34*F35,0)</f>
        <v>1880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1880</v>
      </c>
      <c r="D36" s="212"/>
      <c r="E36" s="212"/>
      <c r="F36" s="251">
        <f>'数据-取费表'!B34</f>
        <v>0.03</v>
      </c>
      <c r="G36" s="252" t="s">
        <v>1530</v>
      </c>
    </row>
    <row r="37" spans="1:7" s="250" customFormat="1" ht="13.5" customHeight="1">
      <c r="A37" s="734" t="s">
        <v>353</v>
      </c>
      <c r="B37" s="207" t="s">
        <v>1531</v>
      </c>
      <c r="C37" s="241">
        <f ca="1">ROUND(E37*D37,0)</f>
        <v>6266</v>
      </c>
      <c r="D37" s="209">
        <f ca="1">D19</f>
        <v>41.77</v>
      </c>
      <c r="E37" s="241">
        <f>'数据-取费表'!B35</f>
        <v>150</v>
      </c>
      <c r="F37" s="251"/>
      <c r="G37" s="253"/>
    </row>
    <row r="38" spans="1:7" ht="13.5" customHeight="1">
      <c r="A38" s="734" t="s">
        <v>354</v>
      </c>
      <c r="B38" s="207" t="s">
        <v>1533</v>
      </c>
      <c r="C38" s="212">
        <f ca="1">ROUND(C34*F38,0)</f>
        <v>940</v>
      </c>
      <c r="D38" s="212"/>
      <c r="E38" s="212"/>
      <c r="F38" s="251">
        <f>'数据-取费表'!B36</f>
        <v>1.4999999999999999E-2</v>
      </c>
      <c r="G38" s="211" t="s">
        <v>1528</v>
      </c>
    </row>
    <row r="39" spans="1:7" s="206" customFormat="1" ht="13.5" customHeight="1">
      <c r="A39" s="247" t="s">
        <v>1534</v>
      </c>
      <c r="B39" s="202" t="s">
        <v>1535</v>
      </c>
      <c r="C39" s="224">
        <f ca="1">ROUND(C33*F20,0)</f>
        <v>736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4082</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4042</v>
      </c>
      <c r="D42" s="230"/>
      <c r="E42" s="230"/>
      <c r="F42" s="231"/>
      <c r="G42" s="3402" t="s">
        <v>1591</v>
      </c>
    </row>
    <row r="43" spans="1:7" ht="13.5" customHeight="1">
      <c r="A43" s="734" t="s">
        <v>347</v>
      </c>
      <c r="B43" s="207" t="s">
        <v>1545</v>
      </c>
      <c r="C43" s="230">
        <f ca="1">ROUND(IF('数据-取费表'!B22&lt;=1,C39*F22*'数据-取费表'!B20/2,C39*(POWER((1+F22),'数据-取费表'!B20/2)-1)),0)</f>
        <v>40</v>
      </c>
      <c r="D43" s="230"/>
      <c r="E43" s="230"/>
      <c r="F43" s="231"/>
      <c r="G43" s="3403"/>
    </row>
    <row r="44" spans="1:7" ht="13.5" customHeight="1">
      <c r="A44" s="734" t="s">
        <v>348</v>
      </c>
      <c r="B44" s="207" t="s">
        <v>1546</v>
      </c>
      <c r="C44" s="230">
        <f ca="1">ROUND(IF('数据-取费表'!B22&lt;=1,C40*F22*'数据-取费表'!B20/2,C40*(POWER((1+F22),'数据-取费表'!B20/2)-1)),4)</f>
        <v>5.0000000000000001E-4</v>
      </c>
      <c r="D44" s="230"/>
      <c r="E44" s="230"/>
      <c r="F44" s="231"/>
      <c r="G44" s="3404"/>
    </row>
    <row r="45" spans="1:7" s="206" customFormat="1" ht="13.5" customHeight="1">
      <c r="A45" s="247" t="s">
        <v>1547</v>
      </c>
      <c r="B45" s="236" t="s">
        <v>1513</v>
      </c>
      <c r="C45" s="237">
        <f ca="1">C46</f>
        <v>7436</v>
      </c>
      <c r="D45" s="227">
        <f ca="1">C47</f>
        <v>1E-3</v>
      </c>
      <c r="E45" s="228" t="s">
        <v>1539</v>
      </c>
      <c r="F45" s="238">
        <f ca="1">F27</f>
        <v>0.1</v>
      </c>
      <c r="G45" s="239" t="s">
        <v>1548</v>
      </c>
    </row>
    <row r="46" spans="1:7" s="206" customFormat="1" ht="13.5" customHeight="1">
      <c r="A46" s="734" t="s">
        <v>346</v>
      </c>
      <c r="B46" s="240" t="s">
        <v>1549</v>
      </c>
      <c r="C46" s="241">
        <f ca="1">ROUND((C33+C39)*F27,0)</f>
        <v>7436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92091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67226</v>
      </c>
      <c r="D51" s="224"/>
      <c r="E51" s="224"/>
      <c r="F51" s="256"/>
      <c r="G51" s="226" t="s">
        <v>1560</v>
      </c>
    </row>
    <row r="52" spans="1:7" s="200" customFormat="1" ht="16.5" thickBot="1">
      <c r="A52" s="257" t="s">
        <v>1561</v>
      </c>
      <c r="B52" s="258"/>
      <c r="C52" s="259">
        <f ca="1">C31+C51</f>
        <v>168728</v>
      </c>
      <c r="D52" s="258"/>
      <c r="E52" s="258"/>
      <c r="F52" s="258"/>
      <c r="G52" s="260"/>
    </row>
    <row r="55" spans="1:7" ht="15">
      <c r="B55" s="262" t="s">
        <v>1562</v>
      </c>
      <c r="C55" s="263"/>
    </row>
    <row r="56" spans="1:7">
      <c r="B56" s="265" t="s">
        <v>802</v>
      </c>
      <c r="C56" s="267">
        <f ca="1">1-C57</f>
        <v>0.60199999999999998</v>
      </c>
    </row>
    <row r="57" spans="1:7">
      <c r="B57" s="265" t="s">
        <v>803</v>
      </c>
      <c r="C57" s="266">
        <f ca="1">ROUND(C51/C52,3)</f>
        <v>0.39800000000000002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41.77</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41.77</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5.4900000000000004E-2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0</v>
      </c>
      <c r="D6" s="147" t="s">
        <v>2109</v>
      </c>
      <c r="E6" s="294" t="s">
        <v>696</v>
      </c>
      <c r="F6" s="295">
        <f ca="1">INDIRECT("'数据-取费表'!u"&amp;$G$1)</f>
        <v>0</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1.9799999999999998E-2</v>
      </c>
      <c r="G11" s="1292"/>
      <c r="H11" s="1014"/>
      <c r="I11" s="1275" t="s">
        <v>679</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5" t="s">
        <v>837</v>
      </c>
      <c r="L53" s="340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7" t="s">
        <v>694</v>
      </c>
      <c r="C6" s="1011">
        <f ca="1">ROUND(F6*F8*F7*(1-F9),0)</f>
        <v>0</v>
      </c>
      <c r="D6" s="147" t="s">
        <v>2106</v>
      </c>
      <c r="E6" s="294" t="s">
        <v>696</v>
      </c>
      <c r="F6" s="295">
        <f ca="1">INDIRECT("'数据-取费表'!u"&amp;$G$1)</f>
        <v>0</v>
      </c>
      <c r="G6" s="1292"/>
      <c r="H6" s="1006" t="s">
        <v>398</v>
      </c>
      <c r="I6" s="3407" t="s">
        <v>694</v>
      </c>
      <c r="J6" s="293">
        <f ca="1">ROUND(M6*M8*M7*(1-M9),0)</f>
        <v>0</v>
      </c>
      <c r="K6" s="1284" t="s">
        <v>2107</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1.9799999999999998E-2</v>
      </c>
      <c r="G11" s="1292"/>
      <c r="H11" s="1014"/>
      <c r="I11" s="1275" t="s">
        <v>891</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5" t="s">
        <v>837</v>
      </c>
      <c r="L53" s="340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16" t="s">
        <v>2319</v>
      </c>
      <c r="K2" s="3417"/>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18" t="s">
        <v>2329</v>
      </c>
      <c r="K3" s="3419"/>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18" t="s">
        <v>2331</v>
      </c>
      <c r="K4" s="3419"/>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24" t="s">
        <v>2335</v>
      </c>
      <c r="B6" s="3425"/>
      <c r="C6" s="3426"/>
      <c r="D6" s="2621"/>
      <c r="E6" s="2622"/>
      <c r="F6" s="2623"/>
      <c r="G6" s="2624"/>
      <c r="H6" s="2599"/>
      <c r="I6" s="2600"/>
      <c r="J6" s="3410">
        <v>1</v>
      </c>
      <c r="K6" s="3411"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10"/>
      <c r="K7" s="3412"/>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27" t="s">
        <v>2349</v>
      </c>
      <c r="C8" s="3428"/>
      <c r="D8" s="2640" t="s">
        <v>2350</v>
      </c>
      <c r="E8" s="2641" t="s">
        <v>2351</v>
      </c>
      <c r="F8" s="2642" t="s">
        <v>2352</v>
      </c>
      <c r="G8" s="2643"/>
      <c r="H8" s="2599"/>
      <c r="I8" s="2600"/>
      <c r="J8" s="3410"/>
      <c r="K8" s="3412"/>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27" t="s">
        <v>2355</v>
      </c>
      <c r="C9" s="3428"/>
      <c r="D9" s="2640">
        <f>ROUND(D6*E9,0)</f>
        <v>0</v>
      </c>
      <c r="E9" s="2644"/>
      <c r="F9" s="2645" t="s">
        <v>2356</v>
      </c>
      <c r="G9" s="2624"/>
      <c r="H9" s="2599"/>
      <c r="I9" s="2600"/>
      <c r="J9" s="3410"/>
      <c r="K9" s="3412"/>
      <c r="L9" s="2634" t="s">
        <v>2357</v>
      </c>
      <c r="M9" s="2635"/>
      <c r="N9" s="2611"/>
      <c r="O9" s="2636"/>
      <c r="P9" s="2636"/>
      <c r="Q9" s="2637">
        <v>365</v>
      </c>
      <c r="R9" s="2638">
        <f t="shared" si="0"/>
        <v>0</v>
      </c>
      <c r="S9" s="2592"/>
      <c r="T9" s="2592"/>
      <c r="U9" s="2592"/>
      <c r="V9" s="2600"/>
    </row>
    <row r="10" spans="1:22" s="2604" customFormat="1" ht="13.15" customHeight="1">
      <c r="A10" s="2639">
        <v>2</v>
      </c>
      <c r="B10" s="3427" t="s">
        <v>2358</v>
      </c>
      <c r="C10" s="3428"/>
      <c r="D10" s="2640">
        <f>ROUND(D6*E10,0)</f>
        <v>0</v>
      </c>
      <c r="E10" s="2644"/>
      <c r="F10" s="2645" t="s">
        <v>2359</v>
      </c>
      <c r="G10" s="2624"/>
      <c r="H10" s="2599"/>
      <c r="I10" s="2600"/>
      <c r="J10" s="3410"/>
      <c r="K10" s="3412"/>
      <c r="L10" s="2634" t="s">
        <v>2360</v>
      </c>
      <c r="M10" s="2635"/>
      <c r="N10" s="2611"/>
      <c r="O10" s="2636"/>
      <c r="P10" s="2636"/>
      <c r="Q10" s="2637">
        <v>365</v>
      </c>
      <c r="R10" s="2638">
        <f t="shared" si="0"/>
        <v>0</v>
      </c>
      <c r="S10" s="2592"/>
      <c r="T10" s="2592"/>
      <c r="U10" s="2592"/>
      <c r="V10" s="2600"/>
    </row>
    <row r="11" spans="1:22" s="2604" customFormat="1" ht="13.15" customHeight="1">
      <c r="A11" s="2639">
        <v>3</v>
      </c>
      <c r="B11" s="3427" t="s">
        <v>2361</v>
      </c>
      <c r="C11" s="3428"/>
      <c r="D11" s="2640">
        <f>D12+D14+D15+D16</f>
        <v>0</v>
      </c>
      <c r="E11" s="2646" t="e">
        <f>D11/D6</f>
        <v>#DIV/0!</v>
      </c>
      <c r="F11" s="2642"/>
      <c r="G11" s="2643"/>
      <c r="H11" s="2599"/>
      <c r="I11" s="2600"/>
      <c r="J11" s="3410"/>
      <c r="K11" s="3412"/>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20" t="s">
        <v>2364</v>
      </c>
      <c r="C12" s="3421"/>
      <c r="D12" s="2648">
        <f>ROUND(D13*1.2%*(1-30%),0)</f>
        <v>0</v>
      </c>
      <c r="E12" s="2649">
        <v>1.2E-2</v>
      </c>
      <c r="F12" s="2642" t="s">
        <v>2365</v>
      </c>
      <c r="G12" s="2643"/>
      <c r="H12" s="2599"/>
      <c r="I12" s="2600"/>
      <c r="J12" s="3410"/>
      <c r="K12" s="3412"/>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10"/>
      <c r="K13" s="3412"/>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20" t="s">
        <v>2370</v>
      </c>
      <c r="C14" s="3421"/>
      <c r="D14" s="2648">
        <f>ROUND(E14*B5/10000,0)</f>
        <v>0</v>
      </c>
      <c r="E14" s="2637"/>
      <c r="F14" s="2642" t="s">
        <v>2371</v>
      </c>
      <c r="G14" s="2643"/>
      <c r="H14" s="2599"/>
      <c r="I14" s="2600"/>
      <c r="J14" s="3410"/>
      <c r="K14" s="3413"/>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20" t="s">
        <v>2374</v>
      </c>
      <c r="C15" s="3421"/>
      <c r="D15" s="2648">
        <f>ROUND(D6*E15,0)</f>
        <v>0</v>
      </c>
      <c r="E15" s="2649">
        <v>5.5E-2</v>
      </c>
      <c r="F15" s="2642" t="s">
        <v>2375</v>
      </c>
      <c r="G15" s="2624"/>
      <c r="H15" s="2599"/>
      <c r="I15" s="2600"/>
      <c r="J15" s="3410">
        <v>2</v>
      </c>
      <c r="K15" s="3411"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20" t="s">
        <v>2383</v>
      </c>
      <c r="C16" s="3421"/>
      <c r="D16" s="2659">
        <f>D6*E16</f>
        <v>0</v>
      </c>
      <c r="E16" s="2660"/>
      <c r="F16" s="2645" t="s">
        <v>2384</v>
      </c>
      <c r="G16" s="2624"/>
      <c r="H16" s="2599"/>
      <c r="I16" s="2600"/>
      <c r="J16" s="3410"/>
      <c r="K16" s="3412"/>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22" t="s">
        <v>2386</v>
      </c>
      <c r="C17" s="3423"/>
      <c r="D17" s="2662">
        <f>ROUND(D6*E17,0)</f>
        <v>0</v>
      </c>
      <c r="E17" s="2663"/>
      <c r="F17" s="2664" t="s">
        <v>2387</v>
      </c>
      <c r="G17" s="2624"/>
      <c r="H17" s="2599"/>
      <c r="I17" s="2600"/>
      <c r="J17" s="3410"/>
      <c r="K17" s="3412"/>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10"/>
      <c r="K18" s="3412"/>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10"/>
      <c r="K19" s="3413"/>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0">
        <v>3</v>
      </c>
      <c r="K20" s="3411"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10"/>
      <c r="K21" s="3412"/>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10"/>
      <c r="K22" s="3412"/>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10"/>
      <c r="K23" s="3412"/>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10"/>
      <c r="K24" s="3413"/>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14">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1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16" t="s">
        <v>2319</v>
      </c>
      <c r="K32" s="3417"/>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18" t="s">
        <v>2329</v>
      </c>
      <c r="K33" s="3419"/>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18" t="s">
        <v>2331</v>
      </c>
      <c r="K34" s="341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10">
        <v>1</v>
      </c>
      <c r="K36" s="3411"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10"/>
      <c r="K37" s="3412"/>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0"/>
      <c r="K38" s="3412"/>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10"/>
      <c r="K39" s="3412"/>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10"/>
      <c r="K40" s="3413"/>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4">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1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9" t="s">
        <v>1654</v>
      </c>
      <c r="C5" s="3430"/>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Normal="60" zoomScaleSheetLayoutView="100" workbookViewId="0">
      <selection activeCell="F91" sqref="F91"/>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12.4308</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2976</v>
      </c>
      <c r="C3" s="344" t="s">
        <v>1665</v>
      </c>
      <c r="D3" s="343">
        <f>IF(D1="",'数据-汇总表'!E3,SUMIF('数据-汇总表'!$C19:$C33,D1,'数据-汇总表'!$E19:$E33))</f>
        <v>41.77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49" t="s">
        <v>1667</v>
      </c>
      <c r="D4" s="3450"/>
      <c r="E4" s="3451" t="s">
        <v>1668</v>
      </c>
      <c r="F4" s="3452"/>
      <c r="G4" s="3449" t="s">
        <v>1669</v>
      </c>
      <c r="H4" s="3450"/>
      <c r="I4" s="3449" t="s">
        <v>1670</v>
      </c>
      <c r="J4" s="3450"/>
      <c r="K4" s="1744" t="s">
        <v>1671</v>
      </c>
      <c r="L4" s="2486"/>
      <c r="M4" s="2487"/>
      <c r="N4" s="2487"/>
      <c r="O4" s="2487"/>
      <c r="P4" s="3453" t="s">
        <v>1672</v>
      </c>
      <c r="Q4" s="3454"/>
      <c r="R4" s="3459" t="s">
        <v>1668</v>
      </c>
      <c r="S4" s="3460"/>
      <c r="T4" s="3459" t="s">
        <v>1669</v>
      </c>
      <c r="U4" s="3460"/>
      <c r="V4" s="3435" t="s">
        <v>1670</v>
      </c>
      <c r="W4" s="3435"/>
      <c r="X4" s="1265"/>
      <c r="Y4" s="3459" t="s">
        <v>1672</v>
      </c>
      <c r="Z4" s="3460"/>
      <c r="AA4" s="3446" t="s">
        <v>1668</v>
      </c>
      <c r="AB4" s="3446" t="s">
        <v>1669</v>
      </c>
      <c r="AC4" s="3446" t="s">
        <v>1670</v>
      </c>
    </row>
    <row r="5" spans="1:29" ht="15">
      <c r="A5" s="348"/>
      <c r="B5" s="349"/>
      <c r="C5" s="3472" t="s">
        <v>1673</v>
      </c>
      <c r="D5" s="3468"/>
      <c r="E5" s="3476" t="str">
        <f>Sheet1!A2</f>
        <v>八宝山南路重兴园</v>
      </c>
      <c r="F5" s="3477"/>
      <c r="G5" s="3467" t="str">
        <f>Sheet1!A3</f>
        <v>北重西厂区宿舍</v>
      </c>
      <c r="H5" s="3468"/>
      <c r="I5" s="3473" t="str">
        <f>Sheet1!A4</f>
        <v>八宝山南路重兴园</v>
      </c>
      <c r="J5" s="3468"/>
      <c r="K5" s="1745"/>
      <c r="L5" s="2486"/>
      <c r="M5" s="2487"/>
      <c r="N5" s="2487"/>
      <c r="O5" s="2487"/>
      <c r="P5" s="3455"/>
      <c r="Q5" s="3456"/>
      <c r="R5" s="3461"/>
      <c r="S5" s="3462"/>
      <c r="T5" s="3461"/>
      <c r="U5" s="3462"/>
      <c r="V5" s="3435"/>
      <c r="W5" s="3435"/>
      <c r="X5" s="1265"/>
      <c r="Y5" s="3461"/>
      <c r="Z5" s="3462"/>
      <c r="AA5" s="3447"/>
      <c r="AB5" s="3447"/>
      <c r="AC5" s="3447"/>
    </row>
    <row r="6" spans="1:29" ht="15.75" thickBot="1">
      <c r="A6" s="350"/>
      <c r="B6" s="351"/>
      <c r="C6" s="3465" t="s">
        <v>1677</v>
      </c>
      <c r="D6" s="3466"/>
      <c r="E6" s="3474" t="s">
        <v>1677</v>
      </c>
      <c r="F6" s="3475"/>
      <c r="G6" s="3465" t="s">
        <v>1677</v>
      </c>
      <c r="H6" s="3466"/>
      <c r="I6" s="3465" t="s">
        <v>1677</v>
      </c>
      <c r="J6" s="3466"/>
      <c r="K6" s="1745" t="s">
        <v>1678</v>
      </c>
      <c r="L6" s="2486"/>
      <c r="M6" s="2487"/>
      <c r="N6" s="2487"/>
      <c r="O6" s="2487"/>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f>Sheet1!W2</f>
        <v>38079</v>
      </c>
      <c r="F7" s="357">
        <f>SUMIF(58:58,YEAR(E7)&amp;"-"&amp;MONTH(E7),59:59)</f>
        <v>100</v>
      </c>
      <c r="G7" s="356">
        <f>Sheet1!W3</f>
        <v>37823</v>
      </c>
      <c r="H7" s="355">
        <f>SUMIF(58:58,YEAR(G7)&amp;"-"&amp;MONTH(G7),59:59)</f>
        <v>98.5</v>
      </c>
      <c r="I7" s="356">
        <f>Sheet1!W4</f>
        <v>37963</v>
      </c>
      <c r="J7" s="355">
        <f>SUMIF(58:58,YEAR(I7)&amp;"-"&amp;MONTH(I7),59:59)</f>
        <v>99.5</v>
      </c>
      <c r="K7" s="1746"/>
      <c r="L7" s="2488"/>
      <c r="M7" s="2439"/>
      <c r="N7" s="2439"/>
      <c r="O7" s="2439"/>
      <c r="P7" s="3469" t="s">
        <v>1680</v>
      </c>
      <c r="Q7" s="3471"/>
      <c r="R7" s="664" t="s">
        <v>20</v>
      </c>
      <c r="S7" s="665">
        <f t="shared" ref="S7:S15" si="0">F7</f>
        <v>100</v>
      </c>
      <c r="T7" s="664" t="s">
        <v>20</v>
      </c>
      <c r="U7" s="665">
        <f t="shared" ref="U7:U15" si="1">H7</f>
        <v>98.5</v>
      </c>
      <c r="V7" s="664" t="s">
        <v>20</v>
      </c>
      <c r="W7" s="665">
        <f t="shared" ref="W7:W15" si="2">J7</f>
        <v>99.5</v>
      </c>
      <c r="X7" s="666"/>
      <c r="Y7" s="3469" t="s">
        <v>1680</v>
      </c>
      <c r="Z7" s="3470"/>
      <c r="AA7" s="50">
        <f>D7/F7</f>
        <v>1</v>
      </c>
      <c r="AB7" s="50">
        <f>D7/H7</f>
        <v>1.015228426395939</v>
      </c>
      <c r="AC7" s="50">
        <f>D7/J7</f>
        <v>1.0050251256281406</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469" t="s">
        <v>1683</v>
      </c>
      <c r="Q8" s="3470"/>
      <c r="R8" s="664" t="s">
        <v>20</v>
      </c>
      <c r="S8" s="665">
        <f t="shared" si="0"/>
        <v>100</v>
      </c>
      <c r="T8" s="664" t="s">
        <v>20</v>
      </c>
      <c r="U8" s="665">
        <f t="shared" si="1"/>
        <v>100</v>
      </c>
      <c r="V8" s="664" t="s">
        <v>20</v>
      </c>
      <c r="W8" s="665">
        <f t="shared" si="2"/>
        <v>100</v>
      </c>
      <c r="X8" s="666"/>
      <c r="Y8" s="3469" t="s">
        <v>1683</v>
      </c>
      <c r="Z8" s="3470"/>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445"/>
      <c r="Q11" s="530" t="str">
        <f t="shared" si="6"/>
        <v>容积率</v>
      </c>
      <c r="R11" s="664" t="s">
        <v>18</v>
      </c>
      <c r="S11" s="665">
        <f t="shared" si="0"/>
        <v>100</v>
      </c>
      <c r="T11" s="664" t="s">
        <v>18</v>
      </c>
      <c r="U11" s="665">
        <f t="shared" si="1"/>
        <v>100</v>
      </c>
      <c r="V11" s="664" t="s">
        <v>18</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45"/>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45"/>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45"/>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3" t="s">
        <v>1691</v>
      </c>
      <c r="Q15" s="1263" t="str">
        <f t="shared" si="6"/>
        <v>居住社区成熟度</v>
      </c>
      <c r="R15" s="667" t="s">
        <v>18</v>
      </c>
      <c r="S15" s="668">
        <f t="shared" si="0"/>
        <v>100</v>
      </c>
      <c r="T15" s="667" t="s">
        <v>18</v>
      </c>
      <c r="U15" s="668">
        <f t="shared" si="1"/>
        <v>100</v>
      </c>
      <c r="V15" s="667" t="s">
        <v>18</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4"/>
      <c r="Q16" s="1263"/>
      <c r="R16" s="667"/>
      <c r="S16" s="668"/>
      <c r="T16" s="667"/>
      <c r="U16" s="668"/>
      <c r="V16" s="667"/>
      <c r="W16" s="668"/>
      <c r="X16" s="1265"/>
      <c r="Y16" s="3437"/>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4"/>
      <c r="Q18" s="1263"/>
      <c r="R18" s="667"/>
      <c r="S18" s="668"/>
      <c r="T18" s="667"/>
      <c r="U18" s="668"/>
      <c r="V18" s="667"/>
      <c r="W18" s="668"/>
      <c r="X18" s="1265"/>
      <c r="Y18" s="3437"/>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4"/>
      <c r="Q20" s="1263"/>
      <c r="R20" s="667"/>
      <c r="S20" s="668"/>
      <c r="T20" s="667"/>
      <c r="U20" s="668"/>
      <c r="V20" s="667"/>
      <c r="W20" s="668"/>
      <c r="X20" s="1265"/>
      <c r="Y20" s="343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4"/>
      <c r="Q22" s="1263"/>
      <c r="R22" s="667"/>
      <c r="S22" s="668"/>
      <c r="T22" s="667"/>
      <c r="U22" s="668"/>
      <c r="V22" s="667"/>
      <c r="W22" s="668"/>
      <c r="X22" s="1265"/>
      <c r="Y22" s="343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4"/>
      <c r="Q24" s="1263"/>
      <c r="R24" s="667"/>
      <c r="S24" s="668"/>
      <c r="T24" s="667"/>
      <c r="U24" s="668"/>
      <c r="V24" s="667"/>
      <c r="W24" s="668"/>
      <c r="X24" s="1265"/>
      <c r="Y24" s="343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3456</v>
      </c>
      <c r="D26" s="374">
        <v>100</v>
      </c>
      <c r="E26" s="1760" t="s">
        <v>3411</v>
      </c>
      <c r="F26" s="374">
        <f>SUMIF(88:88,E26,89:89)-SUMIF(88:88,C26,89:89)+100</f>
        <v>108</v>
      </c>
      <c r="G26" s="1761" t="s">
        <v>3411</v>
      </c>
      <c r="H26" s="374">
        <f>SUMIF(88:88,G26,89:89)-SUMIF(88:88,C26,89:89)+100</f>
        <v>108</v>
      </c>
      <c r="I26" s="1761" t="s">
        <v>3411</v>
      </c>
      <c r="J26" s="374">
        <f>SUMIF(88:88,I26,89:89)-SUMIF(88:88,C26,89:89)+100</f>
        <v>108</v>
      </c>
      <c r="K26" s="365">
        <v>2</v>
      </c>
      <c r="L26" s="2492"/>
      <c r="M26" s="2487"/>
      <c r="N26" s="2487"/>
      <c r="O26" s="2487"/>
      <c r="P26" s="3444"/>
      <c r="Q26" s="1263" t="str">
        <f t="shared" si="11"/>
        <v>朝向</v>
      </c>
      <c r="R26" s="667" t="s">
        <v>18</v>
      </c>
      <c r="S26" s="668">
        <f t="shared" si="12"/>
        <v>108</v>
      </c>
      <c r="T26" s="667" t="s">
        <v>18</v>
      </c>
      <c r="U26" s="668">
        <f t="shared" si="13"/>
        <v>108</v>
      </c>
      <c r="V26" s="667" t="s">
        <v>18</v>
      </c>
      <c r="W26" s="668">
        <f t="shared" si="14"/>
        <v>108</v>
      </c>
      <c r="X26" s="1265"/>
      <c r="Y26" s="3437"/>
      <c r="Z26" s="1264" t="str">
        <f>Q26</f>
        <v>朝向</v>
      </c>
      <c r="AA26" s="1264">
        <f t="shared" si="15"/>
        <v>0.92592592592592593</v>
      </c>
      <c r="AB26" s="1264">
        <f t="shared" si="16"/>
        <v>0.92592592592592593</v>
      </c>
      <c r="AC26" s="1264">
        <f t="shared" si="17"/>
        <v>0.92592592592592593</v>
      </c>
    </row>
    <row r="27" spans="1:29" s="102" customFormat="1" ht="15">
      <c r="A27" s="370"/>
      <c r="B27" s="3148" t="s">
        <v>3764</v>
      </c>
      <c r="C27" s="403" t="s">
        <v>3765</v>
      </c>
      <c r="D27" s="401">
        <v>100</v>
      </c>
      <c r="E27" s="403" t="str">
        <f>Sheet1!X2</f>
        <v>6/24</v>
      </c>
      <c r="F27" s="401">
        <f>SUMIF(90:90,E27,91:91)-SUMIF(90:90,C27,91:91)+100</f>
        <v>101</v>
      </c>
      <c r="G27" s="402" t="str">
        <f>Sheet1!X3</f>
        <v>4/6</v>
      </c>
      <c r="H27" s="401">
        <f>SUMIF(90:90,G27,91:91)-SUMIF(90:90,C27,91:91)+100</f>
        <v>101</v>
      </c>
      <c r="I27" s="402" t="str">
        <f>Sheet1!X4</f>
        <v>16/24</v>
      </c>
      <c r="J27" s="401">
        <f>SUMIF(90:90,I27,91:91)-SUMIF(90:90,C27,91:91)+100</f>
        <v>101</v>
      </c>
      <c r="K27" s="1748"/>
      <c r="L27" s="2488"/>
      <c r="M27" s="2439"/>
      <c r="N27" s="2439"/>
      <c r="O27" s="2439"/>
      <c r="P27" s="3444"/>
      <c r="Q27" s="530" t="str">
        <f t="shared" si="11"/>
        <v>楼层</v>
      </c>
      <c r="R27" s="664" t="s">
        <v>18</v>
      </c>
      <c r="S27" s="665">
        <f t="shared" si="12"/>
        <v>101</v>
      </c>
      <c r="T27" s="664" t="s">
        <v>18</v>
      </c>
      <c r="U27" s="665">
        <f t="shared" si="13"/>
        <v>101</v>
      </c>
      <c r="V27" s="664" t="s">
        <v>18</v>
      </c>
      <c r="W27" s="665">
        <f t="shared" si="14"/>
        <v>101</v>
      </c>
      <c r="X27" s="666"/>
      <c r="Y27" s="3437"/>
      <c r="Z27" s="50" t="str">
        <f>Q27</f>
        <v>楼层</v>
      </c>
      <c r="AA27" s="1264">
        <f t="shared" si="15"/>
        <v>0.99009900990099009</v>
      </c>
      <c r="AB27" s="1264">
        <f t="shared" si="16"/>
        <v>0.99009900990099009</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
      <c r="A32" s="379" t="s">
        <v>1694</v>
      </c>
      <c r="B32" s="60" t="s">
        <v>1695</v>
      </c>
      <c r="C32" s="1764" t="s">
        <v>3407</v>
      </c>
      <c r="D32" s="405">
        <v>100</v>
      </c>
      <c r="E32" s="1765" t="s">
        <v>3772</v>
      </c>
      <c r="F32" s="400">
        <f>SUMIF(100:100,E32,101:101)-SUMIF(100:100,C32,101:101)+100</f>
        <v>99.5</v>
      </c>
      <c r="G32" s="1764" t="s">
        <v>3407</v>
      </c>
      <c r="H32" s="405">
        <f>SUMIF(100:100,G32,101:101)-SUMIF(100:100,C32,101:101)+100</f>
        <v>100</v>
      </c>
      <c r="I32" s="1765" t="s">
        <v>3772</v>
      </c>
      <c r="J32" s="374">
        <f>SUMIF(100:100,I32,101:101)-SUMIF(100:100,C32,101:101)+100</f>
        <v>99.5</v>
      </c>
      <c r="K32" s="365">
        <v>0.5</v>
      </c>
      <c r="L32" s="2492"/>
      <c r="M32" s="2487"/>
      <c r="N32" s="2487"/>
      <c r="O32" s="2487"/>
      <c r="P32" s="3438" t="s">
        <v>1696</v>
      </c>
      <c r="Q32" s="1263" t="str">
        <f t="shared" si="11"/>
        <v>建筑类型</v>
      </c>
      <c r="R32" s="667" t="s">
        <v>18</v>
      </c>
      <c r="S32" s="668">
        <f t="shared" si="12"/>
        <v>99.5</v>
      </c>
      <c r="T32" s="667" t="s">
        <v>18</v>
      </c>
      <c r="U32" s="668">
        <f t="shared" si="13"/>
        <v>100</v>
      </c>
      <c r="V32" s="667" t="s">
        <v>18</v>
      </c>
      <c r="W32" s="668">
        <f t="shared" si="14"/>
        <v>99.5</v>
      </c>
      <c r="X32" s="1265"/>
      <c r="Y32" s="3441" t="s">
        <v>1696</v>
      </c>
      <c r="Z32" s="1264" t="str">
        <f t="shared" si="18"/>
        <v>建筑类型</v>
      </c>
      <c r="AA32" s="1264">
        <f t="shared" si="15"/>
        <v>1.0050251256281406</v>
      </c>
      <c r="AB32" s="1264">
        <f t="shared" si="16"/>
        <v>1</v>
      </c>
      <c r="AC32" s="1264">
        <f t="shared" si="17"/>
        <v>1.0050251256281406</v>
      </c>
    </row>
    <row r="33" spans="1:29" s="408" customFormat="1" ht="15">
      <c r="A33" s="406"/>
      <c r="B33" s="364" t="s">
        <v>1697</v>
      </c>
      <c r="C33" s="407">
        <f>项目基本情况!C17</f>
        <v>41.77</v>
      </c>
      <c r="D33" s="119">
        <v>100</v>
      </c>
      <c r="E33" s="369">
        <f>Sheet1!F2</f>
        <v>143.30000000000001</v>
      </c>
      <c r="F33" s="364">
        <f>LOOKUP(E33,103:103,104:104)-LOOKUP(C33,103:103,104:104)+100</f>
        <v>99</v>
      </c>
      <c r="G33" s="368">
        <f>Sheet1!F3</f>
        <v>63.23</v>
      </c>
      <c r="H33" s="119">
        <f>LOOKUP(G33,103:103,104:104)-LOOKUP(C33,103:103,104:104)+100</f>
        <v>99.5</v>
      </c>
      <c r="I33" s="369">
        <f>Sheet1!F4</f>
        <v>143.30000000000001</v>
      </c>
      <c r="J33" s="119">
        <f>LOOKUP(I33,103:103,104:104)-LOOKUP(C33,103:103,104:104)+100</f>
        <v>99</v>
      </c>
      <c r="K33" s="1748"/>
      <c r="L33" s="2491"/>
      <c r="M33" s="2493"/>
      <c r="N33" s="2493"/>
      <c r="O33" s="2493"/>
      <c r="P33" s="3439"/>
      <c r="Q33" s="531" t="str">
        <f t="shared" si="11"/>
        <v>项目建筑规模</v>
      </c>
      <c r="R33" s="669" t="s">
        <v>18</v>
      </c>
      <c r="S33" s="670">
        <f t="shared" si="12"/>
        <v>99</v>
      </c>
      <c r="T33" s="669" t="s">
        <v>18</v>
      </c>
      <c r="U33" s="670">
        <f t="shared" si="13"/>
        <v>99.5</v>
      </c>
      <c r="V33" s="669" t="s">
        <v>18</v>
      </c>
      <c r="W33" s="670">
        <f t="shared" si="14"/>
        <v>99</v>
      </c>
      <c r="X33" s="671"/>
      <c r="Y33" s="3441"/>
      <c r="Z33" s="672" t="str">
        <f t="shared" si="18"/>
        <v>项目建筑规模</v>
      </c>
      <c r="AA33" s="1264">
        <f t="shared" si="15"/>
        <v>1.0101010101010102</v>
      </c>
      <c r="AB33" s="1264">
        <f t="shared" si="16"/>
        <v>1.0050251256281406</v>
      </c>
      <c r="AC33" s="1264">
        <f t="shared" si="17"/>
        <v>1.0101010101010102</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
      <c r="A37" s="410"/>
      <c r="B37" s="364" t="s">
        <v>1701</v>
      </c>
      <c r="C37" s="411">
        <v>0.73</v>
      </c>
      <c r="D37" s="119">
        <v>100</v>
      </c>
      <c r="E37" s="411">
        <v>0.98</v>
      </c>
      <c r="F37" s="364">
        <f>LOOKUP(E37,112:112,113:113)-LOOKUP(C37,112:112,113:113)+100</f>
        <v>106</v>
      </c>
      <c r="G37" s="413">
        <v>0.73</v>
      </c>
      <c r="H37" s="119">
        <f>LOOKUP(G37,112:112,113:113)-LOOKUP(C37,112:112,113:113)+100</f>
        <v>100</v>
      </c>
      <c r="I37" s="412">
        <v>0.98</v>
      </c>
      <c r="J37" s="119">
        <f>LOOKUP(I37,112:112,113:113)-LOOKUP(C37,112:112,113:113)+100</f>
        <v>106</v>
      </c>
      <c r="K37" s="365">
        <v>3</v>
      </c>
      <c r="L37" s="2488"/>
      <c r="M37" s="2439"/>
      <c r="N37" s="2439"/>
      <c r="O37" s="2439"/>
      <c r="P37" s="3439"/>
      <c r="Q37" s="530" t="str">
        <f t="shared" si="11"/>
        <v>成新度</v>
      </c>
      <c r="R37" s="664" t="s">
        <v>18</v>
      </c>
      <c r="S37" s="665">
        <f t="shared" si="12"/>
        <v>106</v>
      </c>
      <c r="T37" s="664" t="s">
        <v>18</v>
      </c>
      <c r="U37" s="665">
        <f t="shared" si="13"/>
        <v>100</v>
      </c>
      <c r="V37" s="664" t="s">
        <v>18</v>
      </c>
      <c r="W37" s="665">
        <f t="shared" si="14"/>
        <v>106</v>
      </c>
      <c r="X37" s="666"/>
      <c r="Y37" s="3441"/>
      <c r="Z37" s="50" t="str">
        <f t="shared" si="18"/>
        <v>成新度</v>
      </c>
      <c r="AA37" s="50">
        <f t="shared" si="15"/>
        <v>0.94339622641509435</v>
      </c>
      <c r="AB37" s="50">
        <f t="shared" si="16"/>
        <v>1</v>
      </c>
      <c r="AC37" s="50">
        <f t="shared" si="17"/>
        <v>0.94339622641509435</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9" t="s">
        <v>1696</v>
      </c>
      <c r="Q38" s="1263" t="str">
        <f t="shared" si="11"/>
        <v>物业管理</v>
      </c>
      <c r="R38" s="667" t="s">
        <v>18</v>
      </c>
      <c r="S38" s="668">
        <f t="shared" si="12"/>
        <v>100</v>
      </c>
      <c r="T38" s="667" t="s">
        <v>18</v>
      </c>
      <c r="U38" s="668">
        <f t="shared" si="13"/>
        <v>100</v>
      </c>
      <c r="V38" s="667" t="s">
        <v>18</v>
      </c>
      <c r="W38" s="668">
        <f t="shared" si="14"/>
        <v>100</v>
      </c>
      <c r="X38" s="1265"/>
      <c r="Y38" s="344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105</v>
      </c>
      <c r="G42" s="1760" t="s">
        <v>3402</v>
      </c>
      <c r="H42" s="374">
        <f>SUMIF(122:122,G42,123:123)-SUMIF(122:122,C42,123:123)+100</f>
        <v>105</v>
      </c>
      <c r="I42" s="1761" t="s">
        <v>3402</v>
      </c>
      <c r="J42" s="374">
        <f>SUMIF(122:122,I42,123:123)-SUMIF(122:122,C42,123:123)+100</f>
        <v>105</v>
      </c>
      <c r="K42" s="365">
        <v>5</v>
      </c>
      <c r="L42" s="2492"/>
      <c r="M42" s="2487"/>
      <c r="N42" s="2487"/>
      <c r="O42" s="2487"/>
      <c r="P42" s="3439"/>
      <c r="Q42" s="1263" t="str">
        <f t="shared" si="11"/>
        <v>内部装修</v>
      </c>
      <c r="R42" s="667" t="s">
        <v>18</v>
      </c>
      <c r="S42" s="668">
        <f t="shared" si="12"/>
        <v>105</v>
      </c>
      <c r="T42" s="667" t="s">
        <v>18</v>
      </c>
      <c r="U42" s="668">
        <f t="shared" si="13"/>
        <v>105</v>
      </c>
      <c r="V42" s="667" t="s">
        <v>18</v>
      </c>
      <c r="W42" s="668">
        <f t="shared" si="14"/>
        <v>105</v>
      </c>
      <c r="X42" s="1265"/>
      <c r="Y42" s="3441"/>
      <c r="Z42" s="1264" t="str">
        <f t="shared" si="18"/>
        <v>内部装修</v>
      </c>
      <c r="AA42" s="1264">
        <f t="shared" si="15"/>
        <v>0.95238095238095233</v>
      </c>
      <c r="AB42" s="1264">
        <f t="shared" si="16"/>
        <v>0.95238095238095233</v>
      </c>
      <c r="AC42" s="1264">
        <f t="shared" si="17"/>
        <v>0.95238095238095233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 hidden="1">
      <c r="A44" s="410"/>
      <c r="B44" s="3148" t="s">
        <v>3410</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439"/>
      <c r="Q44" s="530" t="str">
        <f t="shared" si="11"/>
        <v>建成年代</v>
      </c>
      <c r="R44" s="664" t="s">
        <v>18</v>
      </c>
      <c r="S44" s="665">
        <f t="shared" si="12"/>
        <v>100</v>
      </c>
      <c r="T44" s="664" t="s">
        <v>18</v>
      </c>
      <c r="U44" s="665">
        <f t="shared" si="13"/>
        <v>100</v>
      </c>
      <c r="V44" s="664" t="s">
        <v>18</v>
      </c>
      <c r="W44" s="665">
        <f t="shared" si="14"/>
        <v>100</v>
      </c>
      <c r="X44" s="666"/>
      <c r="Y44" s="344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5">
      <c r="A47" s="416" t="s">
        <v>1708</v>
      </c>
      <c r="B47" s="417"/>
      <c r="C47" s="1081" t="s">
        <v>16</v>
      </c>
      <c r="D47" s="418"/>
      <c r="E47" s="419">
        <f>Sheet1!L2</f>
        <v>3489</v>
      </c>
      <c r="F47" s="420"/>
      <c r="G47" s="421">
        <f>Sheet1!L3</f>
        <v>3321.21</v>
      </c>
      <c r="H47" s="422"/>
      <c r="I47" s="419">
        <f>Sheet1!L4</f>
        <v>3630</v>
      </c>
      <c r="J47" s="422"/>
      <c r="K47" s="1767"/>
      <c r="L47" s="2494"/>
      <c r="M47" s="2487"/>
      <c r="N47" s="2487"/>
      <c r="O47" s="2487"/>
      <c r="P47" s="3434" t="str">
        <f>A47</f>
        <v>成交单价（元/平方米）</v>
      </c>
      <c r="Q47" s="3434"/>
      <c r="R47" s="3435">
        <f>E47</f>
        <v>3489</v>
      </c>
      <c r="S47" s="3435"/>
      <c r="T47" s="3435">
        <f>G47</f>
        <v>3321.21</v>
      </c>
      <c r="U47" s="3435"/>
      <c r="V47" s="3435">
        <f>I47</f>
        <v>3630</v>
      </c>
      <c r="W47" s="3435"/>
      <c r="X47" s="385"/>
      <c r="Y47" s="673"/>
      <c r="Z47" s="385"/>
      <c r="AA47" s="385"/>
      <c r="AB47" s="385"/>
      <c r="AC47" s="385"/>
    </row>
    <row r="48" spans="1:29" ht="15.75" thickBot="1">
      <c r="A48" s="423" t="s">
        <v>1709</v>
      </c>
      <c r="B48" s="424"/>
      <c r="C48" s="1082">
        <f>R49</f>
        <v>2976</v>
      </c>
      <c r="D48" s="2141" t="s">
        <v>2138</v>
      </c>
      <c r="E48" s="1083">
        <f>R48</f>
        <v>2917</v>
      </c>
      <c r="F48" s="2142"/>
      <c r="G48" s="1082">
        <f>T48</f>
        <v>2959</v>
      </c>
      <c r="H48" s="2142"/>
      <c r="I48" s="1083">
        <f>V48</f>
        <v>3051</v>
      </c>
      <c r="J48" s="2142"/>
      <c r="K48" s="2143">
        <f>F48+H48+J48</f>
        <v>0</v>
      </c>
      <c r="L48" s="2494"/>
      <c r="M48" s="2487"/>
      <c r="N48" s="2487"/>
      <c r="O48" s="2487"/>
      <c r="P48" s="3434" t="str">
        <f>A48</f>
        <v>比较价值（元/平方米）</v>
      </c>
      <c r="Q48" s="3434"/>
      <c r="R48" s="3435">
        <f>IF(F1="售价",ROUND(PRODUCT(R47,AA7:AA46),0),ROUND(PRODUCT(R47,AA7:AA46),1))</f>
        <v>2917</v>
      </c>
      <c r="S48" s="3435"/>
      <c r="T48" s="3435">
        <f>IF(F1="售价",ROUND(PRODUCT(T47,AB7:AB46),0),ROUND(PRODUCT(T47,AB7:AB46),1))</f>
        <v>2959</v>
      </c>
      <c r="U48" s="3435"/>
      <c r="V48" s="3435">
        <f>IF(F1="售价",ROUND(PRODUCT(V47,AC7:AC46),0),ROUND(PRODUCT(V47,AC7:AC46),1))</f>
        <v>3051</v>
      </c>
      <c r="W48" s="3435"/>
      <c r="X48" s="385"/>
      <c r="Y48" s="385"/>
      <c r="Z48" s="385"/>
      <c r="AA48" s="385"/>
      <c r="AB48" s="385"/>
      <c r="AC48" s="385"/>
    </row>
    <row r="49" spans="1:29" ht="15.75" thickBot="1">
      <c r="A49" s="427" t="s">
        <v>1710</v>
      </c>
      <c r="B49" s="428"/>
      <c r="C49" s="1084">
        <f>R49</f>
        <v>2976</v>
      </c>
      <c r="D49" s="351"/>
      <c r="E49" s="351"/>
      <c r="F49" s="351"/>
      <c r="G49" s="351"/>
      <c r="H49" s="351"/>
      <c r="I49" s="351"/>
      <c r="J49" s="351"/>
      <c r="K49" s="1768"/>
      <c r="L49" s="2494"/>
      <c r="M49" s="2487"/>
      <c r="N49" s="2487"/>
      <c r="O49" s="2487"/>
      <c r="P49" s="3431" t="str">
        <f>A49</f>
        <v>估价对象XX用房的比较价值（楼面单价，元/平方米）</v>
      </c>
      <c r="Q49" s="3432"/>
      <c r="R49" s="3433">
        <f>IF(F1="售价",ROUND(IF(D48="简单平均",AVERAGE(R48:V48),R48*F48+T48*H48+V48*J48),0),ROUND(IF(D48="简单平均",AVERAGE(R48:V48),R48*F48+T48*H48+V48*J48),1))</f>
        <v>2976</v>
      </c>
      <c r="S49" s="3433"/>
      <c r="T49" s="3433"/>
      <c r="U49" s="3433"/>
      <c r="V49" s="3433"/>
      <c r="W49" s="343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0.1960918752142613</v>
      </c>
      <c r="F52" s="435" t="str">
        <f>IF(OR(E52&gt;=0.3,E52&lt;=-0.3),"超过30%","")</f>
        <v/>
      </c>
      <c r="G52" s="434">
        <f>IF(G47&lt;G48,G48/G47-1,G47/G48-1)</f>
        <v>0.12240959783710714</v>
      </c>
      <c r="H52" s="435" t="str">
        <f>IF(OR(G52&gt;=0.3,G52&lt;=-0.3),"超过30%","")</f>
        <v/>
      </c>
      <c r="I52" s="434">
        <f>IF(I47&lt;I48,I48/I47-1,I47/I48-1)</f>
        <v>0.18977384464110125</v>
      </c>
      <c r="J52" s="435" t="str">
        <f>IF(OR(I52&gt;=0.3,I52&lt;=-0.3),"超过30%","")</f>
        <v/>
      </c>
      <c r="K52" s="2499"/>
      <c r="L52" s="2495"/>
      <c r="M52" s="2487"/>
      <c r="N52" s="2487"/>
      <c r="O52" s="2487"/>
    </row>
    <row r="53" spans="1:29" ht="13.5" customHeight="1">
      <c r="A53" s="2487"/>
      <c r="B53" s="2487"/>
      <c r="C53" s="432" t="s">
        <v>1712</v>
      </c>
      <c r="D53" s="436"/>
      <c r="E53" s="434">
        <f>IF(E48&lt;G48,G48/E48-1,E48/G48-1)</f>
        <v>1.4398354473774466E-2</v>
      </c>
      <c r="F53" s="435" t="str">
        <f>IF(OR(E53&gt;=0.2,E53&lt;=-0.2),"超过20%","")</f>
        <v/>
      </c>
      <c r="G53" s="434">
        <f>IF(G48&lt;I48,I48/G48-1,G48/I48-1)</f>
        <v>3.1091584994930699E-2</v>
      </c>
      <c r="H53" s="435" t="str">
        <f>IF(OR(G53&gt;=0.2,G53&lt;=-0.2),"超过20%","")</f>
        <v/>
      </c>
      <c r="I53" s="434">
        <f>IF(I48&lt;E48,E48/I48-1,I48/E48-1)</f>
        <v>4.5937607130613678E-2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5.0520743945730695E-2</v>
      </c>
      <c r="F54" s="435" t="str">
        <f>IF(OR(E54&gt;=0.3,E54&lt;=-0.3),"超过30%","")</f>
        <v/>
      </c>
      <c r="G54" s="434">
        <f>IF(G47&lt;I47,I47/G47-1,G47/I47-1)</f>
        <v>9.2975150622815139E-2</v>
      </c>
      <c r="H54" s="435" t="str">
        <f>IF(OR(G54&gt;=0.3,G54&lt;=-0.3),"超过30%","")</f>
        <v/>
      </c>
      <c r="I54" s="434">
        <f>IF(I47&lt;E47,E47/I47-1,I47/E47-1)</f>
        <v>4.0412725709372266E-2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2004-4</v>
      </c>
      <c r="D58" s="1104">
        <f>EDATE(C58,-1)</f>
        <v>38047</v>
      </c>
      <c r="E58" s="1104">
        <f>EDATE(D58,-1)</f>
        <v>38018</v>
      </c>
      <c r="F58" s="1104">
        <f t="shared" ref="F58:O58" si="19">EDATE(E58,-1)</f>
        <v>37987</v>
      </c>
      <c r="G58" s="1104">
        <f t="shared" si="19"/>
        <v>37956</v>
      </c>
      <c r="H58" s="1104">
        <f t="shared" si="19"/>
        <v>37926</v>
      </c>
      <c r="I58" s="1104">
        <f t="shared" si="19"/>
        <v>37895</v>
      </c>
      <c r="J58" s="1104">
        <f t="shared" si="19"/>
        <v>37865</v>
      </c>
      <c r="K58" s="1104">
        <f t="shared" si="19"/>
        <v>37834</v>
      </c>
      <c r="L58" s="1104">
        <f t="shared" si="19"/>
        <v>37803</v>
      </c>
      <c r="M58" s="1104">
        <f t="shared" si="19"/>
        <v>37773</v>
      </c>
      <c r="N58" s="1104">
        <f t="shared" si="19"/>
        <v>37742</v>
      </c>
      <c r="O58" s="1104">
        <f t="shared" si="19"/>
        <v>37712</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3412</v>
      </c>
      <c r="D88" s="3145" t="s">
        <v>3453</v>
      </c>
      <c r="E88" s="3145" t="s">
        <v>3454</v>
      </c>
      <c r="F88" s="3190" t="s">
        <v>3455</v>
      </c>
      <c r="G88" s="3145" t="s">
        <v>3457</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219" t="s">
        <v>3765</v>
      </c>
      <c r="D90" s="3219" t="s">
        <v>3769</v>
      </c>
      <c r="E90" s="3219" t="s">
        <v>3770</v>
      </c>
      <c r="F90" s="3219" t="s">
        <v>3771</v>
      </c>
      <c r="G90" s="3219"/>
      <c r="H90" s="486"/>
      <c r="I90" s="486"/>
      <c r="J90" s="486"/>
      <c r="K90" s="486"/>
      <c r="L90" s="487"/>
      <c r="M90" s="488"/>
      <c r="N90" s="881"/>
      <c r="O90" s="881"/>
      <c r="P90" s="1776"/>
      <c r="Q90" s="490"/>
    </row>
    <row r="91" spans="1:17" s="408" customFormat="1" ht="15.75" thickBot="1">
      <c r="A91" s="484"/>
      <c r="B91" s="474"/>
      <c r="C91" s="491">
        <v>100</v>
      </c>
      <c r="D91" s="491">
        <v>101</v>
      </c>
      <c r="E91" s="491">
        <v>101</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3408</v>
      </c>
      <c r="D100" s="3147" t="s">
        <v>3773</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99.5</v>
      </c>
      <c r="E101" s="475">
        <f t="shared" si="25"/>
        <v>99</v>
      </c>
      <c r="F101" s="475">
        <f t="shared" si="25"/>
        <v>98.5</v>
      </c>
      <c r="G101" s="475">
        <f t="shared" si="25"/>
        <v>98</v>
      </c>
      <c r="H101" s="475">
        <f t="shared" si="25"/>
        <v>97.5</v>
      </c>
      <c r="I101" s="475">
        <f t="shared" si="25"/>
        <v>97</v>
      </c>
      <c r="J101" s="475">
        <f t="shared" si="25"/>
        <v>96.5</v>
      </c>
      <c r="K101" s="475">
        <f t="shared" si="25"/>
        <v>96</v>
      </c>
      <c r="L101" s="475">
        <f t="shared" si="25"/>
        <v>95.5</v>
      </c>
      <c r="M101" s="475">
        <f t="shared" si="25"/>
        <v>95</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100(含)-150</v>
      </c>
      <c r="F102" s="509" t="str">
        <f t="shared" si="26"/>
        <v>150(含)-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v>150</v>
      </c>
      <c r="G103" s="6"/>
      <c r="H103" s="6"/>
      <c r="I103" s="6"/>
      <c r="J103" s="524"/>
      <c r="K103" s="524"/>
      <c r="L103" s="525"/>
      <c r="M103" s="526"/>
      <c r="N103" s="881"/>
      <c r="O103" s="881"/>
      <c r="P103" s="1776"/>
      <c r="Q103" s="490"/>
    </row>
    <row r="104" spans="1:17" s="408" customFormat="1" ht="15.75" thickBot="1">
      <c r="A104" s="484"/>
      <c r="B104" s="474"/>
      <c r="C104" s="491">
        <v>100</v>
      </c>
      <c r="D104" s="467">
        <f>C104-$G$104</f>
        <v>99.5</v>
      </c>
      <c r="E104" s="467">
        <f t="shared" ref="E104:F104" si="27">D104-$G$104</f>
        <v>99</v>
      </c>
      <c r="F104" s="467">
        <f t="shared" si="27"/>
        <v>98.5</v>
      </c>
      <c r="G104" s="467">
        <v>0.5</v>
      </c>
      <c r="H104" s="467"/>
      <c r="I104" s="467"/>
      <c r="J104" s="467"/>
      <c r="K104" s="467"/>
      <c r="L104" s="467"/>
      <c r="M104" s="467"/>
      <c r="N104" s="880"/>
      <c r="O104" s="880"/>
      <c r="P104" s="1776"/>
      <c r="Q104" s="490"/>
    </row>
    <row r="105" spans="1:17" ht="15" thickTop="1">
      <c r="A105" s="409"/>
      <c r="B105" s="469" t="s">
        <v>1738</v>
      </c>
      <c r="C105" s="3145" t="s">
        <v>3409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27A8C-2EF5-40A9-B208-353B1A3D9BF4}">
  <dimension ref="A1:X4"/>
  <sheetViews>
    <sheetView workbookViewId="0">
      <selection activeCell="V10" sqref="V10"/>
    </sheetView>
  </sheetViews>
  <sheetFormatPr defaultRowHeight="13.5"/>
  <cols>
    <col min="23" max="23" width="9.375" bestFit="1" customWidth="1"/>
  </cols>
  <sheetData>
    <row r="1" spans="1:24" s="3157" customFormat="1" ht="15.75">
      <c r="A1" s="3151" t="s">
        <v>3414</v>
      </c>
      <c r="B1" s="3151" t="s">
        <v>3415</v>
      </c>
      <c r="C1" s="3151" t="s">
        <v>3416</v>
      </c>
      <c r="D1" s="3151" t="s">
        <v>3417</v>
      </c>
      <c r="E1" s="3151" t="s">
        <v>3418</v>
      </c>
      <c r="F1" s="3154" t="s">
        <v>3419</v>
      </c>
      <c r="G1" s="3152" t="s">
        <v>3420</v>
      </c>
      <c r="H1" s="3152" t="s">
        <v>3421</v>
      </c>
      <c r="I1" s="3152" t="s">
        <v>3422</v>
      </c>
      <c r="J1" s="3152" t="s">
        <v>3423</v>
      </c>
      <c r="K1" s="3155" t="s">
        <v>3424</v>
      </c>
      <c r="L1" s="3156" t="s">
        <v>3425</v>
      </c>
      <c r="M1" s="3154" t="s">
        <v>3426</v>
      </c>
      <c r="N1" s="3153" t="s">
        <v>3427</v>
      </c>
      <c r="O1" s="3155" t="s">
        <v>3428</v>
      </c>
      <c r="P1" s="3152" t="s">
        <v>3429</v>
      </c>
      <c r="Q1" s="3152" t="s">
        <v>3430</v>
      </c>
      <c r="R1" s="3153" t="s">
        <v>3431</v>
      </c>
      <c r="S1" s="3152" t="s">
        <v>3432</v>
      </c>
      <c r="T1" s="3152" t="s">
        <v>3433</v>
      </c>
      <c r="U1" s="3152" t="s">
        <v>3434</v>
      </c>
      <c r="V1" s="3152" t="s">
        <v>3435</v>
      </c>
    </row>
    <row r="2" spans="1:24" s="3168" customFormat="1" ht="12">
      <c r="A2" s="3158" t="s">
        <v>3442</v>
      </c>
      <c r="B2" s="3158"/>
      <c r="C2" s="3159" t="s">
        <v>3443</v>
      </c>
      <c r="D2" s="3160" t="s">
        <v>3444</v>
      </c>
      <c r="E2" s="3159" t="s">
        <v>3445</v>
      </c>
      <c r="F2" s="3161">
        <v>143.30000000000001</v>
      </c>
      <c r="G2" s="3159">
        <v>6</v>
      </c>
      <c r="H2" s="3158" t="s">
        <v>3446</v>
      </c>
      <c r="I2" s="3158"/>
      <c r="J2" s="3158" t="s">
        <v>3437</v>
      </c>
      <c r="K2" s="3162">
        <v>500000</v>
      </c>
      <c r="L2" s="3163">
        <v>3489</v>
      </c>
      <c r="M2" s="3161">
        <v>49.05</v>
      </c>
      <c r="N2" s="3164">
        <v>490500</v>
      </c>
      <c r="O2" s="3162">
        <v>3423</v>
      </c>
      <c r="P2" s="3165">
        <v>0.05</v>
      </c>
      <c r="Q2" s="3166">
        <v>46.59</v>
      </c>
      <c r="R2" s="3167">
        <v>465900</v>
      </c>
      <c r="S2" s="3158">
        <v>2004</v>
      </c>
      <c r="T2" s="3158">
        <v>4</v>
      </c>
      <c r="U2" s="3158">
        <v>2</v>
      </c>
      <c r="V2" s="3158" t="s">
        <v>3441</v>
      </c>
      <c r="W2" s="3187">
        <v>38079</v>
      </c>
      <c r="X2" s="3216" t="s">
        <v>3766</v>
      </c>
    </row>
    <row r="3" spans="1:24" s="3175" customFormat="1" ht="12">
      <c r="A3" s="3169" t="s">
        <v>3447</v>
      </c>
      <c r="B3" s="3158"/>
      <c r="C3" s="3160" t="s">
        <v>3448</v>
      </c>
      <c r="D3" s="3160" t="s">
        <v>3449</v>
      </c>
      <c r="E3" s="3170" t="s">
        <v>3439</v>
      </c>
      <c r="F3" s="3159">
        <v>63.23</v>
      </c>
      <c r="G3" s="3159">
        <v>1</v>
      </c>
      <c r="H3" s="3158" t="s">
        <v>3436</v>
      </c>
      <c r="I3" s="3159"/>
      <c r="J3" s="3158" t="s">
        <v>3437</v>
      </c>
      <c r="K3" s="3171">
        <v>210000.10829999999</v>
      </c>
      <c r="L3" s="3159">
        <v>3321.21</v>
      </c>
      <c r="M3" s="3166">
        <v>20.7</v>
      </c>
      <c r="N3" s="3172">
        <v>207000</v>
      </c>
      <c r="O3" s="3159">
        <v>3275</v>
      </c>
      <c r="P3" s="3173">
        <v>0.05</v>
      </c>
      <c r="Q3" s="3166">
        <v>19.66</v>
      </c>
      <c r="R3" s="3167">
        <v>196600</v>
      </c>
      <c r="S3" s="3174">
        <v>2003</v>
      </c>
      <c r="T3" s="3174">
        <v>7</v>
      </c>
      <c r="U3" s="3174">
        <v>21</v>
      </c>
      <c r="V3" s="3160" t="s">
        <v>3438</v>
      </c>
      <c r="W3" s="3188">
        <v>37823</v>
      </c>
      <c r="X3" s="3217" t="s">
        <v>3768</v>
      </c>
    </row>
    <row r="4" spans="1:24" s="3186" customFormat="1" ht="12">
      <c r="A4" s="3178" t="s">
        <v>3450</v>
      </c>
      <c r="B4" s="3176"/>
      <c r="C4" s="3176" t="s">
        <v>3451</v>
      </c>
      <c r="D4" s="3176"/>
      <c r="E4" s="3177" t="s">
        <v>3452</v>
      </c>
      <c r="F4" s="3176">
        <v>143.30000000000001</v>
      </c>
      <c r="G4" s="3176">
        <v>16</v>
      </c>
      <c r="H4" s="3179" t="s">
        <v>3440</v>
      </c>
      <c r="I4" s="3176"/>
      <c r="J4" s="3179" t="s">
        <v>3437</v>
      </c>
      <c r="K4" s="3180">
        <v>520179</v>
      </c>
      <c r="L4" s="3158">
        <v>3630</v>
      </c>
      <c r="M4" s="3181">
        <v>51.41</v>
      </c>
      <c r="N4" s="3182">
        <v>514100</v>
      </c>
      <c r="O4" s="3176">
        <v>3588</v>
      </c>
      <c r="P4" s="3183">
        <v>0.05</v>
      </c>
      <c r="Q4" s="3184">
        <v>48.83</v>
      </c>
      <c r="R4" s="3185">
        <v>488300</v>
      </c>
      <c r="S4" s="3186">
        <v>2003</v>
      </c>
      <c r="T4" s="3186">
        <v>12</v>
      </c>
      <c r="U4" s="3186">
        <v>8</v>
      </c>
      <c r="V4" s="3176" t="s">
        <v>3438</v>
      </c>
      <c r="W4" s="3189">
        <v>37963</v>
      </c>
      <c r="X4" s="3218" t="s">
        <v>3767</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18CC-E1E6-4823-83C5-D7821D66FD06}">
  <dimension ref="A1:BH38"/>
  <sheetViews>
    <sheetView workbookViewId="0">
      <selection activeCell="M6" sqref="M6"/>
    </sheetView>
  </sheetViews>
  <sheetFormatPr defaultRowHeight="13.5"/>
  <cols>
    <col min="2" max="2" width="24.875" customWidth="1"/>
    <col min="4" max="4" width="24.75" bestFit="1" customWidth="1"/>
  </cols>
  <sheetData>
    <row r="1" spans="1:60" s="3194" customFormat="1" ht="12" customHeight="1">
      <c r="A1" s="3204"/>
      <c r="B1" s="3205"/>
      <c r="C1" s="3204"/>
      <c r="D1" s="3206"/>
      <c r="E1" s="3204"/>
      <c r="F1" s="3204"/>
      <c r="G1" s="3204"/>
      <c r="H1" s="3204"/>
      <c r="I1" s="3204" t="s">
        <v>3716</v>
      </c>
      <c r="J1" s="3204" t="s">
        <v>3717</v>
      </c>
      <c r="K1" s="3204" t="s">
        <v>3718</v>
      </c>
      <c r="L1" s="3204" t="s">
        <v>3716</v>
      </c>
      <c r="M1" s="3204" t="s">
        <v>3717</v>
      </c>
      <c r="N1" s="3204" t="s">
        <v>3718</v>
      </c>
      <c r="O1" s="3204" t="s">
        <v>3716</v>
      </c>
      <c r="P1" s="3204" t="s">
        <v>3717</v>
      </c>
      <c r="Q1" s="3204" t="s">
        <v>3718</v>
      </c>
      <c r="R1" s="3204"/>
      <c r="S1" s="3204" t="s">
        <v>3716</v>
      </c>
      <c r="T1" s="3204" t="s">
        <v>3717</v>
      </c>
      <c r="U1" s="3204" t="s">
        <v>3718</v>
      </c>
      <c r="V1" s="3204"/>
      <c r="W1" s="3204" t="s">
        <v>3719</v>
      </c>
      <c r="X1" s="3204"/>
      <c r="Y1" s="3204"/>
      <c r="Z1" s="3204"/>
      <c r="AA1" s="3204"/>
      <c r="AB1" s="3204"/>
      <c r="AC1" s="3204"/>
      <c r="AD1" s="3204"/>
      <c r="AE1" s="3204"/>
      <c r="AF1" s="3204"/>
      <c r="AG1" s="3204"/>
      <c r="AH1" s="3204"/>
      <c r="AI1" s="3204"/>
      <c r="AJ1" s="3204"/>
      <c r="AK1" s="3204"/>
      <c r="AL1" s="3204"/>
      <c r="AM1" s="3204"/>
      <c r="AN1" s="3204"/>
      <c r="AO1" s="3204"/>
      <c r="AP1" s="3207"/>
      <c r="AQ1" s="3204"/>
      <c r="AR1" s="3204"/>
      <c r="AS1" s="3204"/>
      <c r="AT1" s="3204"/>
      <c r="AU1" s="3204" t="s">
        <v>3720</v>
      </c>
      <c r="AV1" s="3204"/>
      <c r="AW1" s="3204"/>
      <c r="AX1" s="3204"/>
      <c r="AY1" s="3204"/>
    </row>
    <row r="2" spans="1:60" s="3194" customFormat="1" ht="12" customHeight="1">
      <c r="A2" s="3208" t="s">
        <v>3721</v>
      </c>
      <c r="B2" s="3209" t="s">
        <v>3722</v>
      </c>
      <c r="C2" s="3208" t="s">
        <v>3723</v>
      </c>
      <c r="D2" s="3210" t="s">
        <v>3724</v>
      </c>
      <c r="E2" s="3208" t="s">
        <v>3725</v>
      </c>
      <c r="F2" s="3208" t="s">
        <v>3726</v>
      </c>
      <c r="G2" s="3208" t="s">
        <v>3727</v>
      </c>
      <c r="H2" s="3208" t="s">
        <v>3728</v>
      </c>
      <c r="I2" s="3208" t="s">
        <v>3729</v>
      </c>
      <c r="J2" s="3208" t="s">
        <v>3729</v>
      </c>
      <c r="K2" s="3208" t="s">
        <v>3729</v>
      </c>
      <c r="L2" s="3208" t="s">
        <v>3730</v>
      </c>
      <c r="M2" s="3208" t="s">
        <v>3730</v>
      </c>
      <c r="N2" s="3208" t="s">
        <v>3730</v>
      </c>
      <c r="O2" s="3208" t="s">
        <v>3731</v>
      </c>
      <c r="P2" s="3208" t="s">
        <v>3731</v>
      </c>
      <c r="Q2" s="3208" t="s">
        <v>3731</v>
      </c>
      <c r="R2" s="3208" t="s">
        <v>3732</v>
      </c>
      <c r="S2" s="3208" t="s">
        <v>3733</v>
      </c>
      <c r="T2" s="3208" t="s">
        <v>3733</v>
      </c>
      <c r="U2" s="3208" t="s">
        <v>3733</v>
      </c>
      <c r="V2" s="3208" t="s">
        <v>3734</v>
      </c>
      <c r="W2" s="3208" t="s">
        <v>3735</v>
      </c>
      <c r="X2" s="3208" t="s">
        <v>3736</v>
      </c>
      <c r="Y2" s="3208" t="s">
        <v>3737</v>
      </c>
      <c r="Z2" s="3208" t="s">
        <v>3738</v>
      </c>
      <c r="AA2" s="3208" t="s">
        <v>3739</v>
      </c>
      <c r="AB2" s="3208" t="s">
        <v>3740</v>
      </c>
      <c r="AC2" s="3208" t="s">
        <v>3741</v>
      </c>
      <c r="AD2" s="3208" t="s">
        <v>3742</v>
      </c>
      <c r="AE2" s="3208" t="s">
        <v>3743</v>
      </c>
      <c r="AF2" s="3208" t="s">
        <v>3744</v>
      </c>
      <c r="AG2" s="3208" t="s">
        <v>3745</v>
      </c>
      <c r="AH2" s="3208" t="s">
        <v>3746</v>
      </c>
      <c r="AI2" s="3208" t="s">
        <v>3747</v>
      </c>
      <c r="AJ2" s="3208" t="s">
        <v>3748</v>
      </c>
      <c r="AK2" s="3208" t="s">
        <v>3749</v>
      </c>
      <c r="AL2" s="3208" t="s">
        <v>3750</v>
      </c>
      <c r="AM2" s="3208" t="s">
        <v>3751</v>
      </c>
      <c r="AN2" s="3208" t="s">
        <v>3752</v>
      </c>
      <c r="AO2" s="3208" t="s">
        <v>3753</v>
      </c>
      <c r="AP2" s="3211" t="s">
        <v>3754</v>
      </c>
      <c r="AQ2" s="3208" t="s">
        <v>3755</v>
      </c>
      <c r="AR2" s="3208" t="s">
        <v>3756</v>
      </c>
      <c r="AS2" s="3208" t="s">
        <v>3757</v>
      </c>
      <c r="AT2" s="3208" t="s">
        <v>3758</v>
      </c>
      <c r="AU2" s="3208" t="s">
        <v>3759</v>
      </c>
      <c r="AV2" s="3208" t="s">
        <v>3760</v>
      </c>
      <c r="AW2" s="3208" t="s">
        <v>3761</v>
      </c>
      <c r="AX2" s="3208" t="s">
        <v>3762</v>
      </c>
      <c r="AY2" s="3208" t="s">
        <v>3763</v>
      </c>
    </row>
    <row r="3" spans="1:60" s="3215" customFormat="1" ht="12" customHeight="1">
      <c r="A3" s="3212" t="s">
        <v>3458</v>
      </c>
      <c r="B3" s="3212" t="s">
        <v>3459</v>
      </c>
      <c r="C3" s="3212" t="s">
        <v>3460</v>
      </c>
      <c r="D3" s="3213" t="s">
        <v>3461</v>
      </c>
      <c r="E3" s="3212"/>
      <c r="F3" s="3212"/>
      <c r="G3" s="3212" t="s">
        <v>3462</v>
      </c>
      <c r="H3" s="3212" t="s">
        <v>3463</v>
      </c>
      <c r="I3" s="3212" t="s">
        <v>3464</v>
      </c>
      <c r="J3" s="3212" t="s">
        <v>3465</v>
      </c>
      <c r="K3" s="3212" t="s">
        <v>3465</v>
      </c>
      <c r="L3" s="3212" t="s">
        <v>3464</v>
      </c>
      <c r="M3" s="3212" t="s">
        <v>3465</v>
      </c>
      <c r="N3" s="3212" t="s">
        <v>3465</v>
      </c>
      <c r="O3" s="3212" t="s">
        <v>3466</v>
      </c>
      <c r="P3" s="3212" t="s">
        <v>3466</v>
      </c>
      <c r="Q3" s="3212" t="s">
        <v>3466</v>
      </c>
      <c r="R3" s="3212" t="s">
        <v>3467</v>
      </c>
      <c r="S3" s="3212"/>
      <c r="T3" s="3212" t="s">
        <v>3468</v>
      </c>
      <c r="U3" s="3212" t="s">
        <v>3469</v>
      </c>
      <c r="V3" s="3212"/>
      <c r="W3" s="3212"/>
      <c r="X3" s="3212" t="s">
        <v>3470</v>
      </c>
      <c r="Y3" s="3212"/>
      <c r="Z3" s="3212" t="s">
        <v>3471</v>
      </c>
      <c r="AA3" s="3212" t="s">
        <v>3472</v>
      </c>
      <c r="AB3" s="3212" t="s">
        <v>3473</v>
      </c>
      <c r="AC3" s="3212" t="s">
        <v>3474</v>
      </c>
      <c r="AD3" s="3212" t="s">
        <v>3475</v>
      </c>
      <c r="AE3" s="3212" t="s">
        <v>3476</v>
      </c>
      <c r="AF3" s="3212" t="s">
        <v>3477</v>
      </c>
      <c r="AG3" s="3212"/>
      <c r="AH3" s="3212" t="s">
        <v>3478</v>
      </c>
      <c r="AI3" s="3212" t="s">
        <v>3479</v>
      </c>
      <c r="AJ3" s="3212" t="s">
        <v>3480</v>
      </c>
      <c r="AK3" s="3212" t="s">
        <v>3481</v>
      </c>
      <c r="AL3" s="3212" t="s">
        <v>3482</v>
      </c>
      <c r="AM3" s="3212" t="s">
        <v>3483</v>
      </c>
      <c r="AN3" s="3212" t="s">
        <v>3484</v>
      </c>
      <c r="AO3" s="3212" t="s">
        <v>3485</v>
      </c>
      <c r="AP3" s="3214"/>
      <c r="AQ3" s="3212"/>
      <c r="AR3" s="3212" t="s">
        <v>3486</v>
      </c>
      <c r="AS3" s="3212"/>
      <c r="AT3" s="3212" t="s">
        <v>3487</v>
      </c>
      <c r="AU3" s="3212">
        <v>2001</v>
      </c>
      <c r="AV3" s="3212">
        <v>2</v>
      </c>
      <c r="AW3" s="3212">
        <v>22</v>
      </c>
      <c r="AX3" s="3212"/>
      <c r="AY3" s="3212"/>
    </row>
    <row r="4" spans="1:60" s="3194" customFormat="1" ht="12" customHeight="1">
      <c r="A4" s="3191" t="s">
        <v>3458</v>
      </c>
      <c r="B4" s="3191" t="s">
        <v>3488</v>
      </c>
      <c r="C4" s="3191" t="s">
        <v>3460</v>
      </c>
      <c r="D4" s="3192">
        <v>18</v>
      </c>
      <c r="E4" s="3191"/>
      <c r="F4" s="3191"/>
      <c r="G4" s="3191" t="s">
        <v>3462</v>
      </c>
      <c r="H4" s="3191" t="s">
        <v>3463</v>
      </c>
      <c r="I4" s="3191" t="s">
        <v>3464</v>
      </c>
      <c r="J4" s="3191" t="s">
        <v>3465</v>
      </c>
      <c r="K4" s="3191" t="s">
        <v>3465</v>
      </c>
      <c r="L4" s="3191" t="s">
        <v>3464</v>
      </c>
      <c r="M4" s="3191" t="s">
        <v>3465</v>
      </c>
      <c r="N4" s="3191" t="s">
        <v>3465</v>
      </c>
      <c r="O4" s="3191" t="s">
        <v>3466</v>
      </c>
      <c r="P4" s="3191" t="s">
        <v>3466</v>
      </c>
      <c r="Q4" s="3191" t="s">
        <v>3466</v>
      </c>
      <c r="R4" s="3191" t="s">
        <v>3467</v>
      </c>
      <c r="S4" s="3191"/>
      <c r="T4" s="3191" t="s">
        <v>3468</v>
      </c>
      <c r="U4" s="3191" t="s">
        <v>3469</v>
      </c>
      <c r="V4" s="3191"/>
      <c r="W4" s="3191"/>
      <c r="X4" s="3191" t="s">
        <v>3470</v>
      </c>
      <c r="Y4" s="3191"/>
      <c r="Z4" s="3191" t="s">
        <v>3471</v>
      </c>
      <c r="AA4" s="3191" t="s">
        <v>3472</v>
      </c>
      <c r="AB4" s="3191" t="s">
        <v>3489</v>
      </c>
      <c r="AC4" s="3191" t="s">
        <v>3474</v>
      </c>
      <c r="AD4" s="3191" t="s">
        <v>3475</v>
      </c>
      <c r="AE4" s="3191" t="s">
        <v>3490</v>
      </c>
      <c r="AF4" s="3191" t="s">
        <v>3477</v>
      </c>
      <c r="AG4" s="3191"/>
      <c r="AH4" s="3191" t="s">
        <v>3478</v>
      </c>
      <c r="AI4" s="3191" t="s">
        <v>3479</v>
      </c>
      <c r="AJ4" s="3191" t="s">
        <v>3480</v>
      </c>
      <c r="AK4" s="3191" t="s">
        <v>3481</v>
      </c>
      <c r="AL4" s="3191" t="s">
        <v>3482</v>
      </c>
      <c r="AM4" s="3191" t="s">
        <v>3483</v>
      </c>
      <c r="AN4" s="3191" t="s">
        <v>3484</v>
      </c>
      <c r="AO4" s="3191" t="s">
        <v>3485</v>
      </c>
      <c r="AP4" s="3193"/>
      <c r="AQ4" s="3191"/>
      <c r="AR4" s="3191" t="s">
        <v>3486</v>
      </c>
      <c r="AS4" s="3191"/>
      <c r="AT4" s="3191" t="s">
        <v>3487</v>
      </c>
      <c r="AU4" s="3191">
        <v>2001</v>
      </c>
      <c r="AV4" s="3191">
        <v>2</v>
      </c>
      <c r="AW4" s="3191">
        <v>22</v>
      </c>
      <c r="AX4" s="3191"/>
      <c r="AY4" s="3191"/>
    </row>
    <row r="5" spans="1:60" s="3194" customFormat="1" ht="12" customHeight="1">
      <c r="A5" s="3191" t="s">
        <v>3491</v>
      </c>
      <c r="B5" s="3191" t="s">
        <v>3492</v>
      </c>
      <c r="C5" s="3191" t="s">
        <v>3460</v>
      </c>
      <c r="D5" s="3192" t="s">
        <v>3493</v>
      </c>
      <c r="E5" s="3191" t="s">
        <v>3494</v>
      </c>
      <c r="F5" s="3191" t="s">
        <v>3495</v>
      </c>
      <c r="G5" s="3191" t="s">
        <v>3462</v>
      </c>
      <c r="H5" s="3191" t="s">
        <v>3496</v>
      </c>
      <c r="I5" s="3191" t="s">
        <v>3497</v>
      </c>
      <c r="J5" s="3191" t="s">
        <v>3465</v>
      </c>
      <c r="K5" s="3191" t="s">
        <v>3465</v>
      </c>
      <c r="L5" s="3191" t="s">
        <v>3497</v>
      </c>
      <c r="M5" s="3191" t="s">
        <v>3465</v>
      </c>
      <c r="N5" s="3191" t="s">
        <v>3465</v>
      </c>
      <c r="O5" s="3191" t="s">
        <v>3498</v>
      </c>
      <c r="P5" s="3191" t="s">
        <v>3466</v>
      </c>
      <c r="Q5" s="3191" t="s">
        <v>3466</v>
      </c>
      <c r="R5" s="3191" t="s">
        <v>3467</v>
      </c>
      <c r="S5" s="3191"/>
      <c r="T5" s="3191" t="s">
        <v>3468</v>
      </c>
      <c r="U5" s="3191" t="s">
        <v>3469</v>
      </c>
      <c r="V5" s="3191"/>
      <c r="W5" s="3191"/>
      <c r="X5" s="3191" t="s">
        <v>3499</v>
      </c>
      <c r="Y5" s="3191"/>
      <c r="Z5" s="3191" t="s">
        <v>3500</v>
      </c>
      <c r="AA5" s="3191" t="s">
        <v>3472</v>
      </c>
      <c r="AB5" s="3191" t="s">
        <v>3501</v>
      </c>
      <c r="AC5" s="3191" t="s">
        <v>3474</v>
      </c>
      <c r="AD5" s="3191" t="s">
        <v>3475</v>
      </c>
      <c r="AE5" s="3191" t="s">
        <v>3476</v>
      </c>
      <c r="AF5" s="3191" t="s">
        <v>3502</v>
      </c>
      <c r="AG5" s="3191" t="s">
        <v>3503</v>
      </c>
      <c r="AH5" s="3191" t="s">
        <v>3504</v>
      </c>
      <c r="AI5" s="3191" t="s">
        <v>3505</v>
      </c>
      <c r="AJ5" s="3191" t="s">
        <v>3480</v>
      </c>
      <c r="AK5" s="3191" t="s">
        <v>3481</v>
      </c>
      <c r="AL5" s="3191" t="s">
        <v>3482</v>
      </c>
      <c r="AM5" s="3191" t="s">
        <v>3483</v>
      </c>
      <c r="AN5" s="3191" t="s">
        <v>3484</v>
      </c>
      <c r="AO5" s="3191" t="s">
        <v>3485</v>
      </c>
      <c r="AP5" s="3193"/>
      <c r="AQ5" s="3191"/>
      <c r="AR5" s="3191" t="s">
        <v>3506</v>
      </c>
      <c r="AS5" s="3191"/>
      <c r="AT5" s="3191" t="s">
        <v>3507</v>
      </c>
      <c r="AU5" s="3191">
        <v>2001</v>
      </c>
      <c r="AV5" s="3191">
        <v>8</v>
      </c>
      <c r="AW5" s="3191">
        <v>7</v>
      </c>
      <c r="AX5" s="3191"/>
      <c r="AY5" s="3191"/>
    </row>
    <row r="6" spans="1:60" s="3215" customFormat="1" ht="12" customHeight="1">
      <c r="A6" s="3212" t="s">
        <v>3491</v>
      </c>
      <c r="B6" s="3212" t="s">
        <v>3492</v>
      </c>
      <c r="C6" s="3212" t="s">
        <v>3460</v>
      </c>
      <c r="D6" s="3213" t="s">
        <v>3508</v>
      </c>
      <c r="E6" s="3212" t="s">
        <v>3494</v>
      </c>
      <c r="F6" s="3212" t="s">
        <v>3495</v>
      </c>
      <c r="G6" s="3212" t="s">
        <v>3509</v>
      </c>
      <c r="H6" s="3212" t="s">
        <v>3510</v>
      </c>
      <c r="I6" s="3212" t="s">
        <v>3511</v>
      </c>
      <c r="J6" s="3212" t="s">
        <v>3512</v>
      </c>
      <c r="K6" s="3212" t="s">
        <v>3512</v>
      </c>
      <c r="L6" s="3212" t="s">
        <v>3511</v>
      </c>
      <c r="M6" s="3212" t="s">
        <v>3513</v>
      </c>
      <c r="N6" s="3212" t="s">
        <v>3513</v>
      </c>
      <c r="O6" s="3212" t="s">
        <v>3466</v>
      </c>
      <c r="P6" s="3212" t="s">
        <v>3514</v>
      </c>
      <c r="Q6" s="3212" t="s">
        <v>3514</v>
      </c>
      <c r="R6" s="3212" t="s">
        <v>3515</v>
      </c>
      <c r="S6" s="3212" t="s">
        <v>3515</v>
      </c>
      <c r="T6" s="3212" t="s">
        <v>3515</v>
      </c>
      <c r="U6" s="3212" t="s">
        <v>3515</v>
      </c>
      <c r="V6" s="3212"/>
      <c r="W6" s="3212"/>
      <c r="X6" s="3212" t="s">
        <v>3499</v>
      </c>
      <c r="Y6" s="3212"/>
      <c r="Z6" s="3212" t="s">
        <v>3500</v>
      </c>
      <c r="AA6" s="3212" t="s">
        <v>3472</v>
      </c>
      <c r="AB6" s="3212" t="s">
        <v>3516</v>
      </c>
      <c r="AC6" s="3212" t="s">
        <v>3474</v>
      </c>
      <c r="AD6" s="3212" t="s">
        <v>3475</v>
      </c>
      <c r="AE6" s="3212" t="s">
        <v>3517</v>
      </c>
      <c r="AF6" s="3212" t="s">
        <v>3502</v>
      </c>
      <c r="AG6" s="3212" t="s">
        <v>3518</v>
      </c>
      <c r="AH6" s="3212" t="s">
        <v>3504</v>
      </c>
      <c r="AI6" s="3212" t="s">
        <v>3505</v>
      </c>
      <c r="AJ6" s="3212" t="s">
        <v>3480</v>
      </c>
      <c r="AK6" s="3212" t="s">
        <v>3481</v>
      </c>
      <c r="AL6" s="3212" t="s">
        <v>3482</v>
      </c>
      <c r="AM6" s="3212" t="s">
        <v>3483</v>
      </c>
      <c r="AN6" s="3212" t="s">
        <v>3519</v>
      </c>
      <c r="AO6" s="3212" t="s">
        <v>3485</v>
      </c>
      <c r="AP6" s="3214"/>
      <c r="AQ6" s="3212"/>
      <c r="AR6" s="3212" t="s">
        <v>3506</v>
      </c>
      <c r="AS6" s="3212"/>
      <c r="AT6" s="3212" t="s">
        <v>3520</v>
      </c>
      <c r="AU6" s="3212">
        <v>2002</v>
      </c>
      <c r="AV6" s="3212">
        <v>9</v>
      </c>
      <c r="AW6" s="3212">
        <v>10</v>
      </c>
      <c r="AX6" s="3212" t="s">
        <v>3521</v>
      </c>
      <c r="AY6" s="3212"/>
    </row>
    <row r="7" spans="1:60" s="3194" customFormat="1" ht="12" customHeight="1">
      <c r="A7" s="3191" t="s">
        <v>3491</v>
      </c>
      <c r="B7" s="3191" t="s">
        <v>3492</v>
      </c>
      <c r="C7" s="3191" t="s">
        <v>3460</v>
      </c>
      <c r="D7" s="3192" t="s">
        <v>3522</v>
      </c>
      <c r="E7" s="3191" t="s">
        <v>3494</v>
      </c>
      <c r="F7" s="3191" t="s">
        <v>3495</v>
      </c>
      <c r="G7" s="3191" t="s">
        <v>3523</v>
      </c>
      <c r="H7" s="3191" t="s">
        <v>3510</v>
      </c>
      <c r="I7" s="3191" t="s">
        <v>3511</v>
      </c>
      <c r="J7" s="3191" t="s">
        <v>3512</v>
      </c>
      <c r="K7" s="3191" t="s">
        <v>3512</v>
      </c>
      <c r="L7" s="3191" t="s">
        <v>3511</v>
      </c>
      <c r="M7" s="3191" t="s">
        <v>3513</v>
      </c>
      <c r="N7" s="3191" t="s">
        <v>3513</v>
      </c>
      <c r="O7" s="3191" t="s">
        <v>3466</v>
      </c>
      <c r="P7" s="3191" t="s">
        <v>3514</v>
      </c>
      <c r="Q7" s="3191" t="s">
        <v>3514</v>
      </c>
      <c r="R7" s="3191" t="s">
        <v>3515</v>
      </c>
      <c r="S7" s="3191" t="s">
        <v>3515</v>
      </c>
      <c r="T7" s="3191" t="s">
        <v>3515</v>
      </c>
      <c r="U7" s="3191" t="s">
        <v>3515</v>
      </c>
      <c r="V7" s="3191"/>
      <c r="W7" s="3191"/>
      <c r="X7" s="3191" t="s">
        <v>3499</v>
      </c>
      <c r="Y7" s="3191"/>
      <c r="Z7" s="3191" t="s">
        <v>3500</v>
      </c>
      <c r="AA7" s="3191" t="s">
        <v>3472</v>
      </c>
      <c r="AB7" s="3191" t="s">
        <v>3516</v>
      </c>
      <c r="AC7" s="3191" t="s">
        <v>3474</v>
      </c>
      <c r="AD7" s="3191" t="s">
        <v>3475</v>
      </c>
      <c r="AE7" s="3191" t="s">
        <v>3517</v>
      </c>
      <c r="AF7" s="3191" t="s">
        <v>3477</v>
      </c>
      <c r="AG7" s="3191" t="s">
        <v>3515</v>
      </c>
      <c r="AH7" s="3191" t="s">
        <v>3504</v>
      </c>
      <c r="AI7" s="3191" t="s">
        <v>3505</v>
      </c>
      <c r="AJ7" s="3191" t="s">
        <v>3480</v>
      </c>
      <c r="AK7" s="3191" t="s">
        <v>3481</v>
      </c>
      <c r="AL7" s="3191" t="s">
        <v>3482</v>
      </c>
      <c r="AM7" s="3191" t="s">
        <v>3483</v>
      </c>
      <c r="AN7" s="3191" t="s">
        <v>3519</v>
      </c>
      <c r="AO7" s="3191" t="s">
        <v>3485</v>
      </c>
      <c r="AP7" s="3193"/>
      <c r="AQ7" s="3191"/>
      <c r="AR7" s="3191" t="s">
        <v>3506</v>
      </c>
      <c r="AS7" s="3191"/>
      <c r="AT7" s="3191" t="s">
        <v>3520</v>
      </c>
      <c r="AU7" s="3191">
        <v>2002</v>
      </c>
      <c r="AV7" s="3191">
        <v>9</v>
      </c>
      <c r="AW7" s="3191">
        <v>10</v>
      </c>
      <c r="AX7" s="3191" t="s">
        <v>3521</v>
      </c>
      <c r="AY7" s="3191"/>
    </row>
    <row r="8" spans="1:60" s="3194" customFormat="1" ht="12" customHeight="1">
      <c r="A8" s="3191" t="s">
        <v>3491</v>
      </c>
      <c r="B8" s="3191" t="s">
        <v>3492</v>
      </c>
      <c r="C8" s="3191" t="s">
        <v>3460</v>
      </c>
      <c r="D8" s="3192" t="s">
        <v>3524</v>
      </c>
      <c r="E8" s="3191" t="s">
        <v>3494</v>
      </c>
      <c r="F8" s="3191" t="s">
        <v>3495</v>
      </c>
      <c r="G8" s="3191" t="s">
        <v>3462</v>
      </c>
      <c r="H8" s="3191" t="s">
        <v>3496</v>
      </c>
      <c r="I8" s="3191" t="s">
        <v>3525</v>
      </c>
      <c r="J8" s="3191" t="s">
        <v>3525</v>
      </c>
      <c r="K8" s="3191" t="s">
        <v>3525</v>
      </c>
      <c r="L8" s="3191" t="s">
        <v>3525</v>
      </c>
      <c r="M8" s="3191" t="s">
        <v>3525</v>
      </c>
      <c r="N8" s="3191" t="s">
        <v>3525</v>
      </c>
      <c r="O8" s="3191" t="s">
        <v>3498</v>
      </c>
      <c r="P8" s="3191" t="s">
        <v>3513</v>
      </c>
      <c r="Q8" s="3191" t="s">
        <v>3513</v>
      </c>
      <c r="R8" s="3191" t="s">
        <v>3467</v>
      </c>
      <c r="S8" s="3191"/>
      <c r="T8" s="3191" t="s">
        <v>3468</v>
      </c>
      <c r="U8" s="3191" t="s">
        <v>3469</v>
      </c>
      <c r="V8" s="3191"/>
      <c r="W8" s="3191"/>
      <c r="X8" s="3191" t="s">
        <v>3499</v>
      </c>
      <c r="Y8" s="3191"/>
      <c r="Z8" s="3191" t="s">
        <v>3500</v>
      </c>
      <c r="AA8" s="3191" t="s">
        <v>3472</v>
      </c>
      <c r="AB8" s="3191" t="s">
        <v>3501</v>
      </c>
      <c r="AC8" s="3191" t="s">
        <v>3474</v>
      </c>
      <c r="AD8" s="3191" t="s">
        <v>3475</v>
      </c>
      <c r="AE8" s="3191" t="s">
        <v>3476</v>
      </c>
      <c r="AF8" s="3191" t="s">
        <v>3502</v>
      </c>
      <c r="AG8" s="3191" t="s">
        <v>3526</v>
      </c>
      <c r="AH8" s="3191" t="s">
        <v>3504</v>
      </c>
      <c r="AI8" s="3191" t="s">
        <v>3505</v>
      </c>
      <c r="AJ8" s="3191" t="s">
        <v>3480</v>
      </c>
      <c r="AK8" s="3191" t="s">
        <v>3481</v>
      </c>
      <c r="AL8" s="3191" t="s">
        <v>3482</v>
      </c>
      <c r="AM8" s="3191" t="s">
        <v>3483</v>
      </c>
      <c r="AN8" s="3191" t="s">
        <v>3484</v>
      </c>
      <c r="AO8" s="3191" t="s">
        <v>3485</v>
      </c>
      <c r="AP8" s="3193"/>
      <c r="AQ8" s="3191"/>
      <c r="AR8" s="3191" t="s">
        <v>3506</v>
      </c>
      <c r="AS8" s="3191"/>
      <c r="AT8" s="3191" t="s">
        <v>3527</v>
      </c>
      <c r="AU8" s="3191">
        <v>2003</v>
      </c>
      <c r="AV8" s="3191">
        <v>9</v>
      </c>
      <c r="AW8" s="3191">
        <v>19</v>
      </c>
      <c r="AX8" s="3191"/>
      <c r="AY8" s="3191"/>
    </row>
    <row r="9" spans="1:60" s="3194" customFormat="1" ht="12" customHeight="1">
      <c r="A9" s="3191" t="s">
        <v>3491</v>
      </c>
      <c r="B9" s="3195" t="s">
        <v>3528</v>
      </c>
      <c r="C9" s="3191" t="s">
        <v>3460</v>
      </c>
      <c r="D9" s="3192" t="s">
        <v>3529</v>
      </c>
      <c r="E9" s="3191" t="s">
        <v>3494</v>
      </c>
      <c r="F9" s="3191"/>
      <c r="G9" s="3191" t="s">
        <v>3462</v>
      </c>
      <c r="H9" s="3191" t="s">
        <v>3530</v>
      </c>
      <c r="I9" s="3191" t="s">
        <v>3531</v>
      </c>
      <c r="J9" s="3191" t="s">
        <v>3532</v>
      </c>
      <c r="K9" s="3191" t="s">
        <v>3465</v>
      </c>
      <c r="L9" s="3191" t="s">
        <v>3531</v>
      </c>
      <c r="M9" s="3191" t="s">
        <v>3532</v>
      </c>
      <c r="N9" s="3191" t="s">
        <v>3532</v>
      </c>
      <c r="O9" s="3191" t="s">
        <v>3533</v>
      </c>
      <c r="P9" s="3191" t="s">
        <v>3466</v>
      </c>
      <c r="Q9" s="3191" t="s">
        <v>3466</v>
      </c>
      <c r="R9" s="3191" t="s">
        <v>3534</v>
      </c>
      <c r="S9" s="3191"/>
      <c r="T9" s="3191"/>
      <c r="U9" s="3191"/>
      <c r="V9" s="3191"/>
      <c r="W9" s="3191"/>
      <c r="X9" s="3191"/>
      <c r="Y9" s="3191"/>
      <c r="Z9" s="3191" t="s">
        <v>3500</v>
      </c>
      <c r="AA9" s="3191" t="s">
        <v>3535</v>
      </c>
      <c r="AB9" s="3191" t="s">
        <v>3536</v>
      </c>
      <c r="AC9" s="3191" t="s">
        <v>3537</v>
      </c>
      <c r="AD9" s="3191" t="s">
        <v>3475</v>
      </c>
      <c r="AE9" s="3191"/>
      <c r="AF9" s="3191" t="s">
        <v>3502</v>
      </c>
      <c r="AG9" s="3191" t="s">
        <v>3538</v>
      </c>
      <c r="AH9" s="3191" t="s">
        <v>3539</v>
      </c>
      <c r="AI9" s="3191" t="s">
        <v>3505</v>
      </c>
      <c r="AJ9" s="3191" t="s">
        <v>3540</v>
      </c>
      <c r="AK9" s="3191" t="s">
        <v>3481</v>
      </c>
      <c r="AL9" s="3191" t="s">
        <v>3482</v>
      </c>
      <c r="AM9" s="3191" t="s">
        <v>3483</v>
      </c>
      <c r="AN9" s="3191" t="s">
        <v>3541</v>
      </c>
      <c r="AO9" s="3191" t="s">
        <v>3485</v>
      </c>
      <c r="AP9" s="3193"/>
      <c r="AQ9" s="3191"/>
      <c r="AR9" s="3191" t="s">
        <v>3506</v>
      </c>
      <c r="AS9" s="3191" t="s">
        <v>3542</v>
      </c>
      <c r="AT9" s="3191"/>
      <c r="AU9" s="3191">
        <v>2005</v>
      </c>
      <c r="AV9" s="3191">
        <v>6</v>
      </c>
      <c r="AW9" s="3191">
        <v>28</v>
      </c>
      <c r="AX9" s="3191" t="s">
        <v>3543</v>
      </c>
      <c r="AY9" s="3191" t="s">
        <v>3544</v>
      </c>
    </row>
    <row r="10" spans="1:60" s="3194" customFormat="1" ht="12" customHeight="1">
      <c r="A10" s="3191" t="s">
        <v>3491</v>
      </c>
      <c r="B10" s="3195" t="s">
        <v>3545</v>
      </c>
      <c r="C10" s="3191" t="s">
        <v>3460</v>
      </c>
      <c r="D10" s="3192" t="s">
        <v>3546</v>
      </c>
      <c r="E10" s="3191" t="s">
        <v>3494</v>
      </c>
      <c r="F10" s="3191"/>
      <c r="G10" s="3191" t="s">
        <v>3462</v>
      </c>
      <c r="H10" s="3191" t="s">
        <v>3530</v>
      </c>
      <c r="I10" s="3191" t="s">
        <v>3531</v>
      </c>
      <c r="J10" s="3191" t="s">
        <v>3532</v>
      </c>
      <c r="K10" s="3191" t="s">
        <v>3465</v>
      </c>
      <c r="L10" s="3191" t="s">
        <v>3531</v>
      </c>
      <c r="M10" s="3191" t="s">
        <v>3532</v>
      </c>
      <c r="N10" s="3191" t="s">
        <v>3547</v>
      </c>
      <c r="O10" s="3191" t="s">
        <v>3533</v>
      </c>
      <c r="P10" s="3191" t="s">
        <v>3466</v>
      </c>
      <c r="Q10" s="3191" t="s">
        <v>3466</v>
      </c>
      <c r="R10" s="3191" t="s">
        <v>3534</v>
      </c>
      <c r="S10" s="3191"/>
      <c r="T10" s="3191"/>
      <c r="U10" s="3191"/>
      <c r="V10" s="3191" t="s">
        <v>3548</v>
      </c>
      <c r="W10" s="3191" t="s">
        <v>3549</v>
      </c>
      <c r="X10" s="3191"/>
      <c r="Y10" s="3191"/>
      <c r="Z10" s="3191" t="s">
        <v>3500</v>
      </c>
      <c r="AA10" s="3191" t="s">
        <v>3535</v>
      </c>
      <c r="AB10" s="3191" t="s">
        <v>3536</v>
      </c>
      <c r="AC10" s="3191" t="s">
        <v>3537</v>
      </c>
      <c r="AD10" s="3191" t="s">
        <v>3475</v>
      </c>
      <c r="AE10" s="3191" t="s">
        <v>3550</v>
      </c>
      <c r="AF10" s="3191" t="s">
        <v>3502</v>
      </c>
      <c r="AG10" s="3191" t="s">
        <v>3538</v>
      </c>
      <c r="AH10" s="3191" t="s">
        <v>3539</v>
      </c>
      <c r="AI10" s="3191" t="s">
        <v>3505</v>
      </c>
      <c r="AJ10" s="3191" t="s">
        <v>3480</v>
      </c>
      <c r="AK10" s="3191" t="s">
        <v>3481</v>
      </c>
      <c r="AL10" s="3191" t="s">
        <v>3482</v>
      </c>
      <c r="AM10" s="3191" t="s">
        <v>3483</v>
      </c>
      <c r="AN10" s="3191" t="s">
        <v>3519</v>
      </c>
      <c r="AO10" s="3191" t="s">
        <v>3485</v>
      </c>
      <c r="AP10" s="3193"/>
      <c r="AQ10" s="3191"/>
      <c r="AR10" s="3191" t="s">
        <v>3506</v>
      </c>
      <c r="AS10" s="3191" t="s">
        <v>3542</v>
      </c>
      <c r="AT10" s="3191"/>
      <c r="AU10" s="3191">
        <v>2004</v>
      </c>
      <c r="AV10" s="3191">
        <v>7</v>
      </c>
      <c r="AW10" s="3191">
        <v>15</v>
      </c>
      <c r="AX10" s="3191" t="s">
        <v>3543</v>
      </c>
      <c r="AY10" s="3191" t="s">
        <v>3551</v>
      </c>
    </row>
    <row r="11" spans="1:60" s="3194" customFormat="1" ht="12" hidden="1" customHeight="1">
      <c r="A11" s="3191" t="s">
        <v>3552</v>
      </c>
      <c r="B11" s="3191" t="s">
        <v>3553</v>
      </c>
      <c r="C11" s="3191" t="s">
        <v>3554</v>
      </c>
      <c r="D11" s="3192"/>
      <c r="E11" s="3191"/>
      <c r="F11" s="3191"/>
      <c r="G11" s="3191" t="s">
        <v>3462</v>
      </c>
      <c r="H11" s="3191" t="s">
        <v>3555</v>
      </c>
      <c r="I11" s="3191" t="s">
        <v>3556</v>
      </c>
      <c r="J11" s="3191" t="s">
        <v>3556</v>
      </c>
      <c r="K11" s="3191" t="s">
        <v>3556</v>
      </c>
      <c r="L11" s="3191" t="s">
        <v>3497</v>
      </c>
      <c r="M11" s="3191" t="s">
        <v>3557</v>
      </c>
      <c r="N11" s="3191" t="s">
        <v>3557</v>
      </c>
      <c r="O11" s="3191" t="s">
        <v>3558</v>
      </c>
      <c r="P11" s="3191" t="s">
        <v>3559</v>
      </c>
      <c r="Q11" s="3191" t="s">
        <v>3559</v>
      </c>
      <c r="R11" s="3191" t="s">
        <v>3467</v>
      </c>
      <c r="S11" s="3191" t="s">
        <v>3515</v>
      </c>
      <c r="T11" s="3191" t="s">
        <v>3560</v>
      </c>
      <c r="U11" s="3191" t="s">
        <v>3561</v>
      </c>
      <c r="V11" s="3191"/>
      <c r="W11" s="3191"/>
      <c r="X11" s="3191" t="s">
        <v>3470</v>
      </c>
      <c r="Y11" s="3191"/>
      <c r="Z11" s="3191" t="s">
        <v>3500</v>
      </c>
      <c r="AA11" s="3191" t="s">
        <v>3472</v>
      </c>
      <c r="AB11" s="3191" t="s">
        <v>3562</v>
      </c>
      <c r="AC11" s="3191" t="s">
        <v>3563</v>
      </c>
      <c r="AD11" s="3191" t="s">
        <v>3475</v>
      </c>
      <c r="AE11" s="3191" t="s">
        <v>3564</v>
      </c>
      <c r="AF11" s="3191"/>
      <c r="AG11" s="3191" t="s">
        <v>3515</v>
      </c>
      <c r="AH11" s="3191" t="s">
        <v>3478</v>
      </c>
      <c r="AI11" s="3191" t="s">
        <v>3479</v>
      </c>
      <c r="AJ11" s="3191" t="s">
        <v>3540</v>
      </c>
      <c r="AK11" s="3191" t="s">
        <v>3481</v>
      </c>
      <c r="AL11" s="3191" t="s">
        <v>3565</v>
      </c>
      <c r="AM11" s="3191" t="s">
        <v>3483</v>
      </c>
      <c r="AN11" s="3191" t="s">
        <v>3566</v>
      </c>
      <c r="AO11" s="3191" t="s">
        <v>3567</v>
      </c>
      <c r="AP11" s="3193">
        <v>0.30499999999999999</v>
      </c>
      <c r="AQ11" s="3191"/>
      <c r="AR11" s="3191" t="s">
        <v>3506</v>
      </c>
      <c r="AS11" s="3191" t="s">
        <v>3568</v>
      </c>
      <c r="AT11" s="3191"/>
      <c r="AU11" s="3191">
        <v>2000</v>
      </c>
      <c r="AV11" s="3191">
        <v>10</v>
      </c>
      <c r="AW11" s="3191">
        <v>26</v>
      </c>
      <c r="AX11" s="3191"/>
      <c r="AY11" s="3191"/>
    </row>
    <row r="12" spans="1:60" s="3202" customFormat="1" ht="12" hidden="1" customHeight="1">
      <c r="A12" s="3195" t="s">
        <v>3552</v>
      </c>
      <c r="B12" s="3195" t="s">
        <v>3569</v>
      </c>
      <c r="C12" s="3195"/>
      <c r="D12" s="3192" t="s">
        <v>3554</v>
      </c>
      <c r="E12" s="3195" t="s">
        <v>3570</v>
      </c>
      <c r="F12" s="3195"/>
      <c r="G12" s="3196"/>
      <c r="H12" s="3195"/>
      <c r="I12" s="3195" t="s">
        <v>3571</v>
      </c>
      <c r="J12" s="3195"/>
      <c r="K12" s="3195"/>
      <c r="L12" s="3196"/>
      <c r="M12" s="3195"/>
      <c r="N12" s="3195"/>
      <c r="O12" s="3195"/>
      <c r="P12" s="3195"/>
      <c r="Q12" s="3196"/>
      <c r="R12" s="3196"/>
      <c r="S12" s="3196"/>
      <c r="T12" s="3196"/>
      <c r="U12" s="3196"/>
      <c r="V12" s="3196"/>
      <c r="W12" s="3197"/>
      <c r="X12" s="3195" t="s">
        <v>3572</v>
      </c>
      <c r="Y12" s="3195" t="s">
        <v>3573</v>
      </c>
      <c r="Z12" s="3195" t="s">
        <v>3574</v>
      </c>
      <c r="AA12" s="3195" t="s">
        <v>3575</v>
      </c>
      <c r="AB12" s="3195" t="s">
        <v>3576</v>
      </c>
      <c r="AC12" s="3198" t="s">
        <v>3577</v>
      </c>
      <c r="AD12" s="3195" t="s">
        <v>3441</v>
      </c>
      <c r="AE12" s="3195" t="s">
        <v>3578</v>
      </c>
      <c r="AF12" s="3198"/>
      <c r="AG12" s="3196"/>
      <c r="AH12" s="3195"/>
      <c r="AI12" s="3195"/>
      <c r="AJ12" s="3196"/>
      <c r="AK12" s="3196"/>
      <c r="AL12" s="3196"/>
      <c r="AM12" s="3195"/>
      <c r="AN12" s="3195"/>
      <c r="AO12" s="3195"/>
      <c r="AP12" s="3195"/>
      <c r="AQ12" s="3195"/>
      <c r="AR12" s="3195"/>
      <c r="AS12" s="3195"/>
      <c r="AT12" s="3199"/>
      <c r="AU12" s="3200"/>
      <c r="AV12" s="3195"/>
      <c r="AW12" s="3195"/>
      <c r="AX12" s="3198"/>
      <c r="AY12" s="3195"/>
      <c r="AZ12" s="3195"/>
      <c r="BA12" s="3198"/>
      <c r="BB12" s="3195"/>
      <c r="BC12" s="3195"/>
      <c r="BD12" s="3198"/>
      <c r="BE12" s="3195"/>
      <c r="BF12" s="3195"/>
      <c r="BG12" s="3198"/>
      <c r="BH12" s="3201" t="s">
        <v>3579</v>
      </c>
    </row>
    <row r="13" spans="1:60" s="3194" customFormat="1" ht="12" hidden="1" customHeight="1">
      <c r="A13" s="3191" t="s">
        <v>3580</v>
      </c>
      <c r="B13" s="3191" t="s">
        <v>3581</v>
      </c>
      <c r="C13" s="3191" t="s">
        <v>3554</v>
      </c>
      <c r="D13" s="3192"/>
      <c r="E13" s="3191"/>
      <c r="F13" s="3191" t="s">
        <v>3582</v>
      </c>
      <c r="G13" s="3191" t="s">
        <v>3462</v>
      </c>
      <c r="H13" s="3191" t="s">
        <v>3583</v>
      </c>
      <c r="I13" s="3191" t="s">
        <v>3465</v>
      </c>
      <c r="J13" s="3191" t="s">
        <v>3465</v>
      </c>
      <c r="K13" s="3191" t="s">
        <v>3465</v>
      </c>
      <c r="L13" s="3191" t="s">
        <v>3465</v>
      </c>
      <c r="M13" s="3191" t="s">
        <v>3557</v>
      </c>
      <c r="N13" s="3191" t="s">
        <v>3557</v>
      </c>
      <c r="O13" s="3191" t="s">
        <v>3466</v>
      </c>
      <c r="P13" s="3191" t="s">
        <v>3584</v>
      </c>
      <c r="Q13" s="3191" t="s">
        <v>3584</v>
      </c>
      <c r="R13" s="3191" t="s">
        <v>3467</v>
      </c>
      <c r="S13" s="3191" t="s">
        <v>3515</v>
      </c>
      <c r="T13" s="3191" t="s">
        <v>3468</v>
      </c>
      <c r="U13" s="3191" t="s">
        <v>3585</v>
      </c>
      <c r="V13" s="3191"/>
      <c r="W13" s="3191"/>
      <c r="X13" s="3191" t="s">
        <v>3586</v>
      </c>
      <c r="Y13" s="3191"/>
      <c r="Z13" s="3191" t="s">
        <v>3587</v>
      </c>
      <c r="AA13" s="3191" t="s">
        <v>3472</v>
      </c>
      <c r="AB13" s="3191" t="s">
        <v>3588</v>
      </c>
      <c r="AC13" s="3191" t="s">
        <v>3563</v>
      </c>
      <c r="AD13" s="3191" t="s">
        <v>3589</v>
      </c>
      <c r="AE13" s="3191" t="s">
        <v>3564</v>
      </c>
      <c r="AF13" s="3191" t="s">
        <v>3502</v>
      </c>
      <c r="AG13" s="3191" t="s">
        <v>3515</v>
      </c>
      <c r="AH13" s="3191" t="s">
        <v>3590</v>
      </c>
      <c r="AI13" s="3191" t="s">
        <v>3479</v>
      </c>
      <c r="AJ13" s="3191" t="s">
        <v>3540</v>
      </c>
      <c r="AK13" s="3191" t="s">
        <v>3481</v>
      </c>
      <c r="AL13" s="3191" t="s">
        <v>3565</v>
      </c>
      <c r="AM13" s="3191" t="s">
        <v>3591</v>
      </c>
      <c r="AN13" s="3191" t="s">
        <v>3592</v>
      </c>
      <c r="AO13" s="3191" t="s">
        <v>3485</v>
      </c>
      <c r="AP13" s="3193">
        <v>0.45</v>
      </c>
      <c r="AQ13" s="3191"/>
      <c r="AR13" s="3191" t="s">
        <v>3506</v>
      </c>
      <c r="AS13" s="3191" t="s">
        <v>3568</v>
      </c>
      <c r="AT13" s="3191" t="s">
        <v>3593</v>
      </c>
      <c r="AU13" s="3191">
        <v>2001</v>
      </c>
      <c r="AV13" s="3191">
        <v>3</v>
      </c>
      <c r="AW13" s="3191">
        <v>21</v>
      </c>
      <c r="AX13" s="3191"/>
      <c r="AY13" s="3191"/>
    </row>
    <row r="14" spans="1:60" s="3194" customFormat="1" ht="12" hidden="1" customHeight="1">
      <c r="A14" s="3191" t="s">
        <v>3580</v>
      </c>
      <c r="B14" s="3191" t="s">
        <v>3581</v>
      </c>
      <c r="C14" s="3191" t="s">
        <v>3554</v>
      </c>
      <c r="D14" s="3192"/>
      <c r="E14" s="3191" t="s">
        <v>3594</v>
      </c>
      <c r="F14" s="3191" t="s">
        <v>3582</v>
      </c>
      <c r="G14" s="3191" t="s">
        <v>3462</v>
      </c>
      <c r="H14" s="3191" t="s">
        <v>3595</v>
      </c>
      <c r="I14" s="3191" t="s">
        <v>3465</v>
      </c>
      <c r="J14" s="3191" t="s">
        <v>3465</v>
      </c>
      <c r="K14" s="3191" t="s">
        <v>3465</v>
      </c>
      <c r="L14" s="3191" t="s">
        <v>3465</v>
      </c>
      <c r="M14" s="3191" t="s">
        <v>3465</v>
      </c>
      <c r="N14" s="3191" t="s">
        <v>3465</v>
      </c>
      <c r="O14" s="3191" t="s">
        <v>3596</v>
      </c>
      <c r="P14" s="3191" t="s">
        <v>3597</v>
      </c>
      <c r="Q14" s="3191" t="s">
        <v>3597</v>
      </c>
      <c r="R14" s="3191" t="s">
        <v>3515</v>
      </c>
      <c r="S14" s="3191" t="s">
        <v>3515</v>
      </c>
      <c r="T14" s="3191" t="s">
        <v>3598</v>
      </c>
      <c r="U14" s="3191" t="s">
        <v>3515</v>
      </c>
      <c r="V14" s="3191"/>
      <c r="W14" s="3191"/>
      <c r="X14" s="3191" t="s">
        <v>3586</v>
      </c>
      <c r="Y14" s="3191"/>
      <c r="Z14" s="3191" t="s">
        <v>3587</v>
      </c>
      <c r="AA14" s="3191" t="s">
        <v>3472</v>
      </c>
      <c r="AB14" s="3191" t="s">
        <v>3588</v>
      </c>
      <c r="AC14" s="3191" t="s">
        <v>3563</v>
      </c>
      <c r="AD14" s="3191" t="s">
        <v>3589</v>
      </c>
      <c r="AE14" s="3191" t="s">
        <v>3564</v>
      </c>
      <c r="AF14" s="3191" t="s">
        <v>3477</v>
      </c>
      <c r="AG14" s="3191" t="s">
        <v>3515</v>
      </c>
      <c r="AH14" s="3191" t="s">
        <v>3590</v>
      </c>
      <c r="AI14" s="3191" t="s">
        <v>3479</v>
      </c>
      <c r="AJ14" s="3191" t="s">
        <v>3540</v>
      </c>
      <c r="AK14" s="3191" t="s">
        <v>3481</v>
      </c>
      <c r="AL14" s="3191" t="s">
        <v>3565</v>
      </c>
      <c r="AM14" s="3191" t="s">
        <v>3591</v>
      </c>
      <c r="AN14" s="3191" t="s">
        <v>3592</v>
      </c>
      <c r="AO14" s="3191" t="s">
        <v>3485</v>
      </c>
      <c r="AP14" s="3193">
        <v>0.45</v>
      </c>
      <c r="AQ14" s="3191"/>
      <c r="AR14" s="3191" t="s">
        <v>3506</v>
      </c>
      <c r="AS14" s="3191" t="s">
        <v>3568</v>
      </c>
      <c r="AT14" s="3191" t="s">
        <v>3593</v>
      </c>
      <c r="AU14" s="3191">
        <v>2001</v>
      </c>
      <c r="AV14" s="3191">
        <v>3</v>
      </c>
      <c r="AW14" s="3191">
        <v>21</v>
      </c>
      <c r="AX14" s="3191"/>
      <c r="AY14" s="3191"/>
    </row>
    <row r="15" spans="1:60" s="3194" customFormat="1" ht="12" hidden="1" customHeight="1">
      <c r="A15" s="3191" t="s">
        <v>3580</v>
      </c>
      <c r="B15" s="3191" t="s">
        <v>3581</v>
      </c>
      <c r="C15" s="3191" t="s">
        <v>3554</v>
      </c>
      <c r="D15" s="3192" t="s">
        <v>3599</v>
      </c>
      <c r="E15" s="3191"/>
      <c r="F15" s="3191" t="s">
        <v>3582</v>
      </c>
      <c r="G15" s="3191" t="s">
        <v>3462</v>
      </c>
      <c r="H15" s="3191" t="s">
        <v>3583</v>
      </c>
      <c r="I15" s="3191" t="s">
        <v>3465</v>
      </c>
      <c r="J15" s="3191" t="s">
        <v>3513</v>
      </c>
      <c r="K15" s="3191" t="s">
        <v>3513</v>
      </c>
      <c r="L15" s="3191" t="s">
        <v>3465</v>
      </c>
      <c r="M15" s="3191" t="s">
        <v>3513</v>
      </c>
      <c r="N15" s="3191" t="s">
        <v>3513</v>
      </c>
      <c r="O15" s="3191" t="s">
        <v>3466</v>
      </c>
      <c r="P15" s="3191" t="s">
        <v>3513</v>
      </c>
      <c r="Q15" s="3191" t="s">
        <v>3513</v>
      </c>
      <c r="R15" s="3191" t="s">
        <v>3515</v>
      </c>
      <c r="S15" s="3191" t="s">
        <v>3515</v>
      </c>
      <c r="T15" s="3191" t="s">
        <v>3515</v>
      </c>
      <c r="U15" s="3191" t="s">
        <v>3515</v>
      </c>
      <c r="V15" s="3191"/>
      <c r="W15" s="3191"/>
      <c r="X15" s="3191" t="s">
        <v>3586</v>
      </c>
      <c r="Y15" s="3191"/>
      <c r="Z15" s="3191" t="s">
        <v>3587</v>
      </c>
      <c r="AA15" s="3191" t="s">
        <v>3472</v>
      </c>
      <c r="AB15" s="3191" t="s">
        <v>3588</v>
      </c>
      <c r="AC15" s="3191" t="s">
        <v>3563</v>
      </c>
      <c r="AD15" s="3191" t="s">
        <v>3589</v>
      </c>
      <c r="AE15" s="3191" t="s">
        <v>3600</v>
      </c>
      <c r="AF15" s="3191" t="s">
        <v>3502</v>
      </c>
      <c r="AG15" s="3191" t="s">
        <v>3515</v>
      </c>
      <c r="AH15" s="3191" t="s">
        <v>3590</v>
      </c>
      <c r="AI15" s="3191" t="s">
        <v>3479</v>
      </c>
      <c r="AJ15" s="3191" t="s">
        <v>3540</v>
      </c>
      <c r="AK15" s="3191" t="s">
        <v>3481</v>
      </c>
      <c r="AL15" s="3191" t="s">
        <v>3565</v>
      </c>
      <c r="AM15" s="3191" t="s">
        <v>3591</v>
      </c>
      <c r="AN15" s="3191" t="s">
        <v>3592</v>
      </c>
      <c r="AO15" s="3191" t="s">
        <v>3485</v>
      </c>
      <c r="AP15" s="3193">
        <v>0.45</v>
      </c>
      <c r="AQ15" s="3191"/>
      <c r="AR15" s="3191" t="s">
        <v>3506</v>
      </c>
      <c r="AS15" s="3191" t="s">
        <v>3520</v>
      </c>
      <c r="AT15" s="3191"/>
      <c r="AU15" s="3191">
        <v>2001</v>
      </c>
      <c r="AV15" s="3191">
        <v>11</v>
      </c>
      <c r="AW15" s="3191">
        <v>7</v>
      </c>
      <c r="AX15" s="3191"/>
      <c r="AY15" s="3191" t="s">
        <v>3601</v>
      </c>
    </row>
    <row r="16" spans="1:60" s="3194" customFormat="1" ht="12" hidden="1" customHeight="1">
      <c r="A16" s="3191" t="s">
        <v>3602</v>
      </c>
      <c r="B16" s="3191" t="s">
        <v>3603</v>
      </c>
      <c r="C16" s="3191" t="s">
        <v>3554</v>
      </c>
      <c r="D16" s="3192" t="s">
        <v>3604</v>
      </c>
      <c r="E16" s="3191" t="s">
        <v>3494</v>
      </c>
      <c r="F16" s="3191" t="s">
        <v>3582</v>
      </c>
      <c r="G16" s="3191" t="s">
        <v>3462</v>
      </c>
      <c r="H16" s="3191" t="s">
        <v>3605</v>
      </c>
      <c r="I16" s="3191" t="s">
        <v>3511</v>
      </c>
      <c r="J16" s="3191" t="s">
        <v>3606</v>
      </c>
      <c r="K16" s="3191" t="s">
        <v>3606</v>
      </c>
      <c r="L16" s="3191" t="s">
        <v>3607</v>
      </c>
      <c r="M16" s="3191" t="s">
        <v>3608</v>
      </c>
      <c r="N16" s="3191" t="s">
        <v>3608</v>
      </c>
      <c r="O16" s="3191" t="s">
        <v>3466</v>
      </c>
      <c r="P16" s="3191" t="s">
        <v>3559</v>
      </c>
      <c r="Q16" s="3191" t="s">
        <v>3559</v>
      </c>
      <c r="R16" s="3191" t="s">
        <v>3515</v>
      </c>
      <c r="S16" s="3191" t="s">
        <v>3515</v>
      </c>
      <c r="T16" s="3191" t="s">
        <v>3609</v>
      </c>
      <c r="U16" s="3191" t="s">
        <v>3610</v>
      </c>
      <c r="V16" s="3191"/>
      <c r="W16" s="3191"/>
      <c r="X16" s="3191" t="s">
        <v>3611</v>
      </c>
      <c r="Y16" s="3191"/>
      <c r="Z16" s="3191" t="s">
        <v>3587</v>
      </c>
      <c r="AA16" s="3191" t="s">
        <v>3472</v>
      </c>
      <c r="AB16" s="3191" t="s">
        <v>3612</v>
      </c>
      <c r="AC16" s="3191" t="s">
        <v>3613</v>
      </c>
      <c r="AD16" s="3191" t="s">
        <v>3614</v>
      </c>
      <c r="AE16" s="3191" t="s">
        <v>3615</v>
      </c>
      <c r="AF16" s="3191" t="s">
        <v>3477</v>
      </c>
      <c r="AG16" s="3191" t="s">
        <v>3515</v>
      </c>
      <c r="AH16" s="3191" t="s">
        <v>3616</v>
      </c>
      <c r="AI16" s="3191" t="s">
        <v>3617</v>
      </c>
      <c r="AJ16" s="3191" t="s">
        <v>3540</v>
      </c>
      <c r="AK16" s="3191" t="s">
        <v>3481</v>
      </c>
      <c r="AL16" s="3191" t="s">
        <v>3565</v>
      </c>
      <c r="AM16" s="3191" t="s">
        <v>3618</v>
      </c>
      <c r="AN16" s="3191" t="s">
        <v>3619</v>
      </c>
      <c r="AO16" s="3191" t="s">
        <v>3620</v>
      </c>
      <c r="AP16" s="3193"/>
      <c r="AQ16" s="3191"/>
      <c r="AR16" s="3191" t="s">
        <v>3506</v>
      </c>
      <c r="AS16" s="3191" t="s">
        <v>3520</v>
      </c>
      <c r="AT16" s="3191"/>
      <c r="AU16" s="3191">
        <v>2002</v>
      </c>
      <c r="AV16" s="3191">
        <v>11</v>
      </c>
      <c r="AW16" s="3191">
        <v>12</v>
      </c>
      <c r="AX16" s="3191" t="s">
        <v>3521</v>
      </c>
      <c r="AY16" s="3191"/>
    </row>
    <row r="17" spans="1:51" s="3194" customFormat="1" ht="12" hidden="1" customHeight="1">
      <c r="A17" s="3191" t="s">
        <v>3602</v>
      </c>
      <c r="B17" s="3191" t="s">
        <v>3603</v>
      </c>
      <c r="C17" s="3191" t="s">
        <v>3554</v>
      </c>
      <c r="D17" s="3192" t="s">
        <v>3621</v>
      </c>
      <c r="E17" s="3191" t="s">
        <v>3494</v>
      </c>
      <c r="F17" s="3191"/>
      <c r="G17" s="3191" t="s">
        <v>3462</v>
      </c>
      <c r="H17" s="3191" t="s">
        <v>3622</v>
      </c>
      <c r="I17" s="3191" t="s">
        <v>3607</v>
      </c>
      <c r="J17" s="3191"/>
      <c r="K17" s="3191"/>
      <c r="L17" s="3191" t="s">
        <v>3623</v>
      </c>
      <c r="M17" s="3191"/>
      <c r="N17" s="3191"/>
      <c r="O17" s="3191"/>
      <c r="P17" s="3191" t="s">
        <v>3624</v>
      </c>
      <c r="Q17" s="3191"/>
      <c r="R17" s="3191" t="s">
        <v>3625</v>
      </c>
      <c r="S17" s="3191" t="s">
        <v>3515</v>
      </c>
      <c r="T17" s="3191" t="s">
        <v>3515</v>
      </c>
      <c r="U17" s="3191" t="s">
        <v>3626</v>
      </c>
      <c r="V17" s="3191"/>
      <c r="W17" s="3191"/>
      <c r="X17" s="3191"/>
      <c r="Y17" s="3191" t="s">
        <v>3627</v>
      </c>
      <c r="Z17" s="3191" t="s">
        <v>3587</v>
      </c>
      <c r="AA17" s="3191" t="s">
        <v>3628</v>
      </c>
      <c r="AB17" s="3191" t="s">
        <v>3501</v>
      </c>
      <c r="AC17" s="3191" t="s">
        <v>3563</v>
      </c>
      <c r="AD17" s="3191"/>
      <c r="AE17" s="3191" t="s">
        <v>3629</v>
      </c>
      <c r="AF17" s="3191" t="s">
        <v>3630</v>
      </c>
      <c r="AG17" s="3191"/>
      <c r="AH17" s="3191" t="s">
        <v>3631</v>
      </c>
      <c r="AI17" s="3191" t="s">
        <v>3632</v>
      </c>
      <c r="AJ17" s="3191" t="s">
        <v>3633</v>
      </c>
      <c r="AK17" s="3191" t="s">
        <v>3481</v>
      </c>
      <c r="AL17" s="3191" t="s">
        <v>3565</v>
      </c>
      <c r="AM17" s="3191" t="s">
        <v>3618</v>
      </c>
      <c r="AN17" s="3191" t="s">
        <v>3634</v>
      </c>
      <c r="AO17" s="3191" t="s">
        <v>3620</v>
      </c>
      <c r="AP17" s="3193">
        <v>0.35</v>
      </c>
      <c r="AQ17" s="3191"/>
      <c r="AR17" s="3191" t="s">
        <v>3506</v>
      </c>
      <c r="AS17" s="3191"/>
      <c r="AT17" s="3191"/>
      <c r="AU17" s="3191"/>
      <c r="AV17" s="3191"/>
      <c r="AW17" s="3191"/>
      <c r="AX17" s="3191"/>
      <c r="AY17" s="3191"/>
    </row>
    <row r="18" spans="1:51" s="3194" customFormat="1" ht="12" hidden="1" customHeight="1">
      <c r="A18" s="3191" t="s">
        <v>3602</v>
      </c>
      <c r="B18" s="3191" t="s">
        <v>3603</v>
      </c>
      <c r="C18" s="3191" t="s">
        <v>3554</v>
      </c>
      <c r="D18" s="3192" t="s">
        <v>3635</v>
      </c>
      <c r="E18" s="3191" t="s">
        <v>3494</v>
      </c>
      <c r="F18" s="3191"/>
      <c r="G18" s="3191" t="s">
        <v>3462</v>
      </c>
      <c r="H18" s="3191" t="s">
        <v>3636</v>
      </c>
      <c r="I18" s="3191" t="s">
        <v>3607</v>
      </c>
      <c r="J18" s="3191" t="s">
        <v>3607</v>
      </c>
      <c r="K18" s="3191" t="s">
        <v>3607</v>
      </c>
      <c r="L18" s="3191" t="s">
        <v>3607</v>
      </c>
      <c r="M18" s="3191" t="s">
        <v>3513</v>
      </c>
      <c r="N18" s="3191" t="s">
        <v>3513</v>
      </c>
      <c r="O18" s="3191" t="s">
        <v>3513</v>
      </c>
      <c r="P18" s="3191" t="s">
        <v>3513</v>
      </c>
      <c r="Q18" s="3191" t="s">
        <v>3637</v>
      </c>
      <c r="R18" s="3191"/>
      <c r="S18" s="3191" t="s">
        <v>3515</v>
      </c>
      <c r="T18" s="3191" t="s">
        <v>3515</v>
      </c>
      <c r="U18" s="3191" t="s">
        <v>3515</v>
      </c>
      <c r="V18" s="3191"/>
      <c r="W18" s="3191"/>
      <c r="X18" s="3191"/>
      <c r="Y18" s="3191" t="s">
        <v>3627</v>
      </c>
      <c r="Z18" s="3191" t="s">
        <v>3587</v>
      </c>
      <c r="AA18" s="3191" t="s">
        <v>3628</v>
      </c>
      <c r="AB18" s="3191" t="s">
        <v>3501</v>
      </c>
      <c r="AC18" s="3191" t="s">
        <v>3563</v>
      </c>
      <c r="AD18" s="3191"/>
      <c r="AE18" s="3191" t="s">
        <v>3629</v>
      </c>
      <c r="AF18" s="3191" t="s">
        <v>3630</v>
      </c>
      <c r="AG18" s="3191"/>
      <c r="AH18" s="3191" t="s">
        <v>3631</v>
      </c>
      <c r="AI18" s="3191" t="s">
        <v>3632</v>
      </c>
      <c r="AJ18" s="3191" t="s">
        <v>3633</v>
      </c>
      <c r="AK18" s="3191" t="s">
        <v>3481</v>
      </c>
      <c r="AL18" s="3191" t="s">
        <v>3565</v>
      </c>
      <c r="AM18" s="3191" t="s">
        <v>3618</v>
      </c>
      <c r="AN18" s="3191" t="s">
        <v>3634</v>
      </c>
      <c r="AO18" s="3191" t="s">
        <v>3620</v>
      </c>
      <c r="AP18" s="3193">
        <v>0.35</v>
      </c>
      <c r="AQ18" s="3191"/>
      <c r="AR18" s="3191" t="s">
        <v>3506</v>
      </c>
      <c r="AS18" s="3191"/>
      <c r="AT18" s="3191" t="s">
        <v>3638</v>
      </c>
      <c r="AU18" s="3191">
        <v>2001</v>
      </c>
      <c r="AV18" s="3191">
        <v>4</v>
      </c>
      <c r="AW18" s="3191">
        <v>9</v>
      </c>
      <c r="AX18" s="3191"/>
      <c r="AY18" s="3191"/>
    </row>
    <row r="19" spans="1:51" s="3194" customFormat="1" ht="12" hidden="1" customHeight="1">
      <c r="A19" s="3191" t="s">
        <v>3602</v>
      </c>
      <c r="B19" s="3191" t="s">
        <v>3603</v>
      </c>
      <c r="C19" s="3191" t="s">
        <v>3554</v>
      </c>
      <c r="D19" s="3192" t="s">
        <v>3639</v>
      </c>
      <c r="E19" s="3191" t="s">
        <v>3494</v>
      </c>
      <c r="F19" s="3191" t="s">
        <v>3582</v>
      </c>
      <c r="G19" s="3191" t="s">
        <v>3462</v>
      </c>
      <c r="H19" s="3191" t="s">
        <v>3640</v>
      </c>
      <c r="I19" s="3191" t="s">
        <v>3607</v>
      </c>
      <c r="J19" s="3191" t="s">
        <v>3607</v>
      </c>
      <c r="K19" s="3191" t="s">
        <v>3607</v>
      </c>
      <c r="L19" s="3191" t="s">
        <v>3641</v>
      </c>
      <c r="M19" s="3191" t="s">
        <v>3641</v>
      </c>
      <c r="N19" s="3191" t="s">
        <v>3641</v>
      </c>
      <c r="O19" s="3191" t="s">
        <v>3642</v>
      </c>
      <c r="P19" s="3191" t="s">
        <v>3642</v>
      </c>
      <c r="Q19" s="3191" t="s">
        <v>3642</v>
      </c>
      <c r="R19" s="3191" t="s">
        <v>3515</v>
      </c>
      <c r="S19" s="3191" t="s">
        <v>3515</v>
      </c>
      <c r="T19" s="3191" t="s">
        <v>3515</v>
      </c>
      <c r="U19" s="3191" t="s">
        <v>3515</v>
      </c>
      <c r="V19" s="3191"/>
      <c r="W19" s="3191"/>
      <c r="X19" s="3191"/>
      <c r="Y19" s="3191" t="s">
        <v>3627</v>
      </c>
      <c r="Z19" s="3191" t="s">
        <v>3587</v>
      </c>
      <c r="AA19" s="3191" t="s">
        <v>3628</v>
      </c>
      <c r="AB19" s="3191" t="s">
        <v>3501</v>
      </c>
      <c r="AC19" s="3191" t="s">
        <v>3563</v>
      </c>
      <c r="AD19" s="3191"/>
      <c r="AE19" s="3191" t="s">
        <v>3629</v>
      </c>
      <c r="AF19" s="3191" t="s">
        <v>3630</v>
      </c>
      <c r="AG19" s="3191"/>
      <c r="AH19" s="3191" t="s">
        <v>3631</v>
      </c>
      <c r="AI19" s="3191" t="s">
        <v>3632</v>
      </c>
      <c r="AJ19" s="3191" t="s">
        <v>3633</v>
      </c>
      <c r="AK19" s="3191" t="s">
        <v>3481</v>
      </c>
      <c r="AL19" s="3191" t="s">
        <v>3565</v>
      </c>
      <c r="AM19" s="3191" t="s">
        <v>3618</v>
      </c>
      <c r="AN19" s="3191" t="s">
        <v>3634</v>
      </c>
      <c r="AO19" s="3191" t="s">
        <v>3620</v>
      </c>
      <c r="AP19" s="3193">
        <v>0.35</v>
      </c>
      <c r="AQ19" s="3191"/>
      <c r="AR19" s="3191" t="s">
        <v>3506</v>
      </c>
      <c r="AS19" s="3191"/>
      <c r="AT19" s="3191" t="s">
        <v>3507</v>
      </c>
      <c r="AU19" s="3191">
        <v>2001</v>
      </c>
      <c r="AV19" s="3191">
        <v>5</v>
      </c>
      <c r="AW19" s="3191">
        <v>11</v>
      </c>
      <c r="AX19" s="3191"/>
      <c r="AY19" s="3191"/>
    </row>
    <row r="20" spans="1:51" s="3194" customFormat="1" ht="12" hidden="1" customHeight="1">
      <c r="A20" s="3191" t="s">
        <v>3602</v>
      </c>
      <c r="B20" s="3191" t="s">
        <v>3603</v>
      </c>
      <c r="C20" s="3191" t="s">
        <v>3554</v>
      </c>
      <c r="D20" s="3192" t="s">
        <v>3643</v>
      </c>
      <c r="E20" s="3191" t="s">
        <v>3494</v>
      </c>
      <c r="F20" s="3191" t="s">
        <v>3582</v>
      </c>
      <c r="G20" s="3191" t="s">
        <v>3462</v>
      </c>
      <c r="H20" s="3191" t="s">
        <v>3644</v>
      </c>
      <c r="I20" s="3191" t="s">
        <v>3607</v>
      </c>
      <c r="J20" s="3191" t="s">
        <v>3607</v>
      </c>
      <c r="K20" s="3191" t="s">
        <v>3607</v>
      </c>
      <c r="L20" s="3191" t="s">
        <v>3607</v>
      </c>
      <c r="M20" s="3191" t="s">
        <v>3607</v>
      </c>
      <c r="N20" s="3191" t="s">
        <v>3607</v>
      </c>
      <c r="O20" s="3191" t="s">
        <v>3466</v>
      </c>
      <c r="P20" s="3191" t="s">
        <v>3624</v>
      </c>
      <c r="Q20" s="3191" t="s">
        <v>3624</v>
      </c>
      <c r="R20" s="3191" t="s">
        <v>3515</v>
      </c>
      <c r="S20" s="3191" t="s">
        <v>3515</v>
      </c>
      <c r="T20" s="3191"/>
      <c r="U20" s="3191"/>
      <c r="V20" s="3191"/>
      <c r="W20" s="3191"/>
      <c r="X20" s="3191" t="s">
        <v>3499</v>
      </c>
      <c r="Y20" s="3191" t="s">
        <v>3627</v>
      </c>
      <c r="Z20" s="3191" t="s">
        <v>3587</v>
      </c>
      <c r="AA20" s="3191" t="s">
        <v>3628</v>
      </c>
      <c r="AB20" s="3191" t="s">
        <v>3501</v>
      </c>
      <c r="AC20" s="3191" t="s">
        <v>3563</v>
      </c>
      <c r="AD20" s="3191"/>
      <c r="AE20" s="3191" t="s">
        <v>3629</v>
      </c>
      <c r="AF20" s="3191" t="s">
        <v>3630</v>
      </c>
      <c r="AG20" s="3191"/>
      <c r="AH20" s="3191" t="s">
        <v>3631</v>
      </c>
      <c r="AI20" s="3191" t="s">
        <v>3632</v>
      </c>
      <c r="AJ20" s="3191" t="s">
        <v>3633</v>
      </c>
      <c r="AK20" s="3191" t="s">
        <v>3481</v>
      </c>
      <c r="AL20" s="3191" t="s">
        <v>3565</v>
      </c>
      <c r="AM20" s="3191" t="s">
        <v>3618</v>
      </c>
      <c r="AN20" s="3191" t="s">
        <v>3634</v>
      </c>
      <c r="AO20" s="3191" t="s">
        <v>3620</v>
      </c>
      <c r="AP20" s="3193">
        <v>0.35</v>
      </c>
      <c r="AQ20" s="3191"/>
      <c r="AR20" s="3191" t="s">
        <v>3506</v>
      </c>
      <c r="AS20" s="3191"/>
      <c r="AT20" s="3191"/>
      <c r="AU20" s="3191"/>
      <c r="AV20" s="3191"/>
      <c r="AW20" s="3191"/>
      <c r="AX20" s="3191"/>
      <c r="AY20" s="3191"/>
    </row>
    <row r="21" spans="1:51" s="3194" customFormat="1" ht="12" hidden="1" customHeight="1">
      <c r="A21" s="3191" t="s">
        <v>3602</v>
      </c>
      <c r="B21" s="3191" t="s">
        <v>3603</v>
      </c>
      <c r="C21" s="3191" t="s">
        <v>3554</v>
      </c>
      <c r="D21" s="3192" t="s">
        <v>3645</v>
      </c>
      <c r="E21" s="3191"/>
      <c r="F21" s="3191"/>
      <c r="G21" s="3191" t="s">
        <v>3462</v>
      </c>
      <c r="H21" s="3191" t="s">
        <v>3646</v>
      </c>
      <c r="I21" s="3191" t="s">
        <v>3607</v>
      </c>
      <c r="J21" s="3191" t="s">
        <v>3606</v>
      </c>
      <c r="K21" s="3191" t="s">
        <v>3606</v>
      </c>
      <c r="L21" s="3191" t="s">
        <v>3607</v>
      </c>
      <c r="M21" s="3191" t="s">
        <v>3557</v>
      </c>
      <c r="N21" s="3191" t="s">
        <v>3557</v>
      </c>
      <c r="O21" s="3191" t="s">
        <v>3513</v>
      </c>
      <c r="P21" s="3191" t="s">
        <v>3584</v>
      </c>
      <c r="Q21" s="3191" t="s">
        <v>3584</v>
      </c>
      <c r="R21" s="3191"/>
      <c r="S21" s="3191" t="s">
        <v>3515</v>
      </c>
      <c r="T21" s="3191" t="s">
        <v>3647</v>
      </c>
      <c r="U21" s="3191" t="s">
        <v>3648</v>
      </c>
      <c r="V21" s="3191"/>
      <c r="W21" s="3191"/>
      <c r="X21" s="3191"/>
      <c r="Y21" s="3191"/>
      <c r="Z21" s="3191" t="s">
        <v>3587</v>
      </c>
      <c r="AA21" s="3191" t="s">
        <v>3628</v>
      </c>
      <c r="AB21" s="3191" t="s">
        <v>3501</v>
      </c>
      <c r="AC21" s="3191" t="s">
        <v>3563</v>
      </c>
      <c r="AD21" s="3191"/>
      <c r="AE21" s="3191" t="s">
        <v>3629</v>
      </c>
      <c r="AF21" s="3191" t="s">
        <v>3630</v>
      </c>
      <c r="AG21" s="3191" t="s">
        <v>3649</v>
      </c>
      <c r="AH21" s="3191" t="s">
        <v>3631</v>
      </c>
      <c r="AI21" s="3191" t="s">
        <v>3632</v>
      </c>
      <c r="AJ21" s="3191" t="s">
        <v>3633</v>
      </c>
      <c r="AK21" s="3191" t="s">
        <v>3481</v>
      </c>
      <c r="AL21" s="3191" t="s">
        <v>3565</v>
      </c>
      <c r="AM21" s="3191" t="s">
        <v>3618</v>
      </c>
      <c r="AN21" s="3191" t="s">
        <v>3634</v>
      </c>
      <c r="AO21" s="3191" t="s">
        <v>3620</v>
      </c>
      <c r="AP21" s="3193">
        <v>0.35</v>
      </c>
      <c r="AQ21" s="3191"/>
      <c r="AR21" s="3191" t="s">
        <v>3506</v>
      </c>
      <c r="AS21" s="3191"/>
      <c r="AT21" s="3191" t="s">
        <v>3650</v>
      </c>
      <c r="AU21" s="3191">
        <v>2001</v>
      </c>
      <c r="AV21" s="3191">
        <v>9</v>
      </c>
      <c r="AW21" s="3191">
        <v>11</v>
      </c>
      <c r="AX21" s="3191"/>
      <c r="AY21" s="3191"/>
    </row>
    <row r="22" spans="1:51" s="3194" customFormat="1" ht="12" hidden="1" customHeight="1">
      <c r="A22" s="3191" t="s">
        <v>3602</v>
      </c>
      <c r="B22" s="3191" t="s">
        <v>3603</v>
      </c>
      <c r="C22" s="3191" t="s">
        <v>3554</v>
      </c>
      <c r="D22" s="3192" t="s">
        <v>3651</v>
      </c>
      <c r="E22" s="3191"/>
      <c r="F22" s="3191"/>
      <c r="G22" s="3191" t="s">
        <v>3462</v>
      </c>
      <c r="H22" s="3191" t="s">
        <v>3646</v>
      </c>
      <c r="I22" s="3191" t="s">
        <v>3511</v>
      </c>
      <c r="J22" s="3191" t="s">
        <v>3652</v>
      </c>
      <c r="K22" s="3191" t="s">
        <v>3652</v>
      </c>
      <c r="L22" s="3191" t="s">
        <v>3511</v>
      </c>
      <c r="M22" s="3191" t="s">
        <v>3557</v>
      </c>
      <c r="N22" s="3191" t="s">
        <v>3557</v>
      </c>
      <c r="O22" s="3191" t="s">
        <v>3653</v>
      </c>
      <c r="P22" s="3191" t="s">
        <v>3559</v>
      </c>
      <c r="Q22" s="3191" t="s">
        <v>3559</v>
      </c>
      <c r="R22" s="3191" t="s">
        <v>3515</v>
      </c>
      <c r="S22" s="3191" t="s">
        <v>3515</v>
      </c>
      <c r="T22" s="3191" t="s">
        <v>3654</v>
      </c>
      <c r="U22" s="3191" t="s">
        <v>3655</v>
      </c>
      <c r="V22" s="3191"/>
      <c r="W22" s="3191"/>
      <c r="X22" s="3191" t="s">
        <v>3656</v>
      </c>
      <c r="Y22" s="3191"/>
      <c r="Z22" s="3191" t="s">
        <v>3587</v>
      </c>
      <c r="AA22" s="3191" t="s">
        <v>3472</v>
      </c>
      <c r="AB22" s="3191" t="s">
        <v>3657</v>
      </c>
      <c r="AC22" s="3191" t="s">
        <v>3563</v>
      </c>
      <c r="AD22" s="3191" t="s">
        <v>3475</v>
      </c>
      <c r="AE22" s="3191" t="s">
        <v>3658</v>
      </c>
      <c r="AF22" s="3191" t="s">
        <v>3477</v>
      </c>
      <c r="AG22" s="3191" t="s">
        <v>3659</v>
      </c>
      <c r="AH22" s="3191" t="s">
        <v>3660</v>
      </c>
      <c r="AI22" s="3191" t="s">
        <v>3661</v>
      </c>
      <c r="AJ22" s="3191" t="s">
        <v>3540</v>
      </c>
      <c r="AK22" s="3191" t="s">
        <v>3481</v>
      </c>
      <c r="AL22" s="3191" t="s">
        <v>3565</v>
      </c>
      <c r="AM22" s="3191" t="s">
        <v>3618</v>
      </c>
      <c r="AN22" s="3191" t="s">
        <v>3634</v>
      </c>
      <c r="AO22" s="3191" t="s">
        <v>3620</v>
      </c>
      <c r="AP22" s="3193">
        <v>0.35</v>
      </c>
      <c r="AQ22" s="3191"/>
      <c r="AR22" s="3191" t="s">
        <v>3506</v>
      </c>
      <c r="AS22" s="3191" t="s">
        <v>3662</v>
      </c>
      <c r="AT22" s="3191"/>
      <c r="AU22" s="3191">
        <v>2002</v>
      </c>
      <c r="AV22" s="3191">
        <v>6</v>
      </c>
      <c r="AW22" s="3191">
        <v>21</v>
      </c>
      <c r="AX22" s="3191"/>
      <c r="AY22" s="3191"/>
    </row>
    <row r="23" spans="1:51" s="3194" customFormat="1" ht="12" hidden="1" customHeight="1">
      <c r="A23" s="3191" t="s">
        <v>3602</v>
      </c>
      <c r="B23" s="3191" t="s">
        <v>3603</v>
      </c>
      <c r="C23" s="3191" t="s">
        <v>3554</v>
      </c>
      <c r="D23" s="3192" t="s">
        <v>3663</v>
      </c>
      <c r="E23" s="3191"/>
      <c r="F23" s="3191"/>
      <c r="G23" s="3191" t="s">
        <v>3462</v>
      </c>
      <c r="H23" s="3191" t="s">
        <v>3646</v>
      </c>
      <c r="I23" s="3191" t="s">
        <v>3511</v>
      </c>
      <c r="J23" s="3191" t="s">
        <v>3652</v>
      </c>
      <c r="K23" s="3191" t="s">
        <v>3652</v>
      </c>
      <c r="L23" s="3191" t="s">
        <v>3511</v>
      </c>
      <c r="M23" s="3191" t="s">
        <v>3557</v>
      </c>
      <c r="N23" s="3191" t="s">
        <v>3557</v>
      </c>
      <c r="O23" s="3191" t="s">
        <v>3653</v>
      </c>
      <c r="P23" s="3191" t="s">
        <v>3559</v>
      </c>
      <c r="Q23" s="3191" t="s">
        <v>3559</v>
      </c>
      <c r="R23" s="3191" t="s">
        <v>3515</v>
      </c>
      <c r="S23" s="3191" t="s">
        <v>3515</v>
      </c>
      <c r="T23" s="3191" t="s">
        <v>3654</v>
      </c>
      <c r="U23" s="3191" t="s">
        <v>3655</v>
      </c>
      <c r="V23" s="3191"/>
      <c r="W23" s="3191"/>
      <c r="X23" s="3191" t="s">
        <v>3656</v>
      </c>
      <c r="Y23" s="3191"/>
      <c r="Z23" s="3191" t="s">
        <v>3587</v>
      </c>
      <c r="AA23" s="3191" t="s">
        <v>3472</v>
      </c>
      <c r="AB23" s="3191" t="s">
        <v>3657</v>
      </c>
      <c r="AC23" s="3191" t="s">
        <v>3563</v>
      </c>
      <c r="AD23" s="3191" t="s">
        <v>3475</v>
      </c>
      <c r="AE23" s="3191" t="s">
        <v>3658</v>
      </c>
      <c r="AF23" s="3191" t="s">
        <v>3477</v>
      </c>
      <c r="AG23" s="3191" t="s">
        <v>3515</v>
      </c>
      <c r="AH23" s="3191" t="s">
        <v>3660</v>
      </c>
      <c r="AI23" s="3191" t="s">
        <v>3661</v>
      </c>
      <c r="AJ23" s="3191" t="s">
        <v>3540</v>
      </c>
      <c r="AK23" s="3191" t="s">
        <v>3481</v>
      </c>
      <c r="AL23" s="3191" t="s">
        <v>3565</v>
      </c>
      <c r="AM23" s="3191" t="s">
        <v>3618</v>
      </c>
      <c r="AN23" s="3191" t="s">
        <v>3634</v>
      </c>
      <c r="AO23" s="3191" t="s">
        <v>3620</v>
      </c>
      <c r="AP23" s="3193">
        <v>0.35</v>
      </c>
      <c r="AQ23" s="3191"/>
      <c r="AR23" s="3191" t="s">
        <v>3506</v>
      </c>
      <c r="AS23" s="3191" t="s">
        <v>3662</v>
      </c>
      <c r="AT23" s="3191"/>
      <c r="AU23" s="3191">
        <v>2002</v>
      </c>
      <c r="AV23" s="3191">
        <v>6</v>
      </c>
      <c r="AW23" s="3191">
        <v>21</v>
      </c>
      <c r="AX23" s="3191"/>
      <c r="AY23" s="3191"/>
    </row>
    <row r="24" spans="1:51" s="3194" customFormat="1" ht="12" hidden="1" customHeight="1">
      <c r="A24" s="3191" t="s">
        <v>3602</v>
      </c>
      <c r="B24" s="3191" t="s">
        <v>3603</v>
      </c>
      <c r="C24" s="3191" t="s">
        <v>3554</v>
      </c>
      <c r="D24" s="3192" t="s">
        <v>3664</v>
      </c>
      <c r="E24" s="3191" t="s">
        <v>3494</v>
      </c>
      <c r="F24" s="3191" t="s">
        <v>3582</v>
      </c>
      <c r="G24" s="3191" t="s">
        <v>3462</v>
      </c>
      <c r="H24" s="3191" t="s">
        <v>3605</v>
      </c>
      <c r="I24" s="3191" t="s">
        <v>3511</v>
      </c>
      <c r="J24" s="3191" t="s">
        <v>3511</v>
      </c>
      <c r="K24" s="3191" t="s">
        <v>3511</v>
      </c>
      <c r="L24" s="3191" t="s">
        <v>3607</v>
      </c>
      <c r="M24" s="3191" t="s">
        <v>3608</v>
      </c>
      <c r="N24" s="3191" t="s">
        <v>3608</v>
      </c>
      <c r="O24" s="3191" t="s">
        <v>3466</v>
      </c>
      <c r="P24" s="3191" t="s">
        <v>3559</v>
      </c>
      <c r="Q24" s="3191" t="s">
        <v>3559</v>
      </c>
      <c r="R24" s="3191" t="s">
        <v>3515</v>
      </c>
      <c r="S24" s="3191" t="s">
        <v>3515</v>
      </c>
      <c r="T24" s="3191" t="s">
        <v>3609</v>
      </c>
      <c r="U24" s="3191" t="s">
        <v>3610</v>
      </c>
      <c r="V24" s="3191"/>
      <c r="W24" s="3191"/>
      <c r="X24" s="3191" t="s">
        <v>3611</v>
      </c>
      <c r="Y24" s="3191"/>
      <c r="Z24" s="3191" t="s">
        <v>3587</v>
      </c>
      <c r="AA24" s="3191" t="s">
        <v>3472</v>
      </c>
      <c r="AB24" s="3191" t="s">
        <v>3612</v>
      </c>
      <c r="AC24" s="3191" t="s">
        <v>3613</v>
      </c>
      <c r="AD24" s="3191" t="s">
        <v>3614</v>
      </c>
      <c r="AE24" s="3191" t="s">
        <v>3615</v>
      </c>
      <c r="AF24" s="3191" t="s">
        <v>3477</v>
      </c>
      <c r="AG24" s="3191" t="s">
        <v>3665</v>
      </c>
      <c r="AH24" s="3191" t="s">
        <v>3616</v>
      </c>
      <c r="AI24" s="3191" t="s">
        <v>3617</v>
      </c>
      <c r="AJ24" s="3191" t="s">
        <v>3540</v>
      </c>
      <c r="AK24" s="3191" t="s">
        <v>3481</v>
      </c>
      <c r="AL24" s="3191" t="s">
        <v>3565</v>
      </c>
      <c r="AM24" s="3191" t="s">
        <v>3618</v>
      </c>
      <c r="AN24" s="3191" t="s">
        <v>3619</v>
      </c>
      <c r="AO24" s="3191" t="s">
        <v>3620</v>
      </c>
      <c r="AP24" s="3193"/>
      <c r="AQ24" s="3191"/>
      <c r="AR24" s="3191" t="s">
        <v>3506</v>
      </c>
      <c r="AS24" s="3191" t="s">
        <v>3666</v>
      </c>
      <c r="AT24" s="3191"/>
      <c r="AU24" s="3191">
        <v>2003</v>
      </c>
      <c r="AV24" s="3191">
        <v>5</v>
      </c>
      <c r="AW24" s="3191">
        <v>16</v>
      </c>
      <c r="AX24" s="3191" t="s">
        <v>3521</v>
      </c>
      <c r="AY24" s="3191" t="s">
        <v>3667</v>
      </c>
    </row>
    <row r="25" spans="1:51" s="3194" customFormat="1" ht="12" hidden="1" customHeight="1">
      <c r="A25" s="3191" t="s">
        <v>3602</v>
      </c>
      <c r="B25" s="3191" t="s">
        <v>3603</v>
      </c>
      <c r="C25" s="3191" t="s">
        <v>3554</v>
      </c>
      <c r="D25" s="3192" t="s">
        <v>3668</v>
      </c>
      <c r="E25" s="3191" t="s">
        <v>3669</v>
      </c>
      <c r="F25" s="3191" t="s">
        <v>3670</v>
      </c>
      <c r="G25" s="3191" t="s">
        <v>3462</v>
      </c>
      <c r="H25" s="3191" t="s">
        <v>3671</v>
      </c>
      <c r="I25" s="3191" t="s">
        <v>3511</v>
      </c>
      <c r="J25" s="3191" t="s">
        <v>3672</v>
      </c>
      <c r="K25" s="3191" t="s">
        <v>3672</v>
      </c>
      <c r="L25" s="3191" t="s">
        <v>3673</v>
      </c>
      <c r="M25" s="3191" t="s">
        <v>3608</v>
      </c>
      <c r="N25" s="3191" t="s">
        <v>3608</v>
      </c>
      <c r="O25" s="3191" t="s">
        <v>3466</v>
      </c>
      <c r="P25" s="3191" t="s">
        <v>3559</v>
      </c>
      <c r="Q25" s="3191" t="s">
        <v>3559</v>
      </c>
      <c r="R25" s="3191" t="s">
        <v>3515</v>
      </c>
      <c r="S25" s="3191" t="s">
        <v>3515</v>
      </c>
      <c r="T25" s="3191" t="s">
        <v>3674</v>
      </c>
      <c r="U25" s="3191" t="s">
        <v>3675</v>
      </c>
      <c r="V25" s="3191"/>
      <c r="W25" s="3191" t="s">
        <v>3676</v>
      </c>
      <c r="X25" s="3191" t="s">
        <v>3611</v>
      </c>
      <c r="Y25" s="3191"/>
      <c r="Z25" s="3191" t="s">
        <v>3587</v>
      </c>
      <c r="AA25" s="3191" t="s">
        <v>3472</v>
      </c>
      <c r="AB25" s="3191" t="s">
        <v>3612</v>
      </c>
      <c r="AC25" s="3191" t="s">
        <v>3613</v>
      </c>
      <c r="AD25" s="3191" t="s">
        <v>3614</v>
      </c>
      <c r="AE25" s="3191" t="s">
        <v>3615</v>
      </c>
      <c r="AF25" s="3191" t="s">
        <v>3677</v>
      </c>
      <c r="AG25" s="3191" t="s">
        <v>3515</v>
      </c>
      <c r="AH25" s="3191" t="s">
        <v>3616</v>
      </c>
      <c r="AI25" s="3191" t="s">
        <v>3617</v>
      </c>
      <c r="AJ25" s="3191" t="s">
        <v>3540</v>
      </c>
      <c r="AK25" s="3191" t="s">
        <v>3481</v>
      </c>
      <c r="AL25" s="3191" t="s">
        <v>3565</v>
      </c>
      <c r="AM25" s="3191" t="s">
        <v>3483</v>
      </c>
      <c r="AN25" s="3191" t="s">
        <v>3619</v>
      </c>
      <c r="AO25" s="3191" t="s">
        <v>3620</v>
      </c>
      <c r="AP25" s="3193"/>
      <c r="AQ25" s="3191"/>
      <c r="AR25" s="3191" t="s">
        <v>3506</v>
      </c>
      <c r="AS25" s="3191" t="s">
        <v>3520</v>
      </c>
      <c r="AT25" s="3191"/>
      <c r="AU25" s="3191">
        <v>2004</v>
      </c>
      <c r="AV25" s="3191">
        <v>4</v>
      </c>
      <c r="AW25" s="3191">
        <v>26</v>
      </c>
      <c r="AX25" s="3191" t="s">
        <v>3521</v>
      </c>
      <c r="AY25" s="3191"/>
    </row>
    <row r="26" spans="1:51" s="3194" customFormat="1" ht="12" hidden="1" customHeight="1">
      <c r="A26" s="3191" t="s">
        <v>3602</v>
      </c>
      <c r="B26" s="3191" t="s">
        <v>3603</v>
      </c>
      <c r="C26" s="3191" t="s">
        <v>3554</v>
      </c>
      <c r="D26" s="3192" t="s">
        <v>3678</v>
      </c>
      <c r="E26" s="3191" t="s">
        <v>3669</v>
      </c>
      <c r="F26" s="3191" t="s">
        <v>3670</v>
      </c>
      <c r="G26" s="3191" t="s">
        <v>3462</v>
      </c>
      <c r="H26" s="3191" t="s">
        <v>3671</v>
      </c>
      <c r="I26" s="3191" t="s">
        <v>3511</v>
      </c>
      <c r="J26" s="3191" t="s">
        <v>3672</v>
      </c>
      <c r="K26" s="3191" t="s">
        <v>3672</v>
      </c>
      <c r="L26" s="3191" t="s">
        <v>3673</v>
      </c>
      <c r="M26" s="3191" t="s">
        <v>3608</v>
      </c>
      <c r="N26" s="3191" t="s">
        <v>3608</v>
      </c>
      <c r="O26" s="3191" t="s">
        <v>3466</v>
      </c>
      <c r="P26" s="3191" t="s">
        <v>3559</v>
      </c>
      <c r="Q26" s="3191" t="s">
        <v>3559</v>
      </c>
      <c r="R26" s="3191" t="s">
        <v>3515</v>
      </c>
      <c r="S26" s="3191" t="s">
        <v>3515</v>
      </c>
      <c r="T26" s="3191" t="s">
        <v>3674</v>
      </c>
      <c r="U26" s="3191" t="s">
        <v>3675</v>
      </c>
      <c r="V26" s="3191"/>
      <c r="W26" s="3191" t="s">
        <v>3679</v>
      </c>
      <c r="X26" s="3191" t="s">
        <v>3680</v>
      </c>
      <c r="Y26" s="3191"/>
      <c r="Z26" s="3191" t="s">
        <v>3587</v>
      </c>
      <c r="AA26" s="3191" t="s">
        <v>3472</v>
      </c>
      <c r="AB26" s="3191" t="s">
        <v>3612</v>
      </c>
      <c r="AC26" s="3191" t="s">
        <v>3613</v>
      </c>
      <c r="AD26" s="3191" t="s">
        <v>3614</v>
      </c>
      <c r="AE26" s="3191" t="s">
        <v>3615</v>
      </c>
      <c r="AF26" s="3191" t="s">
        <v>3477</v>
      </c>
      <c r="AG26" s="3191" t="s">
        <v>3681</v>
      </c>
      <c r="AH26" s="3191" t="s">
        <v>3616</v>
      </c>
      <c r="AI26" s="3191" t="s">
        <v>3617</v>
      </c>
      <c r="AJ26" s="3191" t="s">
        <v>3540</v>
      </c>
      <c r="AK26" s="3191" t="s">
        <v>3481</v>
      </c>
      <c r="AL26" s="3191" t="s">
        <v>3565</v>
      </c>
      <c r="AM26" s="3191" t="s">
        <v>3483</v>
      </c>
      <c r="AN26" s="3191" t="s">
        <v>3619</v>
      </c>
      <c r="AO26" s="3191" t="s">
        <v>3620</v>
      </c>
      <c r="AP26" s="3193"/>
      <c r="AQ26" s="3191"/>
      <c r="AR26" s="3191" t="s">
        <v>3506</v>
      </c>
      <c r="AS26" s="3191" t="s">
        <v>3520</v>
      </c>
      <c r="AT26" s="3191"/>
      <c r="AU26" s="3191">
        <v>2004</v>
      </c>
      <c r="AV26" s="3191">
        <v>6</v>
      </c>
      <c r="AW26" s="3191">
        <v>22</v>
      </c>
      <c r="AX26" s="3191" t="s">
        <v>3682</v>
      </c>
      <c r="AY26" s="3191"/>
    </row>
    <row r="27" spans="1:51" s="3194" customFormat="1" ht="12" hidden="1" customHeight="1">
      <c r="A27" s="3191" t="s">
        <v>3602</v>
      </c>
      <c r="B27" s="3191" t="s">
        <v>3603</v>
      </c>
      <c r="C27" s="3191" t="s">
        <v>3554</v>
      </c>
      <c r="D27" s="3192" t="s">
        <v>3683</v>
      </c>
      <c r="E27" s="3191" t="s">
        <v>3669</v>
      </c>
      <c r="F27" s="3191" t="s">
        <v>3670</v>
      </c>
      <c r="G27" s="3191" t="s">
        <v>3462</v>
      </c>
      <c r="H27" s="3191" t="s">
        <v>3671</v>
      </c>
      <c r="I27" s="3191" t="s">
        <v>3511</v>
      </c>
      <c r="J27" s="3191" t="s">
        <v>3672</v>
      </c>
      <c r="K27" s="3191" t="s">
        <v>3672</v>
      </c>
      <c r="L27" s="3191" t="s">
        <v>3673</v>
      </c>
      <c r="M27" s="3191" t="s">
        <v>3608</v>
      </c>
      <c r="N27" s="3191" t="s">
        <v>3608</v>
      </c>
      <c r="O27" s="3191" t="s">
        <v>3466</v>
      </c>
      <c r="P27" s="3191" t="s">
        <v>3559</v>
      </c>
      <c r="Q27" s="3191" t="s">
        <v>3559</v>
      </c>
      <c r="R27" s="3191" t="s">
        <v>3515</v>
      </c>
      <c r="S27" s="3191" t="s">
        <v>3515</v>
      </c>
      <c r="T27" s="3191" t="s">
        <v>3674</v>
      </c>
      <c r="U27" s="3191" t="s">
        <v>3675</v>
      </c>
      <c r="V27" s="3191"/>
      <c r="W27" s="3191"/>
      <c r="X27" s="3191" t="s">
        <v>3680</v>
      </c>
      <c r="Y27" s="3191"/>
      <c r="Z27" s="3191" t="s">
        <v>3587</v>
      </c>
      <c r="AA27" s="3191" t="s">
        <v>3472</v>
      </c>
      <c r="AB27" s="3191" t="s">
        <v>3612</v>
      </c>
      <c r="AC27" s="3191" t="s">
        <v>3613</v>
      </c>
      <c r="AD27" s="3191" t="s">
        <v>3614</v>
      </c>
      <c r="AE27" s="3191" t="s">
        <v>3615</v>
      </c>
      <c r="AF27" s="3191" t="s">
        <v>3477</v>
      </c>
      <c r="AG27" s="3191" t="s">
        <v>3534</v>
      </c>
      <c r="AH27" s="3191" t="s">
        <v>3616</v>
      </c>
      <c r="AI27" s="3191" t="s">
        <v>3617</v>
      </c>
      <c r="AJ27" s="3191" t="s">
        <v>3540</v>
      </c>
      <c r="AK27" s="3191" t="s">
        <v>3481</v>
      </c>
      <c r="AL27" s="3191" t="s">
        <v>3565</v>
      </c>
      <c r="AM27" s="3191" t="s">
        <v>3483</v>
      </c>
      <c r="AN27" s="3191" t="s">
        <v>3619</v>
      </c>
      <c r="AO27" s="3191" t="s">
        <v>3620</v>
      </c>
      <c r="AP27" s="3193"/>
      <c r="AQ27" s="3191"/>
      <c r="AR27" s="3191" t="s">
        <v>3506</v>
      </c>
      <c r="AS27" s="3191" t="s">
        <v>3520</v>
      </c>
      <c r="AT27" s="3191"/>
      <c r="AU27" s="3191">
        <v>2004</v>
      </c>
      <c r="AV27" s="3191">
        <v>6</v>
      </c>
      <c r="AW27" s="3191">
        <v>22</v>
      </c>
      <c r="AX27" s="3191" t="s">
        <v>3682</v>
      </c>
      <c r="AY27" s="3191"/>
    </row>
    <row r="28" spans="1:51" s="3194" customFormat="1" ht="12" hidden="1" customHeight="1">
      <c r="A28" s="3191" t="s">
        <v>3602</v>
      </c>
      <c r="B28" s="3191" t="s">
        <v>3684</v>
      </c>
      <c r="C28" s="3191" t="s">
        <v>3554</v>
      </c>
      <c r="D28" s="3192" t="s">
        <v>3685</v>
      </c>
      <c r="E28" s="3191"/>
      <c r="F28" s="3191"/>
      <c r="G28" s="3191" t="s">
        <v>3462</v>
      </c>
      <c r="H28" s="3191" t="s">
        <v>3646</v>
      </c>
      <c r="I28" s="3191" t="s">
        <v>3511</v>
      </c>
      <c r="J28" s="3191" t="s">
        <v>3606</v>
      </c>
      <c r="K28" s="3191" t="s">
        <v>3606</v>
      </c>
      <c r="L28" s="3191" t="s">
        <v>3511</v>
      </c>
      <c r="M28" s="3191" t="s">
        <v>3608</v>
      </c>
      <c r="N28" s="3191" t="s">
        <v>3608</v>
      </c>
      <c r="O28" s="3191" t="s">
        <v>3653</v>
      </c>
      <c r="P28" s="3191" t="s">
        <v>3559</v>
      </c>
      <c r="Q28" s="3191" t="s">
        <v>3559</v>
      </c>
      <c r="R28" s="3191"/>
      <c r="S28" s="3191" t="s">
        <v>3515</v>
      </c>
      <c r="T28" s="3191" t="s">
        <v>3515</v>
      </c>
      <c r="U28" s="3191" t="s">
        <v>3655</v>
      </c>
      <c r="V28" s="3191"/>
      <c r="W28" s="3191"/>
      <c r="X28" s="3191"/>
      <c r="Y28" s="3191"/>
      <c r="Z28" s="3191" t="s">
        <v>3587</v>
      </c>
      <c r="AA28" s="3191" t="s">
        <v>3628</v>
      </c>
      <c r="AB28" s="3191" t="s">
        <v>3686</v>
      </c>
      <c r="AC28" s="3191" t="s">
        <v>3563</v>
      </c>
      <c r="AD28" s="3191"/>
      <c r="AE28" s="3191" t="s">
        <v>3629</v>
      </c>
      <c r="AF28" s="3191" t="s">
        <v>3630</v>
      </c>
      <c r="AG28" s="3191" t="s">
        <v>3649</v>
      </c>
      <c r="AH28" s="3191" t="s">
        <v>3631</v>
      </c>
      <c r="AI28" s="3191" t="s">
        <v>3632</v>
      </c>
      <c r="AJ28" s="3191" t="s">
        <v>3633</v>
      </c>
      <c r="AK28" s="3191" t="s">
        <v>3481</v>
      </c>
      <c r="AL28" s="3191" t="s">
        <v>3565</v>
      </c>
      <c r="AM28" s="3191" t="s">
        <v>3618</v>
      </c>
      <c r="AN28" s="3191" t="s">
        <v>3634</v>
      </c>
      <c r="AO28" s="3191" t="s">
        <v>3620</v>
      </c>
      <c r="AP28" s="3193">
        <v>0.35</v>
      </c>
      <c r="AQ28" s="3191"/>
      <c r="AR28" s="3191" t="s">
        <v>3506</v>
      </c>
      <c r="AS28" s="3191"/>
      <c r="AT28" s="3191" t="s">
        <v>3687</v>
      </c>
      <c r="AU28" s="3191">
        <v>2001</v>
      </c>
      <c r="AV28" s="3191">
        <v>9</v>
      </c>
      <c r="AW28" s="3191">
        <v>19</v>
      </c>
      <c r="AX28" s="3191"/>
      <c r="AY28" s="3191"/>
    </row>
    <row r="29" spans="1:51" s="3194" customFormat="1" ht="12" hidden="1" customHeight="1">
      <c r="A29" s="3191" t="s">
        <v>3602</v>
      </c>
      <c r="B29" s="3191" t="s">
        <v>3684</v>
      </c>
      <c r="C29" s="3191" t="s">
        <v>3554</v>
      </c>
      <c r="D29" s="3192" t="s">
        <v>3688</v>
      </c>
      <c r="E29" s="3191"/>
      <c r="F29" s="3191"/>
      <c r="G29" s="3191" t="s">
        <v>3462</v>
      </c>
      <c r="H29" s="3191" t="s">
        <v>3646</v>
      </c>
      <c r="I29" s="3191" t="s">
        <v>3511</v>
      </c>
      <c r="J29" s="3191" t="s">
        <v>3606</v>
      </c>
      <c r="K29" s="3191" t="s">
        <v>3606</v>
      </c>
      <c r="L29" s="3191" t="s">
        <v>3511</v>
      </c>
      <c r="M29" s="3191" t="s">
        <v>3608</v>
      </c>
      <c r="N29" s="3191" t="s">
        <v>3608</v>
      </c>
      <c r="O29" s="3191" t="s">
        <v>3653</v>
      </c>
      <c r="P29" s="3191" t="s">
        <v>3559</v>
      </c>
      <c r="Q29" s="3191" t="s">
        <v>3559</v>
      </c>
      <c r="R29" s="3191"/>
      <c r="S29" s="3191" t="s">
        <v>3689</v>
      </c>
      <c r="T29" s="3191" t="s">
        <v>3690</v>
      </c>
      <c r="U29" s="3191" t="s">
        <v>3691</v>
      </c>
      <c r="V29" s="3191"/>
      <c r="W29" s="3191"/>
      <c r="X29" s="3191"/>
      <c r="Y29" s="3191"/>
      <c r="Z29" s="3191" t="s">
        <v>3587</v>
      </c>
      <c r="AA29" s="3191" t="s">
        <v>3628</v>
      </c>
      <c r="AB29" s="3191" t="s">
        <v>3686</v>
      </c>
      <c r="AC29" s="3191" t="s">
        <v>3563</v>
      </c>
      <c r="AD29" s="3191"/>
      <c r="AE29" s="3191" t="s">
        <v>3629</v>
      </c>
      <c r="AF29" s="3191" t="s">
        <v>3630</v>
      </c>
      <c r="AG29" s="3191" t="s">
        <v>3649</v>
      </c>
      <c r="AH29" s="3191" t="s">
        <v>3631</v>
      </c>
      <c r="AI29" s="3191" t="s">
        <v>3632</v>
      </c>
      <c r="AJ29" s="3191" t="s">
        <v>3633</v>
      </c>
      <c r="AK29" s="3191" t="s">
        <v>3481</v>
      </c>
      <c r="AL29" s="3191" t="s">
        <v>3565</v>
      </c>
      <c r="AM29" s="3191" t="s">
        <v>3618</v>
      </c>
      <c r="AN29" s="3191" t="s">
        <v>3634</v>
      </c>
      <c r="AO29" s="3191" t="s">
        <v>3620</v>
      </c>
      <c r="AP29" s="3193">
        <v>0.35</v>
      </c>
      <c r="AQ29" s="3191"/>
      <c r="AR29" s="3191" t="s">
        <v>3506</v>
      </c>
      <c r="AS29" s="3191"/>
      <c r="AT29" s="3191" t="s">
        <v>3687</v>
      </c>
      <c r="AU29" s="3191">
        <v>2001</v>
      </c>
      <c r="AV29" s="3191">
        <v>9</v>
      </c>
      <c r="AW29" s="3191">
        <v>19</v>
      </c>
      <c r="AX29" s="3191"/>
      <c r="AY29" s="3191"/>
    </row>
    <row r="30" spans="1:51" s="3194" customFormat="1" ht="12" hidden="1" customHeight="1">
      <c r="A30" s="3191"/>
      <c r="B30" s="3203" t="s">
        <v>3692</v>
      </c>
      <c r="C30" s="3191" t="s">
        <v>2771</v>
      </c>
      <c r="D30" s="3192" t="s">
        <v>3693</v>
      </c>
      <c r="E30" s="3191"/>
      <c r="F30" s="3191"/>
      <c r="G30" s="3195" t="s">
        <v>3694</v>
      </c>
      <c r="H30" s="3195" t="s">
        <v>3695</v>
      </c>
      <c r="I30" s="3195" t="s">
        <v>3696</v>
      </c>
      <c r="J30" s="3195" t="s">
        <v>3696</v>
      </c>
      <c r="K30" s="3195" t="s">
        <v>3696</v>
      </c>
      <c r="L30" s="3191" t="s">
        <v>3696</v>
      </c>
      <c r="M30" s="3191" t="s">
        <v>3696</v>
      </c>
      <c r="N30" s="3191" t="s">
        <v>3696</v>
      </c>
      <c r="O30" s="3191" t="s">
        <v>3697</v>
      </c>
      <c r="P30" s="3191" t="s">
        <v>3697</v>
      </c>
      <c r="Q30" s="3191" t="s">
        <v>3697</v>
      </c>
      <c r="R30" s="3191" t="s">
        <v>3534</v>
      </c>
      <c r="S30" s="3191" t="s">
        <v>3534</v>
      </c>
      <c r="T30" s="3191" t="s">
        <v>3534</v>
      </c>
      <c r="U30" s="3191" t="s">
        <v>3534</v>
      </c>
      <c r="V30" s="3191"/>
      <c r="W30" s="3191"/>
      <c r="X30" s="3191" t="s">
        <v>3698</v>
      </c>
      <c r="Y30" s="3191"/>
      <c r="Z30" s="3195" t="s">
        <v>3699</v>
      </c>
      <c r="AA30" s="3195" t="s">
        <v>3535</v>
      </c>
      <c r="AB30" s="3191" t="s">
        <v>3700</v>
      </c>
      <c r="AC30" s="3191" t="s">
        <v>3537</v>
      </c>
      <c r="AD30" s="3191" t="s">
        <v>3701</v>
      </c>
      <c r="AE30" s="3191" t="s">
        <v>3702</v>
      </c>
      <c r="AF30" s="3191" t="s">
        <v>3703</v>
      </c>
      <c r="AG30" s="3191" t="s">
        <v>3704</v>
      </c>
      <c r="AH30" s="3191" t="s">
        <v>3705</v>
      </c>
      <c r="AI30" s="3191" t="s">
        <v>3706</v>
      </c>
      <c r="AJ30" s="3191" t="s">
        <v>3707</v>
      </c>
      <c r="AK30" s="3191" t="s">
        <v>3708</v>
      </c>
      <c r="AL30" s="3191" t="s">
        <v>3709</v>
      </c>
      <c r="AM30" s="3191" t="s">
        <v>3710</v>
      </c>
      <c r="AN30" s="3191" t="s">
        <v>3711</v>
      </c>
      <c r="AO30" s="3191" t="s">
        <v>3712</v>
      </c>
      <c r="AP30" s="3193"/>
      <c r="AQ30" s="3191"/>
      <c r="AR30" s="3191" t="s">
        <v>3713</v>
      </c>
      <c r="AS30" s="3191" t="s">
        <v>3714</v>
      </c>
      <c r="AT30" s="3191"/>
      <c r="AU30" s="3191">
        <v>2007</v>
      </c>
      <c r="AV30" s="3191">
        <v>5</v>
      </c>
      <c r="AW30" s="3191">
        <v>14</v>
      </c>
      <c r="AX30" s="3191" t="s">
        <v>3543</v>
      </c>
      <c r="AY30" s="3191" t="s">
        <v>3715</v>
      </c>
    </row>
    <row r="31" spans="1:51" s="3194" customFormat="1" ht="12" hidden="1" customHeight="1">
      <c r="A31" s="3191" t="s">
        <v>3458</v>
      </c>
      <c r="B31" s="3191" t="s">
        <v>3488</v>
      </c>
      <c r="C31" s="3191" t="s">
        <v>3460</v>
      </c>
      <c r="D31" s="3192" t="s">
        <v>3461</v>
      </c>
      <c r="E31" s="3191"/>
      <c r="F31" s="3191"/>
      <c r="G31" s="3191" t="s">
        <v>3462</v>
      </c>
      <c r="H31" s="3191" t="s">
        <v>3463</v>
      </c>
      <c r="I31" s="3191" t="s">
        <v>3464</v>
      </c>
      <c r="J31" s="3191" t="s">
        <v>3465</v>
      </c>
      <c r="K31" s="3191" t="s">
        <v>3465</v>
      </c>
      <c r="L31" s="3191" t="s">
        <v>3464</v>
      </c>
      <c r="M31" s="3191" t="s">
        <v>3465</v>
      </c>
      <c r="N31" s="3191" t="s">
        <v>3465</v>
      </c>
      <c r="O31" s="3191" t="s">
        <v>3466</v>
      </c>
      <c r="P31" s="3191" t="s">
        <v>3466</v>
      </c>
      <c r="Q31" s="3191" t="s">
        <v>3466</v>
      </c>
      <c r="R31" s="3191" t="s">
        <v>3467</v>
      </c>
      <c r="S31" s="3191"/>
      <c r="T31" s="3191" t="s">
        <v>3468</v>
      </c>
      <c r="U31" s="3191" t="s">
        <v>3469</v>
      </c>
      <c r="V31" s="3191"/>
      <c r="W31" s="3191"/>
      <c r="X31" s="3191" t="s">
        <v>3470</v>
      </c>
      <c r="Y31" s="3191"/>
      <c r="Z31" s="3191" t="s">
        <v>3471</v>
      </c>
      <c r="AA31" s="3191" t="s">
        <v>3472</v>
      </c>
      <c r="AB31" s="3191" t="s">
        <v>3473</v>
      </c>
      <c r="AC31" s="3191" t="s">
        <v>3474</v>
      </c>
      <c r="AD31" s="3191" t="s">
        <v>3475</v>
      </c>
      <c r="AE31" s="3191" t="s">
        <v>3476</v>
      </c>
      <c r="AF31" s="3191" t="s">
        <v>3477</v>
      </c>
      <c r="AG31" s="3191"/>
      <c r="AH31" s="3191" t="s">
        <v>3478</v>
      </c>
      <c r="AI31" s="3191" t="s">
        <v>3479</v>
      </c>
      <c r="AJ31" s="3191" t="s">
        <v>3480</v>
      </c>
      <c r="AK31" s="3191" t="s">
        <v>3481</v>
      </c>
      <c r="AL31" s="3191" t="s">
        <v>3482</v>
      </c>
      <c r="AM31" s="3191" t="s">
        <v>3483</v>
      </c>
      <c r="AN31" s="3191" t="s">
        <v>3484</v>
      </c>
      <c r="AO31" s="3191" t="s">
        <v>3485</v>
      </c>
      <c r="AP31" s="3193"/>
      <c r="AQ31" s="3191"/>
      <c r="AR31" s="3191" t="s">
        <v>3486</v>
      </c>
      <c r="AS31" s="3191"/>
      <c r="AT31" s="3191" t="s">
        <v>3487</v>
      </c>
      <c r="AU31" s="3191">
        <v>2001</v>
      </c>
      <c r="AV31" s="3191">
        <v>2</v>
      </c>
      <c r="AW31" s="3191">
        <v>22</v>
      </c>
      <c r="AX31" s="3191"/>
      <c r="AY31" s="3191"/>
    </row>
    <row r="32" spans="1:51" s="3194" customFormat="1" ht="12" hidden="1" customHeight="1">
      <c r="A32" s="3191" t="s">
        <v>3458</v>
      </c>
      <c r="B32" s="3191" t="s">
        <v>3488</v>
      </c>
      <c r="C32" s="3191" t="s">
        <v>3460</v>
      </c>
      <c r="D32" s="3192">
        <v>18</v>
      </c>
      <c r="E32" s="3191"/>
      <c r="F32" s="3191"/>
      <c r="G32" s="3191" t="s">
        <v>3462</v>
      </c>
      <c r="H32" s="3191" t="s">
        <v>3463</v>
      </c>
      <c r="I32" s="3191" t="s">
        <v>3464</v>
      </c>
      <c r="J32" s="3191" t="s">
        <v>3465</v>
      </c>
      <c r="K32" s="3191" t="s">
        <v>3465</v>
      </c>
      <c r="L32" s="3191" t="s">
        <v>3464</v>
      </c>
      <c r="M32" s="3191" t="s">
        <v>3465</v>
      </c>
      <c r="N32" s="3191" t="s">
        <v>3465</v>
      </c>
      <c r="O32" s="3191" t="s">
        <v>3466</v>
      </c>
      <c r="P32" s="3191" t="s">
        <v>3466</v>
      </c>
      <c r="Q32" s="3191" t="s">
        <v>3466</v>
      </c>
      <c r="R32" s="3191" t="s">
        <v>3467</v>
      </c>
      <c r="S32" s="3191"/>
      <c r="T32" s="3191" t="s">
        <v>3468</v>
      </c>
      <c r="U32" s="3191" t="s">
        <v>3469</v>
      </c>
      <c r="V32" s="3191"/>
      <c r="W32" s="3191"/>
      <c r="X32" s="3191" t="s">
        <v>3470</v>
      </c>
      <c r="Y32" s="3191"/>
      <c r="Z32" s="3191" t="s">
        <v>3471</v>
      </c>
      <c r="AA32" s="3191" t="s">
        <v>3472</v>
      </c>
      <c r="AB32" s="3191" t="s">
        <v>3489</v>
      </c>
      <c r="AC32" s="3191" t="s">
        <v>3474</v>
      </c>
      <c r="AD32" s="3191" t="s">
        <v>3475</v>
      </c>
      <c r="AE32" s="3191" t="s">
        <v>3490</v>
      </c>
      <c r="AF32" s="3191" t="s">
        <v>3477</v>
      </c>
      <c r="AG32" s="3191"/>
      <c r="AH32" s="3191" t="s">
        <v>3478</v>
      </c>
      <c r="AI32" s="3191" t="s">
        <v>3479</v>
      </c>
      <c r="AJ32" s="3191" t="s">
        <v>3480</v>
      </c>
      <c r="AK32" s="3191" t="s">
        <v>3481</v>
      </c>
      <c r="AL32" s="3191" t="s">
        <v>3482</v>
      </c>
      <c r="AM32" s="3191" t="s">
        <v>3483</v>
      </c>
      <c r="AN32" s="3191" t="s">
        <v>3484</v>
      </c>
      <c r="AO32" s="3191" t="s">
        <v>3485</v>
      </c>
      <c r="AP32" s="3193"/>
      <c r="AQ32" s="3191"/>
      <c r="AR32" s="3191" t="s">
        <v>3486</v>
      </c>
      <c r="AS32" s="3191"/>
      <c r="AT32" s="3191" t="s">
        <v>3487</v>
      </c>
      <c r="AU32" s="3191">
        <v>2001</v>
      </c>
      <c r="AV32" s="3191">
        <v>2</v>
      </c>
      <c r="AW32" s="3191">
        <v>22</v>
      </c>
      <c r="AX32" s="3191"/>
      <c r="AY32" s="3191"/>
    </row>
    <row r="33" spans="1:51" s="3194" customFormat="1" ht="12" hidden="1" customHeight="1">
      <c r="A33" s="3191" t="s">
        <v>3491</v>
      </c>
      <c r="B33" s="3191" t="s">
        <v>3492</v>
      </c>
      <c r="C33" s="3191" t="s">
        <v>3460</v>
      </c>
      <c r="D33" s="3192" t="s">
        <v>3493</v>
      </c>
      <c r="E33" s="3191" t="s">
        <v>3494</v>
      </c>
      <c r="F33" s="3191" t="s">
        <v>3495</v>
      </c>
      <c r="G33" s="3191" t="s">
        <v>3462</v>
      </c>
      <c r="H33" s="3191" t="s">
        <v>3496</v>
      </c>
      <c r="I33" s="3191" t="s">
        <v>3497</v>
      </c>
      <c r="J33" s="3191" t="s">
        <v>3465</v>
      </c>
      <c r="K33" s="3191" t="s">
        <v>3465</v>
      </c>
      <c r="L33" s="3191" t="s">
        <v>3497</v>
      </c>
      <c r="M33" s="3191" t="s">
        <v>3465</v>
      </c>
      <c r="N33" s="3191" t="s">
        <v>3465</v>
      </c>
      <c r="O33" s="3191" t="s">
        <v>3498</v>
      </c>
      <c r="P33" s="3191" t="s">
        <v>3466</v>
      </c>
      <c r="Q33" s="3191" t="s">
        <v>3466</v>
      </c>
      <c r="R33" s="3191" t="s">
        <v>3467</v>
      </c>
      <c r="S33" s="3191"/>
      <c r="T33" s="3191" t="s">
        <v>3468</v>
      </c>
      <c r="U33" s="3191" t="s">
        <v>3469</v>
      </c>
      <c r="V33" s="3191"/>
      <c r="W33" s="3191"/>
      <c r="X33" s="3191" t="s">
        <v>3499</v>
      </c>
      <c r="Y33" s="3191"/>
      <c r="Z33" s="3191" t="s">
        <v>3500</v>
      </c>
      <c r="AA33" s="3191" t="s">
        <v>3472</v>
      </c>
      <c r="AB33" s="3191" t="s">
        <v>3501</v>
      </c>
      <c r="AC33" s="3191" t="s">
        <v>3474</v>
      </c>
      <c r="AD33" s="3191" t="s">
        <v>3475</v>
      </c>
      <c r="AE33" s="3191" t="s">
        <v>3476</v>
      </c>
      <c r="AF33" s="3191" t="s">
        <v>3502</v>
      </c>
      <c r="AG33" s="3191" t="s">
        <v>3503</v>
      </c>
      <c r="AH33" s="3191" t="s">
        <v>3504</v>
      </c>
      <c r="AI33" s="3191" t="s">
        <v>3505</v>
      </c>
      <c r="AJ33" s="3191" t="s">
        <v>3480</v>
      </c>
      <c r="AK33" s="3191" t="s">
        <v>3481</v>
      </c>
      <c r="AL33" s="3191" t="s">
        <v>3482</v>
      </c>
      <c r="AM33" s="3191" t="s">
        <v>3483</v>
      </c>
      <c r="AN33" s="3191" t="s">
        <v>3484</v>
      </c>
      <c r="AO33" s="3191" t="s">
        <v>3485</v>
      </c>
      <c r="AP33" s="3193"/>
      <c r="AQ33" s="3191"/>
      <c r="AR33" s="3191" t="s">
        <v>3506</v>
      </c>
      <c r="AS33" s="3191"/>
      <c r="AT33" s="3191" t="s">
        <v>3507</v>
      </c>
      <c r="AU33" s="3191">
        <v>2001</v>
      </c>
      <c r="AV33" s="3191">
        <v>8</v>
      </c>
      <c r="AW33" s="3191">
        <v>7</v>
      </c>
      <c r="AX33" s="3191"/>
      <c r="AY33" s="3191"/>
    </row>
    <row r="34" spans="1:51" s="3194" customFormat="1" ht="12" hidden="1" customHeight="1">
      <c r="A34" s="3191" t="s">
        <v>3491</v>
      </c>
      <c r="B34" s="3191" t="s">
        <v>3492</v>
      </c>
      <c r="C34" s="3191" t="s">
        <v>3460</v>
      </c>
      <c r="D34" s="3192" t="s">
        <v>3508</v>
      </c>
      <c r="E34" s="3191" t="s">
        <v>3494</v>
      </c>
      <c r="F34" s="3191" t="s">
        <v>3495</v>
      </c>
      <c r="G34" s="3191" t="s">
        <v>3509</v>
      </c>
      <c r="H34" s="3191" t="s">
        <v>3510</v>
      </c>
      <c r="I34" s="3191" t="s">
        <v>3511</v>
      </c>
      <c r="J34" s="3191" t="s">
        <v>3512</v>
      </c>
      <c r="K34" s="3191" t="s">
        <v>3512</v>
      </c>
      <c r="L34" s="3191" t="s">
        <v>3511</v>
      </c>
      <c r="M34" s="3191" t="s">
        <v>3513</v>
      </c>
      <c r="N34" s="3191" t="s">
        <v>3513</v>
      </c>
      <c r="O34" s="3191" t="s">
        <v>3466</v>
      </c>
      <c r="P34" s="3191" t="s">
        <v>3514</v>
      </c>
      <c r="Q34" s="3191" t="s">
        <v>3514</v>
      </c>
      <c r="R34" s="3191" t="s">
        <v>3515</v>
      </c>
      <c r="S34" s="3191" t="s">
        <v>3515</v>
      </c>
      <c r="T34" s="3191" t="s">
        <v>3515</v>
      </c>
      <c r="U34" s="3191" t="s">
        <v>3515</v>
      </c>
      <c r="V34" s="3191"/>
      <c r="W34" s="3191"/>
      <c r="X34" s="3191" t="s">
        <v>3499</v>
      </c>
      <c r="Y34" s="3191"/>
      <c r="Z34" s="3191" t="s">
        <v>3500</v>
      </c>
      <c r="AA34" s="3191" t="s">
        <v>3472</v>
      </c>
      <c r="AB34" s="3191" t="s">
        <v>3516</v>
      </c>
      <c r="AC34" s="3191" t="s">
        <v>3474</v>
      </c>
      <c r="AD34" s="3191" t="s">
        <v>3475</v>
      </c>
      <c r="AE34" s="3191" t="s">
        <v>3517</v>
      </c>
      <c r="AF34" s="3191" t="s">
        <v>3502</v>
      </c>
      <c r="AG34" s="3191" t="s">
        <v>3518</v>
      </c>
      <c r="AH34" s="3191" t="s">
        <v>3504</v>
      </c>
      <c r="AI34" s="3191" t="s">
        <v>3505</v>
      </c>
      <c r="AJ34" s="3191" t="s">
        <v>3480</v>
      </c>
      <c r="AK34" s="3191" t="s">
        <v>3481</v>
      </c>
      <c r="AL34" s="3191" t="s">
        <v>3482</v>
      </c>
      <c r="AM34" s="3191" t="s">
        <v>3483</v>
      </c>
      <c r="AN34" s="3191" t="s">
        <v>3519</v>
      </c>
      <c r="AO34" s="3191" t="s">
        <v>3485</v>
      </c>
      <c r="AP34" s="3193"/>
      <c r="AQ34" s="3191"/>
      <c r="AR34" s="3191" t="s">
        <v>3506</v>
      </c>
      <c r="AS34" s="3191"/>
      <c r="AT34" s="3191" t="s">
        <v>3520</v>
      </c>
      <c r="AU34" s="3191">
        <v>2002</v>
      </c>
      <c r="AV34" s="3191">
        <v>9</v>
      </c>
      <c r="AW34" s="3191">
        <v>10</v>
      </c>
      <c r="AX34" s="3191" t="s">
        <v>3521</v>
      </c>
      <c r="AY34" s="3191"/>
    </row>
    <row r="35" spans="1:51" s="3194" customFormat="1" ht="12" hidden="1" customHeight="1">
      <c r="A35" s="3191" t="s">
        <v>3491</v>
      </c>
      <c r="B35" s="3191" t="s">
        <v>3492</v>
      </c>
      <c r="C35" s="3191" t="s">
        <v>3460</v>
      </c>
      <c r="D35" s="3192" t="s">
        <v>3522</v>
      </c>
      <c r="E35" s="3191" t="s">
        <v>3494</v>
      </c>
      <c r="F35" s="3191" t="s">
        <v>3495</v>
      </c>
      <c r="G35" s="3191" t="s">
        <v>3523</v>
      </c>
      <c r="H35" s="3191" t="s">
        <v>3510</v>
      </c>
      <c r="I35" s="3191" t="s">
        <v>3511</v>
      </c>
      <c r="J35" s="3191" t="s">
        <v>3512</v>
      </c>
      <c r="K35" s="3191" t="s">
        <v>3512</v>
      </c>
      <c r="L35" s="3191" t="s">
        <v>3511</v>
      </c>
      <c r="M35" s="3191" t="s">
        <v>3513</v>
      </c>
      <c r="N35" s="3191" t="s">
        <v>3513</v>
      </c>
      <c r="O35" s="3191" t="s">
        <v>3466</v>
      </c>
      <c r="P35" s="3191" t="s">
        <v>3514</v>
      </c>
      <c r="Q35" s="3191" t="s">
        <v>3514</v>
      </c>
      <c r="R35" s="3191" t="s">
        <v>3515</v>
      </c>
      <c r="S35" s="3191" t="s">
        <v>3515</v>
      </c>
      <c r="T35" s="3191" t="s">
        <v>3515</v>
      </c>
      <c r="U35" s="3191" t="s">
        <v>3515</v>
      </c>
      <c r="V35" s="3191"/>
      <c r="W35" s="3191"/>
      <c r="X35" s="3191" t="s">
        <v>3499</v>
      </c>
      <c r="Y35" s="3191"/>
      <c r="Z35" s="3191" t="s">
        <v>3500</v>
      </c>
      <c r="AA35" s="3191" t="s">
        <v>3472</v>
      </c>
      <c r="AB35" s="3191" t="s">
        <v>3516</v>
      </c>
      <c r="AC35" s="3191" t="s">
        <v>3474</v>
      </c>
      <c r="AD35" s="3191" t="s">
        <v>3475</v>
      </c>
      <c r="AE35" s="3191" t="s">
        <v>3517</v>
      </c>
      <c r="AF35" s="3191" t="s">
        <v>3477</v>
      </c>
      <c r="AG35" s="3191" t="s">
        <v>3515</v>
      </c>
      <c r="AH35" s="3191" t="s">
        <v>3504</v>
      </c>
      <c r="AI35" s="3191" t="s">
        <v>3505</v>
      </c>
      <c r="AJ35" s="3191" t="s">
        <v>3480</v>
      </c>
      <c r="AK35" s="3191" t="s">
        <v>3481</v>
      </c>
      <c r="AL35" s="3191" t="s">
        <v>3482</v>
      </c>
      <c r="AM35" s="3191" t="s">
        <v>3483</v>
      </c>
      <c r="AN35" s="3191" t="s">
        <v>3519</v>
      </c>
      <c r="AO35" s="3191" t="s">
        <v>3485</v>
      </c>
      <c r="AP35" s="3193"/>
      <c r="AQ35" s="3191"/>
      <c r="AR35" s="3191" t="s">
        <v>3506</v>
      </c>
      <c r="AS35" s="3191"/>
      <c r="AT35" s="3191" t="s">
        <v>3520</v>
      </c>
      <c r="AU35" s="3191">
        <v>2002</v>
      </c>
      <c r="AV35" s="3191">
        <v>9</v>
      </c>
      <c r="AW35" s="3191">
        <v>10</v>
      </c>
      <c r="AX35" s="3191" t="s">
        <v>3521</v>
      </c>
      <c r="AY35" s="3191"/>
    </row>
    <row r="36" spans="1:51" s="3194" customFormat="1" ht="12" hidden="1" customHeight="1">
      <c r="A36" s="3191" t="s">
        <v>3491</v>
      </c>
      <c r="B36" s="3191" t="s">
        <v>3492</v>
      </c>
      <c r="C36" s="3191" t="s">
        <v>3460</v>
      </c>
      <c r="D36" s="3192" t="s">
        <v>3524</v>
      </c>
      <c r="E36" s="3191" t="s">
        <v>3494</v>
      </c>
      <c r="F36" s="3191" t="s">
        <v>3495</v>
      </c>
      <c r="G36" s="3191" t="s">
        <v>3462</v>
      </c>
      <c r="H36" s="3191" t="s">
        <v>3496</v>
      </c>
      <c r="I36" s="3191" t="s">
        <v>3525</v>
      </c>
      <c r="J36" s="3191" t="s">
        <v>3525</v>
      </c>
      <c r="K36" s="3191" t="s">
        <v>3525</v>
      </c>
      <c r="L36" s="3191" t="s">
        <v>3525</v>
      </c>
      <c r="M36" s="3191" t="s">
        <v>3525</v>
      </c>
      <c r="N36" s="3191" t="s">
        <v>3525</v>
      </c>
      <c r="O36" s="3191" t="s">
        <v>3498</v>
      </c>
      <c r="P36" s="3191" t="s">
        <v>3513</v>
      </c>
      <c r="Q36" s="3191" t="s">
        <v>3513</v>
      </c>
      <c r="R36" s="3191" t="s">
        <v>3467</v>
      </c>
      <c r="S36" s="3191"/>
      <c r="T36" s="3191" t="s">
        <v>3468</v>
      </c>
      <c r="U36" s="3191" t="s">
        <v>3469</v>
      </c>
      <c r="V36" s="3191"/>
      <c r="W36" s="3191"/>
      <c r="X36" s="3191" t="s">
        <v>3499</v>
      </c>
      <c r="Y36" s="3191"/>
      <c r="Z36" s="3191" t="s">
        <v>3500</v>
      </c>
      <c r="AA36" s="3191" t="s">
        <v>3472</v>
      </c>
      <c r="AB36" s="3191" t="s">
        <v>3501</v>
      </c>
      <c r="AC36" s="3191" t="s">
        <v>3474</v>
      </c>
      <c r="AD36" s="3191" t="s">
        <v>3475</v>
      </c>
      <c r="AE36" s="3191" t="s">
        <v>3476</v>
      </c>
      <c r="AF36" s="3191" t="s">
        <v>3502</v>
      </c>
      <c r="AG36" s="3191" t="s">
        <v>3526</v>
      </c>
      <c r="AH36" s="3191" t="s">
        <v>3504</v>
      </c>
      <c r="AI36" s="3191" t="s">
        <v>3505</v>
      </c>
      <c r="AJ36" s="3191" t="s">
        <v>3480</v>
      </c>
      <c r="AK36" s="3191" t="s">
        <v>3481</v>
      </c>
      <c r="AL36" s="3191" t="s">
        <v>3482</v>
      </c>
      <c r="AM36" s="3191" t="s">
        <v>3483</v>
      </c>
      <c r="AN36" s="3191" t="s">
        <v>3484</v>
      </c>
      <c r="AO36" s="3191" t="s">
        <v>3485</v>
      </c>
      <c r="AP36" s="3193"/>
      <c r="AQ36" s="3191"/>
      <c r="AR36" s="3191" t="s">
        <v>3506</v>
      </c>
      <c r="AS36" s="3191"/>
      <c r="AT36" s="3191" t="s">
        <v>3527</v>
      </c>
      <c r="AU36" s="3191">
        <v>2003</v>
      </c>
      <c r="AV36" s="3191">
        <v>9</v>
      </c>
      <c r="AW36" s="3191">
        <v>19</v>
      </c>
      <c r="AX36" s="3191"/>
      <c r="AY36" s="3191"/>
    </row>
    <row r="37" spans="1:51" s="3194" customFormat="1" ht="12" hidden="1" customHeight="1">
      <c r="A37" s="3191" t="s">
        <v>3491</v>
      </c>
      <c r="B37" s="3195" t="s">
        <v>3528</v>
      </c>
      <c r="C37" s="3191" t="s">
        <v>3460</v>
      </c>
      <c r="D37" s="3192" t="s">
        <v>3529</v>
      </c>
      <c r="E37" s="3191" t="s">
        <v>3494</v>
      </c>
      <c r="F37" s="3191"/>
      <c r="G37" s="3191" t="s">
        <v>3462</v>
      </c>
      <c r="H37" s="3191" t="s">
        <v>3530</v>
      </c>
      <c r="I37" s="3191" t="s">
        <v>3531</v>
      </c>
      <c r="J37" s="3191" t="s">
        <v>3532</v>
      </c>
      <c r="K37" s="3191" t="s">
        <v>3465</v>
      </c>
      <c r="L37" s="3191" t="s">
        <v>3531</v>
      </c>
      <c r="M37" s="3191" t="s">
        <v>3532</v>
      </c>
      <c r="N37" s="3191" t="s">
        <v>3532</v>
      </c>
      <c r="O37" s="3191" t="s">
        <v>3533</v>
      </c>
      <c r="P37" s="3191" t="s">
        <v>3466</v>
      </c>
      <c r="Q37" s="3191" t="s">
        <v>3466</v>
      </c>
      <c r="R37" s="3191" t="s">
        <v>3534</v>
      </c>
      <c r="S37" s="3191"/>
      <c r="T37" s="3191"/>
      <c r="U37" s="3191"/>
      <c r="V37" s="3191"/>
      <c r="W37" s="3191"/>
      <c r="X37" s="3191"/>
      <c r="Y37" s="3191"/>
      <c r="Z37" s="3191" t="s">
        <v>3500</v>
      </c>
      <c r="AA37" s="3191" t="s">
        <v>3535</v>
      </c>
      <c r="AB37" s="3191" t="s">
        <v>3536</v>
      </c>
      <c r="AC37" s="3191" t="s">
        <v>3537</v>
      </c>
      <c r="AD37" s="3191" t="s">
        <v>3475</v>
      </c>
      <c r="AE37" s="3191"/>
      <c r="AF37" s="3191" t="s">
        <v>3502</v>
      </c>
      <c r="AG37" s="3191" t="s">
        <v>3538</v>
      </c>
      <c r="AH37" s="3191" t="s">
        <v>3539</v>
      </c>
      <c r="AI37" s="3191" t="s">
        <v>3505</v>
      </c>
      <c r="AJ37" s="3191" t="s">
        <v>3540</v>
      </c>
      <c r="AK37" s="3191" t="s">
        <v>3481</v>
      </c>
      <c r="AL37" s="3191" t="s">
        <v>3482</v>
      </c>
      <c r="AM37" s="3191" t="s">
        <v>3483</v>
      </c>
      <c r="AN37" s="3191" t="s">
        <v>3541</v>
      </c>
      <c r="AO37" s="3191" t="s">
        <v>3485</v>
      </c>
      <c r="AP37" s="3193"/>
      <c r="AQ37" s="3191"/>
      <c r="AR37" s="3191" t="s">
        <v>3506</v>
      </c>
      <c r="AS37" s="3191" t="s">
        <v>3542</v>
      </c>
      <c r="AT37" s="3191"/>
      <c r="AU37" s="3191">
        <v>2005</v>
      </c>
      <c r="AV37" s="3191">
        <v>6</v>
      </c>
      <c r="AW37" s="3191">
        <v>28</v>
      </c>
      <c r="AX37" s="3191" t="s">
        <v>3543</v>
      </c>
      <c r="AY37" s="3191" t="s">
        <v>3544</v>
      </c>
    </row>
    <row r="38" spans="1:51" s="3194" customFormat="1" ht="12" hidden="1" customHeight="1">
      <c r="A38" s="3191" t="s">
        <v>3491</v>
      </c>
      <c r="B38" s="3195" t="s">
        <v>3545</v>
      </c>
      <c r="C38" s="3191" t="s">
        <v>3460</v>
      </c>
      <c r="D38" s="3192" t="s">
        <v>3546</v>
      </c>
      <c r="E38" s="3191" t="s">
        <v>3494</v>
      </c>
      <c r="F38" s="3191"/>
      <c r="G38" s="3191" t="s">
        <v>3462</v>
      </c>
      <c r="H38" s="3191" t="s">
        <v>3530</v>
      </c>
      <c r="I38" s="3191" t="s">
        <v>3531</v>
      </c>
      <c r="J38" s="3191" t="s">
        <v>3532</v>
      </c>
      <c r="K38" s="3191" t="s">
        <v>3465</v>
      </c>
      <c r="L38" s="3191" t="s">
        <v>3531</v>
      </c>
      <c r="M38" s="3191" t="s">
        <v>3532</v>
      </c>
      <c r="N38" s="3191" t="s">
        <v>3547</v>
      </c>
      <c r="O38" s="3191" t="s">
        <v>3533</v>
      </c>
      <c r="P38" s="3191" t="s">
        <v>3466</v>
      </c>
      <c r="Q38" s="3191" t="s">
        <v>3466</v>
      </c>
      <c r="R38" s="3191" t="s">
        <v>3534</v>
      </c>
      <c r="S38" s="3191"/>
      <c r="T38" s="3191"/>
      <c r="U38" s="3191"/>
      <c r="V38" s="3191" t="s">
        <v>3548</v>
      </c>
      <c r="W38" s="3191" t="s">
        <v>3549</v>
      </c>
      <c r="X38" s="3191"/>
      <c r="Y38" s="3191"/>
      <c r="Z38" s="3191" t="s">
        <v>3500</v>
      </c>
      <c r="AA38" s="3191" t="s">
        <v>3535</v>
      </c>
      <c r="AB38" s="3191" t="s">
        <v>3536</v>
      </c>
      <c r="AC38" s="3191" t="s">
        <v>3537</v>
      </c>
      <c r="AD38" s="3191" t="s">
        <v>3475</v>
      </c>
      <c r="AE38" s="3191" t="s">
        <v>3550</v>
      </c>
      <c r="AF38" s="3191" t="s">
        <v>3502</v>
      </c>
      <c r="AG38" s="3191" t="s">
        <v>3538</v>
      </c>
      <c r="AH38" s="3191" t="s">
        <v>3539</v>
      </c>
      <c r="AI38" s="3191" t="s">
        <v>3505</v>
      </c>
      <c r="AJ38" s="3191" t="s">
        <v>3480</v>
      </c>
      <c r="AK38" s="3191" t="s">
        <v>3481</v>
      </c>
      <c r="AL38" s="3191" t="s">
        <v>3482</v>
      </c>
      <c r="AM38" s="3191" t="s">
        <v>3483</v>
      </c>
      <c r="AN38" s="3191" t="s">
        <v>3519</v>
      </c>
      <c r="AO38" s="3191" t="s">
        <v>3485</v>
      </c>
      <c r="AP38" s="3193"/>
      <c r="AQ38" s="3191"/>
      <c r="AR38" s="3191" t="s">
        <v>3506</v>
      </c>
      <c r="AS38" s="3191" t="s">
        <v>3542</v>
      </c>
      <c r="AT38" s="3191"/>
      <c r="AU38" s="3191">
        <v>2004</v>
      </c>
      <c r="AV38" s="3191">
        <v>7</v>
      </c>
      <c r="AW38" s="3191">
        <v>15</v>
      </c>
      <c r="AX38" s="3191" t="s">
        <v>3543</v>
      </c>
      <c r="AY38" s="3191" t="s">
        <v>3551</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41.77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53" t="s">
        <v>1775</v>
      </c>
      <c r="Q4" s="3454"/>
      <c r="R4" s="3459" t="s">
        <v>1771</v>
      </c>
      <c r="S4" s="3460"/>
      <c r="T4" s="3459" t="s">
        <v>1772</v>
      </c>
      <c r="U4" s="3460"/>
      <c r="V4" s="3435" t="s">
        <v>1773</v>
      </c>
      <c r="W4" s="3435"/>
      <c r="X4" s="1265"/>
      <c r="Y4" s="3459" t="s">
        <v>1775</v>
      </c>
      <c r="Z4" s="3460"/>
      <c r="AA4" s="3446" t="s">
        <v>1771</v>
      </c>
      <c r="AB4" s="3435" t="s">
        <v>1772</v>
      </c>
      <c r="AC4" s="3446" t="s">
        <v>1773</v>
      </c>
    </row>
    <row r="5" spans="1:29" ht="15">
      <c r="A5" s="348"/>
      <c r="B5" s="349"/>
      <c r="C5" s="3472" t="s">
        <v>1673</v>
      </c>
      <c r="D5" s="3468"/>
      <c r="E5" s="3478" t="s">
        <v>1674</v>
      </c>
      <c r="F5" s="3477"/>
      <c r="G5" s="3472" t="s">
        <v>1675</v>
      </c>
      <c r="H5" s="3468"/>
      <c r="I5" s="3472" t="s">
        <v>1676</v>
      </c>
      <c r="J5" s="3468"/>
      <c r="K5" s="537"/>
      <c r="L5" s="2486"/>
      <c r="M5" s="2487"/>
      <c r="N5" s="2487"/>
      <c r="O5" s="2487"/>
      <c r="P5" s="3455"/>
      <c r="Q5" s="3456"/>
      <c r="R5" s="3461"/>
      <c r="S5" s="3462"/>
      <c r="T5" s="3461"/>
      <c r="U5" s="3462"/>
      <c r="V5" s="3435"/>
      <c r="W5" s="3435"/>
      <c r="X5" s="1265"/>
      <c r="Y5" s="3461"/>
      <c r="Z5" s="3462"/>
      <c r="AA5" s="3447"/>
      <c r="AB5" s="3435"/>
      <c r="AC5" s="3447"/>
    </row>
    <row r="6" spans="1:29" ht="15.75" thickBot="1">
      <c r="A6" s="350"/>
      <c r="B6" s="351"/>
      <c r="C6" s="3465" t="s">
        <v>1677</v>
      </c>
      <c r="D6" s="3466"/>
      <c r="E6" s="3474" t="s">
        <v>1677</v>
      </c>
      <c r="F6" s="3475"/>
      <c r="G6" s="3465" t="s">
        <v>1677</v>
      </c>
      <c r="H6" s="3466"/>
      <c r="I6" s="3465" t="s">
        <v>1677</v>
      </c>
      <c r="J6" s="3466"/>
      <c r="K6" s="537" t="s">
        <v>1678</v>
      </c>
      <c r="L6" s="2486"/>
      <c r="M6" s="2487"/>
      <c r="N6" s="2487"/>
      <c r="O6" s="2487"/>
      <c r="P6" s="3457"/>
      <c r="Q6" s="3458"/>
      <c r="R6" s="3461"/>
      <c r="S6" s="3462"/>
      <c r="T6" s="3463"/>
      <c r="U6" s="3464"/>
      <c r="V6" s="3435"/>
      <c r="W6" s="3435"/>
      <c r="X6" s="1265"/>
      <c r="Y6" s="3463"/>
      <c r="Z6" s="3464"/>
      <c r="AA6" s="3448"/>
      <c r="AB6" s="3435"/>
      <c r="AC6" s="3448"/>
    </row>
    <row r="7" spans="1:29" s="102" customFormat="1" ht="15.75" thickBot="1">
      <c r="A7" s="352" t="s">
        <v>1679</v>
      </c>
      <c r="B7" s="353"/>
      <c r="C7" s="354">
        <f>'数据-取费表'!B2</f>
        <v>38084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69" t="s">
        <v>1683</v>
      </c>
      <c r="Q8" s="3470"/>
      <c r="R8" s="664" t="s">
        <v>14</v>
      </c>
      <c r="S8" s="665">
        <f t="shared" si="0"/>
        <v>100</v>
      </c>
      <c r="T8" s="664" t="s">
        <v>14</v>
      </c>
      <c r="U8" s="665">
        <f t="shared" si="1"/>
        <v>100</v>
      </c>
      <c r="V8" s="664" t="s">
        <v>14</v>
      </c>
      <c r="W8" s="665">
        <f t="shared" si="2"/>
        <v>100</v>
      </c>
      <c r="X8" s="666"/>
      <c r="Y8" s="3469" t="s">
        <v>1683</v>
      </c>
      <c r="Z8" s="347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45"/>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3" t="s">
        <v>1691</v>
      </c>
      <c r="Q15" s="1263" t="str">
        <f t="shared" si="6"/>
        <v>商业繁华度</v>
      </c>
      <c r="R15" s="667" t="s">
        <v>14</v>
      </c>
      <c r="S15" s="668">
        <f t="shared" si="0"/>
        <v>100</v>
      </c>
      <c r="T15" s="667" t="s">
        <v>14</v>
      </c>
      <c r="U15" s="668">
        <f t="shared" si="1"/>
        <v>100</v>
      </c>
      <c r="V15" s="667" t="s">
        <v>14</v>
      </c>
      <c r="W15" s="668">
        <f t="shared" si="2"/>
        <v>100</v>
      </c>
      <c r="X15" s="1265"/>
      <c r="Y15" s="343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4"/>
      <c r="Q16" s="1263"/>
      <c r="R16" s="667"/>
      <c r="S16" s="668"/>
      <c r="T16" s="667"/>
      <c r="U16" s="668"/>
      <c r="V16" s="667"/>
      <c r="W16" s="668"/>
      <c r="X16" s="1265"/>
      <c r="Y16" s="343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4"/>
      <c r="Q18" s="1263"/>
      <c r="R18" s="667"/>
      <c r="S18" s="668"/>
      <c r="T18" s="667"/>
      <c r="U18" s="668"/>
      <c r="V18" s="667"/>
      <c r="W18" s="668"/>
      <c r="X18" s="1265"/>
      <c r="Y18" s="343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4"/>
      <c r="Q20" s="1263"/>
      <c r="R20" s="667"/>
      <c r="S20" s="668"/>
      <c r="T20" s="667"/>
      <c r="U20" s="668"/>
      <c r="V20" s="667"/>
      <c r="W20" s="668"/>
      <c r="X20" s="1265"/>
      <c r="Y20" s="343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4"/>
      <c r="Q22" s="1263"/>
      <c r="R22" s="667"/>
      <c r="S22" s="668"/>
      <c r="T22" s="667"/>
      <c r="U22" s="668"/>
      <c r="V22" s="667"/>
      <c r="W22" s="668"/>
      <c r="X22" s="1265"/>
      <c r="Y22" s="343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4"/>
      <c r="Q24" s="1263"/>
      <c r="R24" s="667"/>
      <c r="S24" s="668"/>
      <c r="T24" s="667"/>
      <c r="U24" s="668"/>
      <c r="V24" s="667"/>
      <c r="W24" s="668"/>
      <c r="X24" s="1265"/>
      <c r="Y24" s="343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4"/>
      <c r="Q25" s="1263" t="str">
        <f t="shared" ref="Q25:Q46" si="11">B25</f>
        <v>临街状况</v>
      </c>
      <c r="R25" s="667" t="s">
        <v>14</v>
      </c>
      <c r="S25" s="668">
        <f>F25</f>
        <v>100</v>
      </c>
      <c r="T25" s="667" t="s">
        <v>14</v>
      </c>
      <c r="U25" s="668">
        <f>H25</f>
        <v>100</v>
      </c>
      <c r="V25" s="667" t="s">
        <v>14</v>
      </c>
      <c r="W25" s="668">
        <f>J25</f>
        <v>100</v>
      </c>
      <c r="X25" s="1265"/>
      <c r="Y25" s="343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4"/>
      <c r="Q26" s="1263" t="str">
        <f t="shared" si="11"/>
        <v>平面位置/可视性</v>
      </c>
      <c r="R26" s="667" t="s">
        <v>14</v>
      </c>
      <c r="S26" s="668">
        <f>F26</f>
        <v>100</v>
      </c>
      <c r="T26" s="667" t="s">
        <v>14</v>
      </c>
      <c r="U26" s="668">
        <f>H26</f>
        <v>100</v>
      </c>
      <c r="V26" s="667" t="s">
        <v>14</v>
      </c>
      <c r="W26" s="668">
        <f>J26</f>
        <v>100</v>
      </c>
      <c r="X26" s="1265"/>
      <c r="Y26" s="343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4"/>
      <c r="Q27" s="530" t="str">
        <f t="shared" si="11"/>
        <v>人流量</v>
      </c>
      <c r="R27" s="664" t="s">
        <v>14</v>
      </c>
      <c r="S27" s="665">
        <f>F27</f>
        <v>100</v>
      </c>
      <c r="T27" s="664" t="s">
        <v>14</v>
      </c>
      <c r="U27" s="665">
        <f>H27</f>
        <v>100</v>
      </c>
      <c r="V27" s="664" t="s">
        <v>14</v>
      </c>
      <c r="W27" s="665">
        <f>J27</f>
        <v>100</v>
      </c>
      <c r="X27" s="666"/>
      <c r="Y27" s="343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4"/>
      <c r="Q29" s="1263">
        <f t="shared" si="11"/>
        <v>111</v>
      </c>
      <c r="R29" s="667" t="s">
        <v>14</v>
      </c>
      <c r="S29" s="668">
        <f t="shared" si="12"/>
        <v>100</v>
      </c>
      <c r="T29" s="667" t="s">
        <v>14</v>
      </c>
      <c r="U29" s="668">
        <f t="shared" si="13"/>
        <v>100</v>
      </c>
      <c r="V29" s="667" t="s">
        <v>14</v>
      </c>
      <c r="W29" s="668">
        <f t="shared" si="14"/>
        <v>100</v>
      </c>
      <c r="X29" s="1265"/>
      <c r="Y29" s="343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8" t="s">
        <v>1696</v>
      </c>
      <c r="Q32" s="1263" t="str">
        <f t="shared" si="11"/>
        <v>商业类型</v>
      </c>
      <c r="R32" s="667" t="s">
        <v>14</v>
      </c>
      <c r="S32" s="668">
        <f t="shared" si="12"/>
        <v>100</v>
      </c>
      <c r="T32" s="667" t="s">
        <v>14</v>
      </c>
      <c r="U32" s="668">
        <f t="shared" si="13"/>
        <v>100</v>
      </c>
      <c r="V32" s="667" t="s">
        <v>14</v>
      </c>
      <c r="W32" s="668">
        <f t="shared" si="14"/>
        <v>100</v>
      </c>
      <c r="X32" s="1265"/>
      <c r="Y32" s="344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9"/>
      <c r="Q33" s="531" t="str">
        <f t="shared" si="11"/>
        <v>项目建筑规模</v>
      </c>
      <c r="R33" s="669" t="s">
        <v>14</v>
      </c>
      <c r="S33" s="670" t="e">
        <f t="shared" si="12"/>
        <v>#N/A</v>
      </c>
      <c r="T33" s="669" t="s">
        <v>14</v>
      </c>
      <c r="U33" s="670" t="e">
        <f t="shared" si="13"/>
        <v>#N/A</v>
      </c>
      <c r="V33" s="669" t="s">
        <v>14</v>
      </c>
      <c r="W33" s="670" t="e">
        <f t="shared" si="14"/>
        <v>#N/A</v>
      </c>
      <c r="X33" s="671"/>
      <c r="Y33" s="344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9"/>
      <c r="Q36" s="1263" t="str">
        <f t="shared" si="11"/>
        <v>成新度</v>
      </c>
      <c r="R36" s="667" t="s">
        <v>14</v>
      </c>
      <c r="S36" s="668" t="e">
        <f t="shared" si="12"/>
        <v>#N/A</v>
      </c>
      <c r="T36" s="667" t="s">
        <v>14</v>
      </c>
      <c r="U36" s="668" t="e">
        <f t="shared" si="13"/>
        <v>#N/A</v>
      </c>
      <c r="V36" s="667" t="s">
        <v>14</v>
      </c>
      <c r="W36" s="668" t="e">
        <f t="shared" si="14"/>
        <v>#N/A</v>
      </c>
      <c r="X36" s="1265"/>
      <c r="Y36" s="344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9" t="s">
        <v>1696</v>
      </c>
      <c r="Q38" s="1263" t="str">
        <f t="shared" si="11"/>
        <v>业态</v>
      </c>
      <c r="R38" s="667" t="s">
        <v>14</v>
      </c>
      <c r="S38" s="668">
        <f t="shared" si="12"/>
        <v>100</v>
      </c>
      <c r="T38" s="667" t="s">
        <v>14</v>
      </c>
      <c r="U38" s="668">
        <f t="shared" si="13"/>
        <v>100</v>
      </c>
      <c r="V38" s="667" t="s">
        <v>14</v>
      </c>
      <c r="W38" s="668">
        <f t="shared" si="14"/>
        <v>100</v>
      </c>
      <c r="X38" s="1265"/>
      <c r="Y38" s="344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9"/>
      <c r="Q42" s="1263" t="str">
        <f t="shared" si="11"/>
        <v>内部装修</v>
      </c>
      <c r="R42" s="667" t="s">
        <v>14</v>
      </c>
      <c r="S42" s="668">
        <f t="shared" si="12"/>
        <v>100</v>
      </c>
      <c r="T42" s="667" t="s">
        <v>14</v>
      </c>
      <c r="U42" s="668">
        <f t="shared" si="13"/>
        <v>100</v>
      </c>
      <c r="V42" s="667" t="s">
        <v>14</v>
      </c>
      <c r="W42" s="668">
        <f t="shared" si="14"/>
        <v>100</v>
      </c>
      <c r="X42" s="1265"/>
      <c r="Y42" s="344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4" t="str">
        <f>A47</f>
        <v>成交单价（元/平方米）</v>
      </c>
      <c r="Q47" s="3434"/>
      <c r="R47" s="3435">
        <f>E47</f>
        <v>0</v>
      </c>
      <c r="S47" s="3435"/>
      <c r="T47" s="3435">
        <f>G47</f>
        <v>0</v>
      </c>
      <c r="U47" s="3435"/>
      <c r="V47" s="3435">
        <f>I47</f>
        <v>0</v>
      </c>
      <c r="W47" s="343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2004-4</v>
      </c>
      <c r="D58" s="1104">
        <f>EDATE(C58,-1)</f>
        <v>38047</v>
      </c>
      <c r="E58" s="1104">
        <f t="shared" ref="E58:N58" si="16">EDATE(D58,-1)</f>
        <v>38018</v>
      </c>
      <c r="F58" s="1104">
        <f t="shared" si="16"/>
        <v>37987</v>
      </c>
      <c r="G58" s="1104">
        <f t="shared" si="16"/>
        <v>37956</v>
      </c>
      <c r="H58" s="1104">
        <f t="shared" si="16"/>
        <v>37926</v>
      </c>
      <c r="I58" s="1104">
        <f t="shared" si="16"/>
        <v>37895</v>
      </c>
      <c r="J58" s="1104">
        <f t="shared" si="16"/>
        <v>37865</v>
      </c>
      <c r="K58" s="1104">
        <f t="shared" si="16"/>
        <v>37834</v>
      </c>
      <c r="L58" s="1104">
        <f t="shared" si="16"/>
        <v>37803</v>
      </c>
      <c r="M58" s="1104">
        <f t="shared" si="16"/>
        <v>37773</v>
      </c>
      <c r="N58" s="1104">
        <f t="shared" si="16"/>
        <v>37742</v>
      </c>
      <c r="O58" s="1104">
        <f>EDATE(N58,-1)</f>
        <v>37712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2004年4月7日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41.77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85" t="s">
        <v>1775</v>
      </c>
      <c r="Q4" s="3486"/>
      <c r="R4" s="3489" t="s">
        <v>1771</v>
      </c>
      <c r="S4" s="3490"/>
      <c r="T4" s="3489" t="s">
        <v>1772</v>
      </c>
      <c r="U4" s="3490"/>
      <c r="V4" s="3491" t="s">
        <v>1773</v>
      </c>
      <c r="W4" s="3491"/>
      <c r="X4" s="1809"/>
      <c r="Y4" s="3489" t="s">
        <v>1775</v>
      </c>
      <c r="Z4" s="3490"/>
      <c r="AA4" s="3493" t="s">
        <v>1771</v>
      </c>
      <c r="AB4" s="3493" t="s">
        <v>1772</v>
      </c>
      <c r="AC4" s="3482" t="s">
        <v>1773</v>
      </c>
    </row>
    <row r="5" spans="1:29" ht="15">
      <c r="A5" s="348"/>
      <c r="B5" s="349"/>
      <c r="C5" s="3472" t="s">
        <v>1673</v>
      </c>
      <c r="D5" s="3468"/>
      <c r="E5" s="3478" t="s">
        <v>1674</v>
      </c>
      <c r="F5" s="3477"/>
      <c r="G5" s="3472" t="s">
        <v>1675</v>
      </c>
      <c r="H5" s="3468"/>
      <c r="I5" s="3472" t="s">
        <v>1676</v>
      </c>
      <c r="J5" s="3468"/>
      <c r="K5" s="537"/>
      <c r="L5" s="2486"/>
      <c r="M5" s="2487"/>
      <c r="N5" s="2487"/>
      <c r="O5" s="2487"/>
      <c r="P5" s="3487"/>
      <c r="Q5" s="3456"/>
      <c r="R5" s="3461"/>
      <c r="S5" s="3462"/>
      <c r="T5" s="3461"/>
      <c r="U5" s="3462"/>
      <c r="V5" s="3435"/>
      <c r="W5" s="3435"/>
      <c r="X5" s="1265"/>
      <c r="Y5" s="3461"/>
      <c r="Z5" s="3462"/>
      <c r="AA5" s="3447"/>
      <c r="AB5" s="3447"/>
      <c r="AC5" s="3483"/>
    </row>
    <row r="6" spans="1:29" ht="15.75" thickBot="1">
      <c r="A6" s="350"/>
      <c r="B6" s="351"/>
      <c r="C6" s="3465" t="s">
        <v>1677</v>
      </c>
      <c r="D6" s="3466"/>
      <c r="E6" s="3474" t="s">
        <v>1677</v>
      </c>
      <c r="F6" s="3475"/>
      <c r="G6" s="3465" t="s">
        <v>1677</v>
      </c>
      <c r="H6" s="3466"/>
      <c r="I6" s="3465" t="s">
        <v>1677</v>
      </c>
      <c r="J6" s="3466"/>
      <c r="K6" s="537" t="s">
        <v>1678</v>
      </c>
      <c r="L6" s="2486"/>
      <c r="M6" s="2487"/>
      <c r="N6" s="2487"/>
      <c r="O6" s="2487"/>
      <c r="P6" s="3488"/>
      <c r="Q6" s="3458"/>
      <c r="R6" s="3461"/>
      <c r="S6" s="3462"/>
      <c r="T6" s="3463"/>
      <c r="U6" s="3464"/>
      <c r="V6" s="3435"/>
      <c r="W6" s="3435"/>
      <c r="X6" s="1265"/>
      <c r="Y6" s="3463"/>
      <c r="Z6" s="3464"/>
      <c r="AA6" s="3448"/>
      <c r="AB6" s="3448"/>
      <c r="AC6" s="3484"/>
    </row>
    <row r="7" spans="1:29" s="102" customFormat="1" ht="15.75" thickBot="1">
      <c r="A7" s="352" t="s">
        <v>1679</v>
      </c>
      <c r="B7" s="353"/>
      <c r="C7" s="354">
        <f>'数据-取费表'!B2</f>
        <v>38084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92"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92" t="s">
        <v>1683</v>
      </c>
      <c r="Q8" s="3470"/>
      <c r="R8" s="664" t="s">
        <v>14</v>
      </c>
      <c r="S8" s="665">
        <f t="shared" si="0"/>
        <v>100</v>
      </c>
      <c r="T8" s="664" t="s">
        <v>14</v>
      </c>
      <c r="U8" s="665">
        <f t="shared" si="1"/>
        <v>100</v>
      </c>
      <c r="V8" s="664" t="s">
        <v>14</v>
      </c>
      <c r="W8" s="665">
        <f t="shared" si="2"/>
        <v>100</v>
      </c>
      <c r="X8" s="666"/>
      <c r="Y8" s="3469" t="s">
        <v>1683</v>
      </c>
      <c r="Z8" s="347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45"/>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3" t="s">
        <v>1691</v>
      </c>
      <c r="Q15" s="1263" t="str">
        <f t="shared" si="6"/>
        <v>办公集聚程度</v>
      </c>
      <c r="R15" s="667" t="s">
        <v>14</v>
      </c>
      <c r="S15" s="668">
        <f t="shared" si="0"/>
        <v>100</v>
      </c>
      <c r="T15" s="667" t="s">
        <v>14</v>
      </c>
      <c r="U15" s="668">
        <f t="shared" si="1"/>
        <v>100</v>
      </c>
      <c r="V15" s="667" t="s">
        <v>14</v>
      </c>
      <c r="W15" s="668">
        <f t="shared" si="2"/>
        <v>100</v>
      </c>
      <c r="X15" s="1265"/>
      <c r="Y15" s="343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4"/>
      <c r="Q16" s="1263"/>
      <c r="R16" s="667"/>
      <c r="S16" s="668"/>
      <c r="T16" s="667"/>
      <c r="U16" s="668"/>
      <c r="V16" s="667"/>
      <c r="W16" s="668"/>
      <c r="X16" s="1265"/>
      <c r="Y16" s="343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4"/>
      <c r="Q18" s="1263"/>
      <c r="R18" s="667"/>
      <c r="S18" s="668"/>
      <c r="T18" s="667"/>
      <c r="U18" s="668"/>
      <c r="V18" s="667"/>
      <c r="W18" s="668"/>
      <c r="X18" s="1265"/>
      <c r="Y18" s="343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4"/>
      <c r="Q20" s="1263"/>
      <c r="R20" s="667"/>
      <c r="S20" s="668"/>
      <c r="T20" s="667"/>
      <c r="U20" s="668"/>
      <c r="V20" s="667"/>
      <c r="W20" s="668"/>
      <c r="X20" s="1265"/>
      <c r="Y20" s="343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4"/>
      <c r="Q22" s="1263"/>
      <c r="R22" s="667"/>
      <c r="S22" s="668"/>
      <c r="T22" s="667"/>
      <c r="U22" s="668"/>
      <c r="V22" s="667"/>
      <c r="W22" s="668"/>
      <c r="X22" s="1265"/>
      <c r="Y22" s="343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4"/>
      <c r="Q24" s="1263"/>
      <c r="R24" s="667"/>
      <c r="S24" s="668"/>
      <c r="T24" s="667"/>
      <c r="U24" s="668"/>
      <c r="V24" s="667"/>
      <c r="W24" s="668"/>
      <c r="X24" s="1265"/>
      <c r="Y24" s="343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4"/>
      <c r="Q25" s="1263" t="str">
        <f>B25</f>
        <v>毗邻道路的类型与等级</v>
      </c>
      <c r="R25" s="667" t="s">
        <v>14</v>
      </c>
      <c r="S25" s="668">
        <f>F25</f>
        <v>100</v>
      </c>
      <c r="T25" s="667" t="s">
        <v>14</v>
      </c>
      <c r="U25" s="668">
        <f>H25</f>
        <v>100</v>
      </c>
      <c r="V25" s="667" t="s">
        <v>14</v>
      </c>
      <c r="W25" s="668">
        <f>J25</f>
        <v>100</v>
      </c>
      <c r="X25" s="1265"/>
      <c r="Y25" s="343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4"/>
      <c r="Q26" s="1263"/>
      <c r="R26" s="667"/>
      <c r="S26" s="668"/>
      <c r="T26" s="667"/>
      <c r="U26" s="668"/>
      <c r="V26" s="667"/>
      <c r="W26" s="668"/>
      <c r="X26" s="1265"/>
      <c r="Y26" s="343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4"/>
      <c r="Q27" s="1263" t="str">
        <f t="shared" ref="Q27:Q47" si="11">B27</f>
        <v>楼层</v>
      </c>
      <c r="R27" s="667" t="s">
        <v>14</v>
      </c>
      <c r="S27" s="668">
        <f>F27</f>
        <v>100</v>
      </c>
      <c r="T27" s="667" t="s">
        <v>14</v>
      </c>
      <c r="U27" s="668">
        <f>H27</f>
        <v>100</v>
      </c>
      <c r="V27" s="667" t="s">
        <v>14</v>
      </c>
      <c r="W27" s="668">
        <f>J27</f>
        <v>100</v>
      </c>
      <c r="X27" s="1265"/>
      <c r="Y27" s="343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8" t="s">
        <v>1696</v>
      </c>
      <c r="Q33" s="1263" t="str">
        <f t="shared" si="11"/>
        <v>建筑类型</v>
      </c>
      <c r="R33" s="667" t="s">
        <v>14</v>
      </c>
      <c r="S33" s="668">
        <f t="shared" si="12"/>
        <v>100</v>
      </c>
      <c r="T33" s="667" t="s">
        <v>14</v>
      </c>
      <c r="U33" s="668">
        <f t="shared" si="13"/>
        <v>100</v>
      </c>
      <c r="V33" s="667" t="s">
        <v>14</v>
      </c>
      <c r="W33" s="668">
        <f t="shared" si="14"/>
        <v>100</v>
      </c>
      <c r="X33" s="1265"/>
      <c r="Y33" s="344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9"/>
      <c r="Q37" s="1263" t="str">
        <f t="shared" si="11"/>
        <v>成新度</v>
      </c>
      <c r="R37" s="667" t="s">
        <v>14</v>
      </c>
      <c r="S37" s="668" t="e">
        <f t="shared" si="12"/>
        <v>#N/A</v>
      </c>
      <c r="T37" s="667" t="s">
        <v>14</v>
      </c>
      <c r="U37" s="668" t="e">
        <f t="shared" si="13"/>
        <v>#N/A</v>
      </c>
      <c r="V37" s="667" t="s">
        <v>14</v>
      </c>
      <c r="W37" s="668" t="e">
        <f t="shared" si="14"/>
        <v>#N/A</v>
      </c>
      <c r="X37" s="1265"/>
      <c r="Y37" s="344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9" t="s">
        <v>1696</v>
      </c>
      <c r="Q39" s="1263" t="str">
        <f t="shared" si="11"/>
        <v>物业管理</v>
      </c>
      <c r="R39" s="667" t="s">
        <v>14</v>
      </c>
      <c r="S39" s="668">
        <f t="shared" si="12"/>
        <v>100</v>
      </c>
      <c r="T39" s="667" t="s">
        <v>14</v>
      </c>
      <c r="U39" s="668">
        <f t="shared" si="13"/>
        <v>100</v>
      </c>
      <c r="V39" s="667" t="s">
        <v>14</v>
      </c>
      <c r="W39" s="668">
        <f t="shared" si="14"/>
        <v>100</v>
      </c>
      <c r="X39" s="1265"/>
      <c r="Y39" s="344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9"/>
      <c r="Q43" s="1263" t="str">
        <f t="shared" si="11"/>
        <v>内部装修</v>
      </c>
      <c r="R43" s="667" t="s">
        <v>14</v>
      </c>
      <c r="S43" s="668">
        <f t="shared" si="12"/>
        <v>100</v>
      </c>
      <c r="T43" s="667" t="s">
        <v>14</v>
      </c>
      <c r="U43" s="668">
        <f t="shared" si="13"/>
        <v>100</v>
      </c>
      <c r="V43" s="667" t="s">
        <v>14</v>
      </c>
      <c r="W43" s="668">
        <f t="shared" si="14"/>
        <v>100</v>
      </c>
      <c r="X43" s="1265"/>
      <c r="Y43" s="344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45" t="str">
        <f>A48</f>
        <v>成交单价（元/平方米）</v>
      </c>
      <c r="Q48" s="3434"/>
      <c r="R48" s="3435">
        <f>E48</f>
        <v>0</v>
      </c>
      <c r="S48" s="3435"/>
      <c r="T48" s="3435">
        <f>G48</f>
        <v>0</v>
      </c>
      <c r="U48" s="3435"/>
      <c r="V48" s="3435">
        <f>I48</f>
        <v>0</v>
      </c>
      <c r="W48" s="343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2004-4</v>
      </c>
      <c r="D59" s="1104">
        <f>EDATE(C59,-1)</f>
        <v>38047</v>
      </c>
      <c r="E59" s="1104">
        <f>EDATE(D59,-1)</f>
        <v>38018</v>
      </c>
      <c r="F59" s="1104">
        <f t="shared" ref="F59:O59" si="16">EDATE(E59,-1)</f>
        <v>37987</v>
      </c>
      <c r="G59" s="1104">
        <f t="shared" si="16"/>
        <v>37956</v>
      </c>
      <c r="H59" s="1104">
        <f t="shared" si="16"/>
        <v>37926</v>
      </c>
      <c r="I59" s="1104">
        <f t="shared" si="16"/>
        <v>37895</v>
      </c>
      <c r="J59" s="1104">
        <f t="shared" si="16"/>
        <v>37865</v>
      </c>
      <c r="K59" s="1104">
        <f t="shared" si="16"/>
        <v>37834</v>
      </c>
      <c r="L59" s="1104">
        <f t="shared" si="16"/>
        <v>37803</v>
      </c>
      <c r="M59" s="1104">
        <f t="shared" si="16"/>
        <v>37773</v>
      </c>
      <c r="N59" s="1104">
        <f t="shared" si="16"/>
        <v>37742</v>
      </c>
      <c r="O59" s="1104">
        <f t="shared" si="16"/>
        <v>37712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9" t="s">
        <v>1770</v>
      </c>
      <c r="D4" s="3450"/>
      <c r="E4" s="3451" t="s">
        <v>1771</v>
      </c>
      <c r="F4" s="3452"/>
      <c r="G4" s="3449" t="s">
        <v>1772</v>
      </c>
      <c r="H4" s="3450"/>
      <c r="I4" s="3449" t="s">
        <v>1773</v>
      </c>
      <c r="J4" s="3450"/>
      <c r="K4" s="537" t="s">
        <v>1774</v>
      </c>
      <c r="L4" s="860"/>
      <c r="M4" s="861"/>
      <c r="N4" s="861"/>
      <c r="O4" s="861"/>
      <c r="P4" s="3453" t="s">
        <v>1775</v>
      </c>
      <c r="Q4" s="3454"/>
      <c r="R4" s="3459" t="s">
        <v>1771</v>
      </c>
      <c r="S4" s="3460"/>
      <c r="T4" s="3459" t="s">
        <v>1772</v>
      </c>
      <c r="U4" s="3460"/>
      <c r="V4" s="3435" t="s">
        <v>1773</v>
      </c>
      <c r="W4" s="3435"/>
      <c r="X4" s="1265"/>
      <c r="Y4" s="3459" t="s">
        <v>1775</v>
      </c>
      <c r="Z4" s="3460"/>
      <c r="AA4" s="3446" t="s">
        <v>1771</v>
      </c>
      <c r="AB4" s="3447" t="s">
        <v>1772</v>
      </c>
      <c r="AC4" s="3446" t="s">
        <v>1773</v>
      </c>
    </row>
    <row r="5" spans="1:29" ht="15">
      <c r="A5" s="348"/>
      <c r="B5" s="349"/>
      <c r="C5" s="3472" t="s">
        <v>1673</v>
      </c>
      <c r="D5" s="3468"/>
      <c r="E5" s="3478" t="s">
        <v>1674</v>
      </c>
      <c r="F5" s="3477"/>
      <c r="G5" s="3472" t="s">
        <v>1675</v>
      </c>
      <c r="H5" s="3468"/>
      <c r="I5" s="3472" t="s">
        <v>1676</v>
      </c>
      <c r="J5" s="3468"/>
      <c r="K5" s="537"/>
      <c r="L5" s="860"/>
      <c r="M5" s="861"/>
      <c r="N5" s="861"/>
      <c r="O5" s="861"/>
      <c r="P5" s="3455"/>
      <c r="Q5" s="3456"/>
      <c r="R5" s="3461"/>
      <c r="S5" s="3462"/>
      <c r="T5" s="3461"/>
      <c r="U5" s="3462"/>
      <c r="V5" s="3435"/>
      <c r="W5" s="3435"/>
      <c r="X5" s="1265"/>
      <c r="Y5" s="3461"/>
      <c r="Z5" s="3462"/>
      <c r="AA5" s="3447"/>
      <c r="AB5" s="3447"/>
      <c r="AC5" s="3447"/>
    </row>
    <row r="6" spans="1:29" ht="15.75" thickBot="1">
      <c r="A6" s="350"/>
      <c r="B6" s="351"/>
      <c r="C6" s="3465" t="s">
        <v>1677</v>
      </c>
      <c r="D6" s="3466"/>
      <c r="E6" s="3474" t="s">
        <v>1677</v>
      </c>
      <c r="F6" s="3475"/>
      <c r="G6" s="3465" t="s">
        <v>1677</v>
      </c>
      <c r="H6" s="3466"/>
      <c r="I6" s="3465" t="s">
        <v>1677</v>
      </c>
      <c r="J6" s="3466"/>
      <c r="K6" s="537" t="s">
        <v>1678</v>
      </c>
      <c r="L6" s="860"/>
      <c r="M6" s="861"/>
      <c r="N6" s="861"/>
      <c r="O6" s="861"/>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c r="F7" s="357">
        <f>SUMIF(52:52,YEAR(E7)&amp;"-"&amp;MONTH(E7),53:53)</f>
        <v>0</v>
      </c>
      <c r="G7" s="356"/>
      <c r="H7" s="355">
        <f>SUMIF(52:52,YEAR(G7)&amp;"-"&amp;MONTH(G7),53:53)</f>
        <v>0</v>
      </c>
      <c r="I7" s="356"/>
      <c r="J7" s="355">
        <f>SUMIF(52:52,YEAR(I7)&amp;"-"&amp;MONTH(I7),53:53)</f>
        <v>0</v>
      </c>
      <c r="K7" s="38"/>
      <c r="L7" s="862"/>
      <c r="M7" s="863"/>
      <c r="N7" s="863"/>
      <c r="O7" s="863"/>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9" t="s">
        <v>1683</v>
      </c>
      <c r="Q8" s="3470"/>
      <c r="R8" s="664" t="s">
        <v>14</v>
      </c>
      <c r="S8" s="665">
        <f t="shared" si="0"/>
        <v>100</v>
      </c>
      <c r="T8" s="664" t="s">
        <v>14</v>
      </c>
      <c r="U8" s="665">
        <f t="shared" si="1"/>
        <v>100</v>
      </c>
      <c r="V8" s="664" t="s">
        <v>14</v>
      </c>
      <c r="W8" s="665">
        <f t="shared" si="2"/>
        <v>100</v>
      </c>
      <c r="X8" s="666"/>
      <c r="Y8" s="3469" t="s">
        <v>1683</v>
      </c>
      <c r="Z8" s="347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4" t="s">
        <v>1696</v>
      </c>
      <c r="Q29" s="1263" t="str">
        <f t="shared" si="11"/>
        <v>建筑类型</v>
      </c>
      <c r="R29" s="667" t="s">
        <v>14</v>
      </c>
      <c r="S29" s="668">
        <f t="shared" si="12"/>
        <v>100</v>
      </c>
      <c r="T29" s="667" t="s">
        <v>14</v>
      </c>
      <c r="U29" s="668">
        <f t="shared" si="13"/>
        <v>100</v>
      </c>
      <c r="V29" s="667" t="s">
        <v>14</v>
      </c>
      <c r="W29" s="668">
        <f t="shared" si="14"/>
        <v>100</v>
      </c>
      <c r="X29" s="1265"/>
      <c r="Y29" s="344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1696</v>
      </c>
      <c r="Q35" s="1263" t="str">
        <f t="shared" si="11"/>
        <v>市政基础设施</v>
      </c>
      <c r="R35" s="667" t="s">
        <v>14</v>
      </c>
      <c r="S35" s="668">
        <f t="shared" si="12"/>
        <v>100</v>
      </c>
      <c r="T35" s="667" t="s">
        <v>14</v>
      </c>
      <c r="U35" s="668">
        <f t="shared" si="13"/>
        <v>100</v>
      </c>
      <c r="V35" s="667" t="s">
        <v>14</v>
      </c>
      <c r="W35" s="668">
        <f t="shared" si="14"/>
        <v>100</v>
      </c>
      <c r="X35" s="1265"/>
      <c r="Y35" s="344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4" t="str">
        <f>A41</f>
        <v>成交单价（元/平方米）</v>
      </c>
      <c r="Q41" s="3434"/>
      <c r="R41" s="3435">
        <f>E41</f>
        <v>0</v>
      </c>
      <c r="S41" s="3435"/>
      <c r="T41" s="3435">
        <f>G41</f>
        <v>0</v>
      </c>
      <c r="U41" s="3435"/>
      <c r="V41" s="3435">
        <f>I41</f>
        <v>0</v>
      </c>
      <c r="W41" s="343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2004-4</v>
      </c>
      <c r="D52" s="1104">
        <f>EDATE(C52,-1)</f>
        <v>38047</v>
      </c>
      <c r="E52" s="1104">
        <f t="shared" ref="E52:O52" si="16">EDATE(D52,-1)</f>
        <v>38018</v>
      </c>
      <c r="F52" s="1104">
        <f t="shared" si="16"/>
        <v>37987</v>
      </c>
      <c r="G52" s="1104">
        <f t="shared" si="16"/>
        <v>37956</v>
      </c>
      <c r="H52" s="1104">
        <f t="shared" si="16"/>
        <v>37926</v>
      </c>
      <c r="I52" s="1104">
        <f t="shared" si="16"/>
        <v>37895</v>
      </c>
      <c r="J52" s="1104">
        <f t="shared" si="16"/>
        <v>37865</v>
      </c>
      <c r="K52" s="1104">
        <f t="shared" si="16"/>
        <v>37834</v>
      </c>
      <c r="L52" s="1104">
        <f t="shared" si="16"/>
        <v>37803</v>
      </c>
      <c r="M52" s="1104">
        <f t="shared" si="16"/>
        <v>37773</v>
      </c>
      <c r="N52" s="1104">
        <f t="shared" si="16"/>
        <v>37742</v>
      </c>
      <c r="O52" s="1104">
        <f t="shared" si="16"/>
        <v>37712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53" t="s">
        <v>1775</v>
      </c>
      <c r="Q4" s="3454"/>
      <c r="R4" s="3459" t="s">
        <v>1771</v>
      </c>
      <c r="S4" s="3460"/>
      <c r="T4" s="3459" t="s">
        <v>1772</v>
      </c>
      <c r="U4" s="3460"/>
      <c r="V4" s="3435" t="s">
        <v>1773</v>
      </c>
      <c r="W4" s="3435"/>
      <c r="X4" s="1265"/>
      <c r="Y4" s="3459" t="s">
        <v>1775</v>
      </c>
      <c r="Z4" s="3460"/>
      <c r="AA4" s="3446" t="s">
        <v>1771</v>
      </c>
      <c r="AB4" s="3447" t="s">
        <v>1772</v>
      </c>
      <c r="AC4" s="3446" t="s">
        <v>1773</v>
      </c>
    </row>
    <row r="5" spans="1:29" ht="15">
      <c r="A5" s="348"/>
      <c r="B5" s="349"/>
      <c r="C5" s="3472" t="s">
        <v>1673</v>
      </c>
      <c r="D5" s="3468"/>
      <c r="E5" s="3478" t="s">
        <v>1674</v>
      </c>
      <c r="F5" s="3477"/>
      <c r="G5" s="3472" t="s">
        <v>1675</v>
      </c>
      <c r="H5" s="3468"/>
      <c r="I5" s="3472" t="s">
        <v>1676</v>
      </c>
      <c r="J5" s="3468"/>
      <c r="K5" s="537"/>
      <c r="L5" s="2486"/>
      <c r="M5" s="2487"/>
      <c r="N5" s="2487"/>
      <c r="O5" s="2487"/>
      <c r="P5" s="3455"/>
      <c r="Q5" s="3456"/>
      <c r="R5" s="3461"/>
      <c r="S5" s="3462"/>
      <c r="T5" s="3461"/>
      <c r="U5" s="3462"/>
      <c r="V5" s="3435"/>
      <c r="W5" s="3435"/>
      <c r="X5" s="1265"/>
      <c r="Y5" s="3461"/>
      <c r="Z5" s="3462"/>
      <c r="AA5" s="3447"/>
      <c r="AB5" s="3447"/>
      <c r="AC5" s="3447"/>
    </row>
    <row r="6" spans="1:29" ht="15.75" thickBot="1">
      <c r="A6" s="350"/>
      <c r="B6" s="351"/>
      <c r="C6" s="3465" t="s">
        <v>1677</v>
      </c>
      <c r="D6" s="3466"/>
      <c r="E6" s="3474" t="s">
        <v>1677</v>
      </c>
      <c r="F6" s="3475"/>
      <c r="G6" s="3465" t="s">
        <v>1677</v>
      </c>
      <c r="H6" s="3466"/>
      <c r="I6" s="3465" t="s">
        <v>1677</v>
      </c>
      <c r="J6" s="3466"/>
      <c r="K6" s="537" t="s">
        <v>1678</v>
      </c>
      <c r="L6" s="2486"/>
      <c r="M6" s="2487"/>
      <c r="N6" s="2487"/>
      <c r="O6" s="2487"/>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69" t="s">
        <v>1680</v>
      </c>
      <c r="Q7" s="3471"/>
      <c r="R7" s="664" t="s">
        <v>14</v>
      </c>
      <c r="S7" s="665">
        <f t="shared" ref="S7:S14" si="0">F7</f>
        <v>0</v>
      </c>
      <c r="T7" s="664" t="s">
        <v>14</v>
      </c>
      <c r="U7" s="665">
        <f t="shared" ref="U7:U14" si="1">H7</f>
        <v>0</v>
      </c>
      <c r="V7" s="664" t="s">
        <v>14</v>
      </c>
      <c r="W7" s="665">
        <f t="shared" ref="W7:W14" si="2">J7</f>
        <v>0</v>
      </c>
      <c r="X7" s="666"/>
      <c r="Y7" s="3469" t="s">
        <v>1680</v>
      </c>
      <c r="Z7" s="347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69" t="s">
        <v>1683</v>
      </c>
      <c r="Q8" s="3470"/>
      <c r="R8" s="664" t="s">
        <v>14</v>
      </c>
      <c r="S8" s="665">
        <f t="shared" si="0"/>
        <v>100</v>
      </c>
      <c r="T8" s="664" t="s">
        <v>14</v>
      </c>
      <c r="U8" s="665">
        <f t="shared" si="1"/>
        <v>100</v>
      </c>
      <c r="V8" s="664" t="s">
        <v>14</v>
      </c>
      <c r="W8" s="665">
        <f t="shared" si="2"/>
        <v>100</v>
      </c>
      <c r="X8" s="666"/>
      <c r="Y8" s="3469" t="s">
        <v>1683</v>
      </c>
      <c r="Z8" s="347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4"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4"/>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4"/>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4"/>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4"/>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7"/>
      <c r="Q15" s="1263"/>
      <c r="R15" s="667"/>
      <c r="S15" s="668"/>
      <c r="T15" s="667"/>
      <c r="U15" s="668"/>
      <c r="V15" s="667"/>
      <c r="W15" s="668"/>
      <c r="X15" s="1265"/>
      <c r="Y15" s="343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37"/>
      <c r="Q17" s="1263"/>
      <c r="R17" s="667"/>
      <c r="S17" s="668"/>
      <c r="T17" s="667"/>
      <c r="U17" s="668"/>
      <c r="V17" s="667"/>
      <c r="W17" s="668"/>
      <c r="X17" s="1265"/>
      <c r="Y17" s="343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37"/>
      <c r="Q19" s="1263"/>
      <c r="R19" s="667"/>
      <c r="S19" s="668"/>
      <c r="T19" s="667"/>
      <c r="U19" s="668"/>
      <c r="V19" s="667"/>
      <c r="W19" s="668"/>
      <c r="X19" s="1265"/>
      <c r="Y19" s="343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7"/>
      <c r="Q21" s="1263"/>
      <c r="R21" s="667"/>
      <c r="S21" s="668"/>
      <c r="T21" s="667"/>
      <c r="U21" s="668"/>
      <c r="V21" s="667"/>
      <c r="W21" s="668"/>
      <c r="X21" s="1265"/>
      <c r="Y21" s="343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9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1" t="s">
        <v>1696</v>
      </c>
      <c r="Q32" s="1263" t="str">
        <f t="shared" si="11"/>
        <v>车位类型</v>
      </c>
      <c r="R32" s="667" t="s">
        <v>14</v>
      </c>
      <c r="S32" s="668">
        <f t="shared" si="12"/>
        <v>100</v>
      </c>
      <c r="T32" s="667" t="s">
        <v>14</v>
      </c>
      <c r="U32" s="668">
        <f t="shared" si="13"/>
        <v>100</v>
      </c>
      <c r="V32" s="667" t="s">
        <v>14</v>
      </c>
      <c r="W32" s="668">
        <f t="shared" si="14"/>
        <v>100</v>
      </c>
      <c r="X32" s="1265"/>
      <c r="Y32" s="344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34" t="str">
        <f>A37</f>
        <v>成交单价</v>
      </c>
      <c r="Q37" s="3434"/>
      <c r="R37" s="3435">
        <f>E37</f>
        <v>0</v>
      </c>
      <c r="S37" s="3435"/>
      <c r="T37" s="3435">
        <f>G37</f>
        <v>0</v>
      </c>
      <c r="U37" s="3435"/>
      <c r="V37" s="3435">
        <f>I37</f>
        <v>0</v>
      </c>
      <c r="W37" s="343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1" t="str">
        <f>A39</f>
        <v>估价对象XX用房的比较价值（楼面单价，元/平方米）</v>
      </c>
      <c r="Q39" s="3432"/>
      <c r="R39" s="3495" t="e">
        <f>IF(F1="售价",ROUND(IF(D38="简单平均",AVERAGE(R38:W38),R38*F38+T38*H38+V38*J38),0),ROUND(IF(D38="简单平均",AVERAGE(R38:V38),R38*F38+T38*H38+V38*J38),1))</f>
        <v>#DIV/0!</v>
      </c>
      <c r="S39" s="3495"/>
      <c r="T39" s="3495"/>
      <c r="U39" s="3495"/>
      <c r="V39" s="3495"/>
      <c r="W39" s="349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2004-4</v>
      </c>
      <c r="D48" s="1104">
        <f>EDATE(C48,-1)</f>
        <v>38047</v>
      </c>
      <c r="E48" s="1104">
        <f t="shared" ref="E48:O48" si="16">EDATE(D48,-1)</f>
        <v>38018</v>
      </c>
      <c r="F48" s="1104">
        <f t="shared" si="16"/>
        <v>37987</v>
      </c>
      <c r="G48" s="1104">
        <f t="shared" si="16"/>
        <v>37956</v>
      </c>
      <c r="H48" s="1104">
        <f t="shared" si="16"/>
        <v>37926</v>
      </c>
      <c r="I48" s="1104">
        <f t="shared" si="16"/>
        <v>37895</v>
      </c>
      <c r="J48" s="1104">
        <f t="shared" si="16"/>
        <v>37865</v>
      </c>
      <c r="K48" s="1104">
        <f t="shared" si="16"/>
        <v>37834</v>
      </c>
      <c r="L48" s="1104">
        <f t="shared" si="16"/>
        <v>37803</v>
      </c>
      <c r="M48" s="1104">
        <f t="shared" si="16"/>
        <v>37773</v>
      </c>
      <c r="N48" s="1104">
        <f t="shared" si="16"/>
        <v>37742</v>
      </c>
      <c r="O48" s="1104">
        <f t="shared" si="16"/>
        <v>37712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53" t="s">
        <v>1775</v>
      </c>
      <c r="Q4" s="3454"/>
      <c r="R4" s="3459" t="s">
        <v>1771</v>
      </c>
      <c r="S4" s="3460"/>
      <c r="T4" s="3459" t="s">
        <v>1772</v>
      </c>
      <c r="U4" s="3460"/>
      <c r="V4" s="3435" t="s">
        <v>1773</v>
      </c>
      <c r="W4" s="3435"/>
      <c r="X4" s="1265"/>
      <c r="Y4" s="3459" t="s">
        <v>1775</v>
      </c>
      <c r="Z4" s="3460"/>
      <c r="AA4" s="3446" t="s">
        <v>1771</v>
      </c>
      <c r="AB4" s="3447" t="s">
        <v>1772</v>
      </c>
      <c r="AC4" s="3446" t="s">
        <v>1773</v>
      </c>
    </row>
    <row r="5" spans="1:29" ht="15">
      <c r="A5" s="348"/>
      <c r="B5" s="349"/>
      <c r="C5" s="3472" t="s">
        <v>1673</v>
      </c>
      <c r="D5" s="3468"/>
      <c r="E5" s="3478" t="s">
        <v>1674</v>
      </c>
      <c r="F5" s="3477"/>
      <c r="G5" s="3472" t="s">
        <v>1675</v>
      </c>
      <c r="H5" s="3468"/>
      <c r="I5" s="3472" t="s">
        <v>1676</v>
      </c>
      <c r="J5" s="3468"/>
      <c r="K5" s="537"/>
      <c r="L5" s="2486"/>
      <c r="M5" s="2487"/>
      <c r="N5" s="2487"/>
      <c r="O5" s="2487"/>
      <c r="P5" s="3455"/>
      <c r="Q5" s="3456"/>
      <c r="R5" s="3461"/>
      <c r="S5" s="3462"/>
      <c r="T5" s="3461"/>
      <c r="U5" s="3462"/>
      <c r="V5" s="3435"/>
      <c r="W5" s="3435"/>
      <c r="X5" s="1265"/>
      <c r="Y5" s="3461"/>
      <c r="Z5" s="3462"/>
      <c r="AA5" s="3447"/>
      <c r="AB5" s="3447"/>
      <c r="AC5" s="3447"/>
    </row>
    <row r="6" spans="1:29" ht="15.75" thickBot="1">
      <c r="A6" s="350"/>
      <c r="B6" s="351"/>
      <c r="C6" s="3465" t="s">
        <v>1677</v>
      </c>
      <c r="D6" s="3466"/>
      <c r="E6" s="3474" t="s">
        <v>1677</v>
      </c>
      <c r="F6" s="3475"/>
      <c r="G6" s="3465" t="s">
        <v>1677</v>
      </c>
      <c r="H6" s="3466"/>
      <c r="I6" s="3465" t="s">
        <v>1677</v>
      </c>
      <c r="J6" s="3466"/>
      <c r="K6" s="537" t="s">
        <v>1678</v>
      </c>
      <c r="L6" s="2486"/>
      <c r="M6" s="2487"/>
      <c r="N6" s="2487"/>
      <c r="O6" s="2487"/>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69" t="s">
        <v>1680</v>
      </c>
      <c r="Q7" s="3471"/>
      <c r="R7" s="664" t="s">
        <v>14</v>
      </c>
      <c r="S7" s="665">
        <f t="shared" ref="S7:S14" si="0">F7</f>
        <v>0</v>
      </c>
      <c r="T7" s="664" t="s">
        <v>14</v>
      </c>
      <c r="U7" s="665">
        <f t="shared" ref="U7:U14" si="1">H7</f>
        <v>0</v>
      </c>
      <c r="V7" s="664" t="s">
        <v>14</v>
      </c>
      <c r="W7" s="665">
        <f t="shared" ref="W7:W14" si="2">J7</f>
        <v>0</v>
      </c>
      <c r="X7" s="666"/>
      <c r="Y7" s="3469" t="s">
        <v>1680</v>
      </c>
      <c r="Z7" s="347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69" t="s">
        <v>1683</v>
      </c>
      <c r="Q8" s="3470"/>
      <c r="R8" s="664" t="s">
        <v>14</v>
      </c>
      <c r="S8" s="665">
        <f t="shared" si="0"/>
        <v>100</v>
      </c>
      <c r="T8" s="664" t="s">
        <v>14</v>
      </c>
      <c r="U8" s="665">
        <f t="shared" si="1"/>
        <v>100</v>
      </c>
      <c r="V8" s="664" t="s">
        <v>14</v>
      </c>
      <c r="W8" s="665">
        <f t="shared" si="2"/>
        <v>100</v>
      </c>
      <c r="X8" s="666"/>
      <c r="Y8" s="3469" t="s">
        <v>1683</v>
      </c>
      <c r="Z8" s="347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4"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4"/>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4"/>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4"/>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7"/>
      <c r="Q15" s="1263"/>
      <c r="R15" s="667"/>
      <c r="S15" s="668"/>
      <c r="T15" s="667"/>
      <c r="U15" s="668"/>
      <c r="V15" s="667"/>
      <c r="W15" s="668"/>
      <c r="X15" s="1265"/>
      <c r="Y15" s="343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37"/>
      <c r="Q17" s="1263"/>
      <c r="R17" s="667"/>
      <c r="S17" s="668"/>
      <c r="T17" s="667"/>
      <c r="U17" s="668"/>
      <c r="V17" s="667"/>
      <c r="W17" s="668"/>
      <c r="X17" s="1265"/>
      <c r="Y17" s="343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37"/>
      <c r="Q19" s="1263"/>
      <c r="R19" s="667"/>
      <c r="S19" s="668"/>
      <c r="T19" s="667"/>
      <c r="U19" s="668"/>
      <c r="V19" s="667"/>
      <c r="W19" s="668"/>
      <c r="X19" s="1265"/>
      <c r="Y19" s="343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7"/>
      <c r="Q21" s="1263"/>
      <c r="R21" s="667"/>
      <c r="S21" s="668"/>
      <c r="T21" s="667"/>
      <c r="U21" s="668"/>
      <c r="V21" s="667"/>
      <c r="W21" s="668"/>
      <c r="X21" s="1265"/>
      <c r="Y21" s="343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9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1" t="s">
        <v>1696</v>
      </c>
      <c r="Q32" s="1263">
        <f t="shared" si="11"/>
        <v>111</v>
      </c>
      <c r="R32" s="667" t="s">
        <v>14</v>
      </c>
      <c r="S32" s="668">
        <f t="shared" si="12"/>
        <v>100</v>
      </c>
      <c r="T32" s="667" t="s">
        <v>14</v>
      </c>
      <c r="U32" s="668">
        <f t="shared" si="13"/>
        <v>100</v>
      </c>
      <c r="V32" s="667" t="s">
        <v>14</v>
      </c>
      <c r="W32" s="668">
        <f t="shared" si="14"/>
        <v>100</v>
      </c>
      <c r="X32" s="1265"/>
      <c r="Y32" s="344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4" t="str">
        <f>A35</f>
        <v>成交单价（元/平方米）</v>
      </c>
      <c r="Q35" s="3434"/>
      <c r="R35" s="3435">
        <f>E35</f>
        <v>0</v>
      </c>
      <c r="S35" s="3435"/>
      <c r="T35" s="3435">
        <f>G35</f>
        <v>0</v>
      </c>
      <c r="U35" s="3435"/>
      <c r="V35" s="3435">
        <f>I35</f>
        <v>0</v>
      </c>
      <c r="W35" s="343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1" t="str">
        <f>A37</f>
        <v>估价对象XX用房的比较价值（楼面单价，元/平方米）</v>
      </c>
      <c r="Q37" s="3432"/>
      <c r="R37" s="3495" t="e">
        <f>IF(F1="售价",ROUND(IF(D36="简单平均",AVERAGE(R36:W36),R36*F36+T36*H36+V36*J36),0),ROUND(IF(D36="简单平均",AVERAGE(R36:V36),R36*F36+T36*H36+V36*J36),1))</f>
        <v>#DIV/0!</v>
      </c>
      <c r="S37" s="3495"/>
      <c r="T37" s="3495"/>
      <c r="U37" s="3495"/>
      <c r="V37" s="3495"/>
      <c r="W37" s="349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2004-4</v>
      </c>
      <c r="D46" s="1104">
        <f>EDATE(C46,-1)</f>
        <v>38047</v>
      </c>
      <c r="E46" s="1104">
        <f t="shared" ref="E46:O46" si="16">EDATE(D46,-1)</f>
        <v>38018</v>
      </c>
      <c r="F46" s="1104">
        <f t="shared" si="16"/>
        <v>37987</v>
      </c>
      <c r="G46" s="1104">
        <f t="shared" si="16"/>
        <v>37956</v>
      </c>
      <c r="H46" s="1104">
        <f t="shared" si="16"/>
        <v>37926</v>
      </c>
      <c r="I46" s="1104">
        <f t="shared" si="16"/>
        <v>37895</v>
      </c>
      <c r="J46" s="1104">
        <f t="shared" si="16"/>
        <v>37865</v>
      </c>
      <c r="K46" s="1104">
        <f t="shared" si="16"/>
        <v>37834</v>
      </c>
      <c r="L46" s="1104">
        <f t="shared" si="16"/>
        <v>37803</v>
      </c>
      <c r="M46" s="1104">
        <f t="shared" si="16"/>
        <v>37773</v>
      </c>
      <c r="N46" s="1104">
        <f t="shared" si="16"/>
        <v>37742</v>
      </c>
      <c r="O46" s="1104">
        <f t="shared" si="16"/>
        <v>37712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53" t="s">
        <v>1775</v>
      </c>
      <c r="Q4" s="3454"/>
      <c r="R4" s="3459" t="s">
        <v>1771</v>
      </c>
      <c r="S4" s="3460"/>
      <c r="T4" s="3459" t="s">
        <v>1772</v>
      </c>
      <c r="U4" s="3460"/>
      <c r="V4" s="3435" t="s">
        <v>1773</v>
      </c>
      <c r="W4" s="3435"/>
      <c r="X4" s="1265"/>
      <c r="Y4" s="3459" t="s">
        <v>1775</v>
      </c>
      <c r="Z4" s="3460"/>
      <c r="AA4" s="3446" t="s">
        <v>1771</v>
      </c>
      <c r="AB4" s="3447" t="s">
        <v>1772</v>
      </c>
      <c r="AC4" s="3446" t="s">
        <v>1773</v>
      </c>
    </row>
    <row r="5" spans="1:29" ht="15">
      <c r="A5" s="348"/>
      <c r="B5" s="349"/>
      <c r="C5" s="3472" t="s">
        <v>1673</v>
      </c>
      <c r="D5" s="3468"/>
      <c r="E5" s="3478" t="s">
        <v>1674</v>
      </c>
      <c r="F5" s="3477"/>
      <c r="G5" s="3472" t="s">
        <v>1675</v>
      </c>
      <c r="H5" s="3468"/>
      <c r="I5" s="3472" t="s">
        <v>1676</v>
      </c>
      <c r="J5" s="3468"/>
      <c r="K5" s="537"/>
      <c r="L5" s="2486"/>
      <c r="M5" s="2487"/>
      <c r="N5" s="2487"/>
      <c r="O5" s="2487"/>
      <c r="P5" s="3455"/>
      <c r="Q5" s="3456"/>
      <c r="R5" s="3461"/>
      <c r="S5" s="3462"/>
      <c r="T5" s="3461"/>
      <c r="U5" s="3462"/>
      <c r="V5" s="3435"/>
      <c r="W5" s="3435"/>
      <c r="X5" s="1265"/>
      <c r="Y5" s="3461"/>
      <c r="Z5" s="3462"/>
      <c r="AA5" s="3447"/>
      <c r="AB5" s="3447"/>
      <c r="AC5" s="3447"/>
    </row>
    <row r="6" spans="1:29" ht="15.75" thickBot="1">
      <c r="A6" s="350"/>
      <c r="B6" s="351"/>
      <c r="C6" s="3465" t="s">
        <v>1677</v>
      </c>
      <c r="D6" s="3466"/>
      <c r="E6" s="3474" t="s">
        <v>1677</v>
      </c>
      <c r="F6" s="3475"/>
      <c r="G6" s="3465" t="s">
        <v>1677</v>
      </c>
      <c r="H6" s="3466"/>
      <c r="I6" s="3465" t="s">
        <v>1677</v>
      </c>
      <c r="J6" s="3466"/>
      <c r="K6" s="537" t="s">
        <v>1678</v>
      </c>
      <c r="L6" s="2486"/>
      <c r="M6" s="2487"/>
      <c r="N6" s="2487"/>
      <c r="O6" s="2487"/>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69" t="s">
        <v>1683</v>
      </c>
      <c r="Q8" s="3470"/>
      <c r="R8" s="664" t="s">
        <v>14</v>
      </c>
      <c r="S8" s="665">
        <f t="shared" si="0"/>
        <v>0</v>
      </c>
      <c r="T8" s="664" t="s">
        <v>14</v>
      </c>
      <c r="U8" s="665">
        <f t="shared" si="1"/>
        <v>0</v>
      </c>
      <c r="V8" s="664" t="s">
        <v>14</v>
      </c>
      <c r="W8" s="665">
        <f t="shared" si="2"/>
        <v>0</v>
      </c>
      <c r="X8" s="666"/>
      <c r="Y8" s="3469" t="s">
        <v>1683</v>
      </c>
      <c r="Z8" s="347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4"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4"/>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4"/>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6" t="s">
        <v>1691</v>
      </c>
      <c r="Q15" s="1263" t="str">
        <f t="shared" si="6"/>
        <v>居住社区成熟度</v>
      </c>
      <c r="R15" s="667" t="s">
        <v>14</v>
      </c>
      <c r="S15" s="668">
        <f t="shared" si="0"/>
        <v>100</v>
      </c>
      <c r="T15" s="667" t="s">
        <v>14</v>
      </c>
      <c r="U15" s="668">
        <f t="shared" si="1"/>
        <v>100</v>
      </c>
      <c r="V15" s="667" t="s">
        <v>14</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37"/>
      <c r="Q20" s="1263"/>
      <c r="R20" s="667"/>
      <c r="S20" s="668"/>
      <c r="T20" s="667"/>
      <c r="U20" s="668"/>
      <c r="V20" s="667"/>
      <c r="W20" s="668"/>
      <c r="X20" s="1265"/>
      <c r="Y20" s="343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37"/>
      <c r="Q24" s="1263"/>
      <c r="R24" s="667"/>
      <c r="S24" s="668"/>
      <c r="T24" s="667"/>
      <c r="U24" s="668"/>
      <c r="V24" s="667"/>
      <c r="W24" s="668"/>
      <c r="X24" s="1265"/>
      <c r="Y24" s="343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37"/>
      <c r="Q26" s="1263"/>
      <c r="R26" s="667"/>
      <c r="S26" s="668"/>
      <c r="T26" s="667"/>
      <c r="U26" s="668"/>
      <c r="V26" s="667"/>
      <c r="W26" s="668"/>
      <c r="X26" s="1265"/>
      <c r="Y26" s="343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37"/>
      <c r="Q28" s="530"/>
      <c r="R28" s="664"/>
      <c r="S28" s="665"/>
      <c r="T28" s="664"/>
      <c r="U28" s="665"/>
      <c r="V28" s="664"/>
      <c r="W28" s="665"/>
      <c r="X28" s="666"/>
      <c r="Y28" s="343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37"/>
      <c r="Q30" s="530"/>
      <c r="R30" s="664"/>
      <c r="S30" s="665"/>
      <c r="T30" s="664"/>
      <c r="U30" s="665"/>
      <c r="V30" s="664"/>
      <c r="W30" s="665"/>
      <c r="X30" s="666"/>
      <c r="Y30" s="343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37"/>
      <c r="Q33" s="1263"/>
      <c r="R33" s="667"/>
      <c r="S33" s="668"/>
      <c r="T33" s="667"/>
      <c r="U33" s="668"/>
      <c r="V33" s="667"/>
      <c r="W33" s="668"/>
      <c r="X33" s="1265"/>
      <c r="Y33" s="343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94" t="s">
        <v>1696</v>
      </c>
      <c r="Q36" s="1263">
        <f t="shared" si="8"/>
        <v>111</v>
      </c>
      <c r="R36" s="667" t="s">
        <v>14</v>
      </c>
      <c r="S36" s="668">
        <f t="shared" si="10"/>
        <v>100</v>
      </c>
      <c r="T36" s="667" t="s">
        <v>14</v>
      </c>
      <c r="U36" s="668">
        <f t="shared" si="11"/>
        <v>100</v>
      </c>
      <c r="V36" s="667" t="s">
        <v>14</v>
      </c>
      <c r="W36" s="668">
        <f t="shared" si="12"/>
        <v>100</v>
      </c>
      <c r="X36" s="1265"/>
      <c r="Y36" s="344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1" t="s">
        <v>1696</v>
      </c>
      <c r="Q42" s="1263" t="str">
        <f t="shared" si="14"/>
        <v>工程地质条件</v>
      </c>
      <c r="R42" s="667" t="s">
        <v>14</v>
      </c>
      <c r="S42" s="668">
        <f t="shared" si="10"/>
        <v>100</v>
      </c>
      <c r="T42" s="667" t="s">
        <v>14</v>
      </c>
      <c r="U42" s="668">
        <f t="shared" si="11"/>
        <v>100</v>
      </c>
      <c r="V42" s="667" t="s">
        <v>14</v>
      </c>
      <c r="W42" s="668">
        <f t="shared" si="12"/>
        <v>100</v>
      </c>
      <c r="X42" s="1265"/>
      <c r="Y42" s="344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34" t="str">
        <f>A46</f>
        <v>成交单价</v>
      </c>
      <c r="Q46" s="3434"/>
      <c r="R46" s="3435">
        <f>E46</f>
        <v>0</v>
      </c>
      <c r="S46" s="3435"/>
      <c r="T46" s="3435">
        <f>G46</f>
        <v>0</v>
      </c>
      <c r="U46" s="3435"/>
      <c r="V46" s="3435">
        <f>I46</f>
        <v>0</v>
      </c>
      <c r="W46" s="343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4" t="str">
        <f>A47</f>
        <v>比较价值（元/平方米）</v>
      </c>
      <c r="Q47" s="3434"/>
      <c r="R47" s="3496" t="e">
        <f>ROUND(PRODUCT(R46,AA7:AA45),0)</f>
        <v>#DIV/0!</v>
      </c>
      <c r="S47" s="3496"/>
      <c r="T47" s="3496" t="e">
        <f>ROUND(PRODUCT(T46,AB7:AB45),0)</f>
        <v>#DIV/0!</v>
      </c>
      <c r="U47" s="3496"/>
      <c r="V47" s="3496" t="e">
        <f>ROUND(PRODUCT(V46,AC7:AC45),0)</f>
        <v>#DIV/0!</v>
      </c>
      <c r="W47" s="349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1" t="str">
        <f>A48</f>
        <v>估价对象XX用房的比较价值（楼面单价，元/平方米）</v>
      </c>
      <c r="Q48" s="3432"/>
      <c r="R48" s="3497" t="e">
        <f>ROUND(IF(D47="简单平均",AVERAGE(R47:W47),R47*F47+T47*H47+V47*J47),0)</f>
        <v>#DIV/0!</v>
      </c>
      <c r="S48" s="3497"/>
      <c r="T48" s="3497"/>
      <c r="U48" s="3497"/>
      <c r="V48" s="3497"/>
      <c r="W48" s="349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49" t="s">
        <v>1887</v>
      </c>
      <c r="H55" s="349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41.77</v>
      </c>
      <c r="F56" s="833" t="e">
        <f t="shared" ref="F56:F64" si="15">ROUND(B56*E56/10000,0)</f>
        <v>#DIV/0!</v>
      </c>
      <c r="G56" s="3445"/>
      <c r="H56" s="343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41.77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2004-4-1</v>
      </c>
      <c r="D67" s="656">
        <f>EDATE(C67,-3)</f>
        <v>37987</v>
      </c>
      <c r="E67" s="656">
        <f>EDATE(D67,-3)</f>
        <v>37895</v>
      </c>
      <c r="F67" s="656">
        <f t="shared" ref="F67:O67" si="18">EDATE(E67,-3)</f>
        <v>37803</v>
      </c>
      <c r="G67" s="656">
        <f t="shared" si="18"/>
        <v>37712</v>
      </c>
      <c r="H67" s="656">
        <f t="shared" si="18"/>
        <v>37622</v>
      </c>
      <c r="I67" s="656">
        <f t="shared" si="18"/>
        <v>37530</v>
      </c>
      <c r="J67" s="656">
        <f t="shared" si="18"/>
        <v>37438</v>
      </c>
      <c r="K67" s="656">
        <f t="shared" si="18"/>
        <v>37347</v>
      </c>
      <c r="L67" s="656">
        <f t="shared" si="18"/>
        <v>37257</v>
      </c>
      <c r="M67" s="656">
        <f t="shared" si="18"/>
        <v>37165</v>
      </c>
      <c r="N67" s="656">
        <f t="shared" si="18"/>
        <v>37073</v>
      </c>
      <c r="O67" s="656">
        <f t="shared" si="18"/>
        <v>36982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2004-2</v>
      </c>
      <c r="D69" s="1101" t="str">
        <f>YEAR(D67)&amp;"-"&amp;ROUNDUP(MONTH(D67)/3,0)</f>
        <v>2004-1</v>
      </c>
      <c r="E69" s="1101" t="str">
        <f t="shared" ref="E69:O69" si="19">YEAR(E67)&amp;"-"&amp;ROUNDUP(MONTH(E67)/3,0)</f>
        <v>2003-4</v>
      </c>
      <c r="F69" s="1101" t="str">
        <f t="shared" si="19"/>
        <v>2003-3</v>
      </c>
      <c r="G69" s="1101" t="str">
        <f t="shared" si="19"/>
        <v>2003-2</v>
      </c>
      <c r="H69" s="1101" t="str">
        <f t="shared" si="19"/>
        <v>2003-1</v>
      </c>
      <c r="I69" s="1101" t="str">
        <f t="shared" si="19"/>
        <v>2002-4</v>
      </c>
      <c r="J69" s="1101" t="str">
        <f t="shared" si="19"/>
        <v>2002-3</v>
      </c>
      <c r="K69" s="1101" t="str">
        <f t="shared" si="19"/>
        <v>2002-2</v>
      </c>
      <c r="L69" s="1101" t="str">
        <f t="shared" si="19"/>
        <v>2002-1</v>
      </c>
      <c r="M69" s="1101" t="str">
        <f t="shared" si="19"/>
        <v>2001-4</v>
      </c>
      <c r="N69" s="1101" t="str">
        <f t="shared" si="19"/>
        <v>2001-3</v>
      </c>
      <c r="O69" s="1101" t="str">
        <f t="shared" si="19"/>
        <v>2001-2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49" t="s">
        <v>1770</v>
      </c>
      <c r="D4" s="3450"/>
      <c r="E4" s="3451" t="s">
        <v>1771</v>
      </c>
      <c r="F4" s="3452"/>
      <c r="G4" s="3449" t="s">
        <v>1772</v>
      </c>
      <c r="H4" s="3450"/>
      <c r="I4" s="3449" t="s">
        <v>1773</v>
      </c>
      <c r="J4" s="3450"/>
      <c r="K4" s="537" t="s">
        <v>1774</v>
      </c>
      <c r="L4" s="2486"/>
      <c r="M4" s="2487"/>
      <c r="N4" s="2487"/>
      <c r="O4" s="2487"/>
      <c r="P4" s="3453" t="s">
        <v>1775</v>
      </c>
      <c r="Q4" s="3454"/>
      <c r="R4" s="3459" t="s">
        <v>1771</v>
      </c>
      <c r="S4" s="3460"/>
      <c r="T4" s="3459" t="s">
        <v>1772</v>
      </c>
      <c r="U4" s="3460"/>
      <c r="V4" s="3435" t="s">
        <v>1773</v>
      </c>
      <c r="W4" s="3435"/>
      <c r="X4" s="1265"/>
      <c r="Y4" s="3459" t="s">
        <v>1775</v>
      </c>
      <c r="Z4" s="3460"/>
      <c r="AA4" s="3446" t="s">
        <v>1771</v>
      </c>
      <c r="AB4" s="3447" t="s">
        <v>1772</v>
      </c>
      <c r="AC4" s="3446" t="s">
        <v>1773</v>
      </c>
    </row>
    <row r="5" spans="1:29" ht="15">
      <c r="A5" s="348"/>
      <c r="B5" s="349"/>
      <c r="C5" s="3472" t="s">
        <v>1673</v>
      </c>
      <c r="D5" s="3468"/>
      <c r="E5" s="3478" t="s">
        <v>1674</v>
      </c>
      <c r="F5" s="3477"/>
      <c r="G5" s="3472" t="s">
        <v>1675</v>
      </c>
      <c r="H5" s="3468"/>
      <c r="I5" s="3472" t="s">
        <v>1676</v>
      </c>
      <c r="J5" s="3468"/>
      <c r="K5" s="537"/>
      <c r="L5" s="2486"/>
      <c r="M5" s="2487"/>
      <c r="N5" s="2487"/>
      <c r="O5" s="2487"/>
      <c r="P5" s="3455"/>
      <c r="Q5" s="3456"/>
      <c r="R5" s="3461"/>
      <c r="S5" s="3462"/>
      <c r="T5" s="3461"/>
      <c r="U5" s="3462"/>
      <c r="V5" s="3435"/>
      <c r="W5" s="3435"/>
      <c r="X5" s="1265"/>
      <c r="Y5" s="3461"/>
      <c r="Z5" s="3462"/>
      <c r="AA5" s="3447"/>
      <c r="AB5" s="3447"/>
      <c r="AC5" s="3447"/>
    </row>
    <row r="6" spans="1:29" ht="15.75" thickBot="1">
      <c r="A6" s="350"/>
      <c r="B6" s="351"/>
      <c r="C6" s="3499" t="s">
        <v>1919</v>
      </c>
      <c r="D6" s="3500"/>
      <c r="E6" s="3501" t="s">
        <v>1919</v>
      </c>
      <c r="F6" s="3502"/>
      <c r="G6" s="3499" t="s">
        <v>1919</v>
      </c>
      <c r="H6" s="3500"/>
      <c r="I6" s="3499" t="s">
        <v>1919</v>
      </c>
      <c r="J6" s="3500"/>
      <c r="K6" s="537" t="s">
        <v>1678</v>
      </c>
      <c r="L6" s="2486"/>
      <c r="M6" s="2487"/>
      <c r="N6" s="2487"/>
      <c r="O6" s="2487"/>
      <c r="P6" s="3457"/>
      <c r="Q6" s="3458"/>
      <c r="R6" s="3461"/>
      <c r="S6" s="3462"/>
      <c r="T6" s="3463"/>
      <c r="U6" s="3464"/>
      <c r="V6" s="3435"/>
      <c r="W6" s="3435"/>
      <c r="X6" s="1265"/>
      <c r="Y6" s="3463"/>
      <c r="Z6" s="3464"/>
      <c r="AA6" s="3448"/>
      <c r="AB6" s="3448"/>
      <c r="AC6" s="3448"/>
    </row>
    <row r="7" spans="1:29" s="102" customFormat="1" ht="15.75" thickBot="1">
      <c r="A7" s="352" t="s">
        <v>1679</v>
      </c>
      <c r="B7" s="353"/>
      <c r="C7" s="354">
        <f>'数据-取费表'!B2</f>
        <v>38084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69" t="s">
        <v>1680</v>
      </c>
      <c r="Q7" s="3471"/>
      <c r="R7" s="664" t="s">
        <v>14</v>
      </c>
      <c r="S7" s="665">
        <f t="shared" ref="S7:S15" si="0">F7</f>
        <v>0</v>
      </c>
      <c r="T7" s="664" t="s">
        <v>14</v>
      </c>
      <c r="U7" s="665">
        <f t="shared" ref="U7:U15" si="1">H7</f>
        <v>0</v>
      </c>
      <c r="V7" s="664" t="s">
        <v>14</v>
      </c>
      <c r="W7" s="665">
        <f t="shared" ref="W7:W15" si="2">J7</f>
        <v>0</v>
      </c>
      <c r="X7" s="666"/>
      <c r="Y7" s="3469" t="s">
        <v>1680</v>
      </c>
      <c r="Z7" s="347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69" t="s">
        <v>1683</v>
      </c>
      <c r="Q8" s="3470"/>
      <c r="R8" s="664" t="s">
        <v>14</v>
      </c>
      <c r="S8" s="665">
        <f t="shared" si="0"/>
        <v>0</v>
      </c>
      <c r="T8" s="664" t="s">
        <v>14</v>
      </c>
      <c r="U8" s="665">
        <f t="shared" si="1"/>
        <v>0</v>
      </c>
      <c r="V8" s="664" t="s">
        <v>14</v>
      </c>
      <c r="W8" s="665">
        <f t="shared" si="2"/>
        <v>0</v>
      </c>
      <c r="X8" s="666"/>
      <c r="Y8" s="3469" t="s">
        <v>1683</v>
      </c>
      <c r="Z8" s="347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4"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4"/>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4"/>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4"/>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4"/>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4"/>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37"/>
      <c r="Q20" s="1263"/>
      <c r="R20" s="667"/>
      <c r="S20" s="668"/>
      <c r="T20" s="667"/>
      <c r="U20" s="668"/>
      <c r="V20" s="667"/>
      <c r="W20" s="668"/>
      <c r="X20" s="1265"/>
      <c r="Y20" s="343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37"/>
      <c r="Q24" s="530"/>
      <c r="R24" s="664"/>
      <c r="S24" s="665"/>
      <c r="T24" s="664"/>
      <c r="U24" s="665"/>
      <c r="V24" s="664"/>
      <c r="W24" s="665"/>
      <c r="X24" s="666"/>
      <c r="Y24" s="343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37"/>
      <c r="Q29" s="1263"/>
      <c r="R29" s="667"/>
      <c r="S29" s="668"/>
      <c r="T29" s="667"/>
      <c r="U29" s="668"/>
      <c r="V29" s="667"/>
      <c r="W29" s="668"/>
      <c r="X29" s="1265"/>
      <c r="Y29" s="343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94" t="s">
        <v>1696</v>
      </c>
      <c r="Q32" s="1263">
        <f t="shared" si="8"/>
        <v>111</v>
      </c>
      <c r="R32" s="667" t="s">
        <v>14</v>
      </c>
      <c r="S32" s="668">
        <f t="shared" si="10"/>
        <v>100</v>
      </c>
      <c r="T32" s="667" t="s">
        <v>14</v>
      </c>
      <c r="U32" s="668">
        <f t="shared" si="11"/>
        <v>100</v>
      </c>
      <c r="V32" s="667" t="s">
        <v>14</v>
      </c>
      <c r="W32" s="668">
        <f t="shared" si="12"/>
        <v>100</v>
      </c>
      <c r="X32" s="1265"/>
      <c r="Y32" s="344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1" t="s">
        <v>1696</v>
      </c>
      <c r="Q37" s="1263" t="str">
        <f t="shared" si="14"/>
        <v>工程地质条件</v>
      </c>
      <c r="R37" s="667" t="s">
        <v>14</v>
      </c>
      <c r="S37" s="668">
        <f t="shared" si="10"/>
        <v>100</v>
      </c>
      <c r="T37" s="667" t="s">
        <v>14</v>
      </c>
      <c r="U37" s="668">
        <f t="shared" si="11"/>
        <v>100</v>
      </c>
      <c r="V37" s="667" t="s">
        <v>14</v>
      </c>
      <c r="W37" s="668">
        <f t="shared" si="12"/>
        <v>100</v>
      </c>
      <c r="X37" s="1265"/>
      <c r="Y37" s="344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34" t="str">
        <f>A41</f>
        <v>成交单价</v>
      </c>
      <c r="Q41" s="3434"/>
      <c r="R41" s="3435">
        <f>E41</f>
        <v>0</v>
      </c>
      <c r="S41" s="3435"/>
      <c r="T41" s="3435">
        <f>G41</f>
        <v>0</v>
      </c>
      <c r="U41" s="3435"/>
      <c r="V41" s="3435">
        <f>I41</f>
        <v>0</v>
      </c>
      <c r="W41" s="343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4" t="str">
        <f>A42</f>
        <v>比较价值（元/平方米）</v>
      </c>
      <c r="Q42" s="3434"/>
      <c r="R42" s="3496" t="e">
        <f>ROUND(PRODUCT(R41,AA7:AA40),0)</f>
        <v>#DIV/0!</v>
      </c>
      <c r="S42" s="3496"/>
      <c r="T42" s="3496" t="e">
        <f>ROUND(PRODUCT(T41,AB7:AB40),0)</f>
        <v>#DIV/0!</v>
      </c>
      <c r="U42" s="3496"/>
      <c r="V42" s="3496" t="e">
        <f>ROUND(PRODUCT(V41,AC7:AC40),0)</f>
        <v>#DIV/0!</v>
      </c>
      <c r="W42" s="349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1" t="str">
        <f>A43</f>
        <v>估价对象XX用房的比较价值（楼面单价，元/平方米）</v>
      </c>
      <c r="Q43" s="3432"/>
      <c r="R43" s="3497" t="e">
        <f>ROUND(IF(D42="简单平均",AVERAGE(R42:W42),R42*F42+T42*H42+V42*J42),0)</f>
        <v>#DIV/0!</v>
      </c>
      <c r="S43" s="3497"/>
      <c r="T43" s="3497"/>
      <c r="U43" s="3497"/>
      <c r="V43" s="3497"/>
      <c r="W43" s="349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49" t="s">
        <v>1887</v>
      </c>
      <c r="H50" s="349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41.77</v>
      </c>
      <c r="F51" s="611" t="e">
        <f t="shared" ref="F51:F60" si="15">ROUND(B51*E51/10000,0)</f>
        <v>#DIV/0!</v>
      </c>
      <c r="G51" s="3445"/>
      <c r="H51" s="343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2004-4-1</v>
      </c>
      <c r="D63" s="656">
        <f>EDATE(C63,-3)</f>
        <v>37987</v>
      </c>
      <c r="E63" s="656">
        <f>EDATE(D63,-3)</f>
        <v>37895</v>
      </c>
      <c r="F63" s="656">
        <f t="shared" ref="F63:O63" si="18">EDATE(E63,-3)</f>
        <v>37803</v>
      </c>
      <c r="G63" s="656">
        <f t="shared" si="18"/>
        <v>37712</v>
      </c>
      <c r="H63" s="656">
        <f t="shared" si="18"/>
        <v>37622</v>
      </c>
      <c r="I63" s="656">
        <f t="shared" si="18"/>
        <v>37530</v>
      </c>
      <c r="J63" s="656">
        <f t="shared" si="18"/>
        <v>37438</v>
      </c>
      <c r="K63" s="656">
        <f t="shared" si="18"/>
        <v>37347</v>
      </c>
      <c r="L63" s="656">
        <f t="shared" si="18"/>
        <v>37257</v>
      </c>
      <c r="M63" s="656">
        <f t="shared" si="18"/>
        <v>37165</v>
      </c>
      <c r="N63" s="656">
        <f t="shared" si="18"/>
        <v>37073</v>
      </c>
      <c r="O63" s="656">
        <f t="shared" si="18"/>
        <v>36982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2004-2</v>
      </c>
      <c r="D65" s="1101" t="str">
        <f t="shared" ref="D65:O65" si="19">YEAR(D63)&amp;"-"&amp;ROUNDUP(MONTH(D63)/3,0)</f>
        <v>2004-1</v>
      </c>
      <c r="E65" s="1101" t="str">
        <f t="shared" si="19"/>
        <v>2003-4</v>
      </c>
      <c r="F65" s="1101" t="str">
        <f t="shared" si="19"/>
        <v>2003-3</v>
      </c>
      <c r="G65" s="1101" t="str">
        <f t="shared" si="19"/>
        <v>2003-2</v>
      </c>
      <c r="H65" s="1101" t="str">
        <f t="shared" si="19"/>
        <v>2003-1</v>
      </c>
      <c r="I65" s="1101" t="str">
        <f t="shared" si="19"/>
        <v>2002-4</v>
      </c>
      <c r="J65" s="1101" t="str">
        <f t="shared" si="19"/>
        <v>2002-3</v>
      </c>
      <c r="K65" s="1101" t="str">
        <f t="shared" si="19"/>
        <v>2002-2</v>
      </c>
      <c r="L65" s="1101" t="str">
        <f t="shared" si="19"/>
        <v>2002-1</v>
      </c>
      <c r="M65" s="1101" t="str">
        <f t="shared" si="19"/>
        <v>2001-4</v>
      </c>
      <c r="N65" s="1101" t="str">
        <f t="shared" si="19"/>
        <v>2001-3</v>
      </c>
      <c r="O65" s="1101" t="str">
        <f t="shared" si="19"/>
        <v>2001-2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6" t="s">
        <v>2084</v>
      </c>
      <c r="D1" s="3507"/>
      <c r="E1" s="3507"/>
      <c r="F1" s="3507"/>
      <c r="G1" s="3507"/>
      <c r="H1" s="3507"/>
      <c r="I1" s="3507"/>
      <c r="J1" s="3507"/>
      <c r="K1" s="3507"/>
      <c r="L1" s="3507"/>
      <c r="M1" s="3507"/>
      <c r="N1" s="3507"/>
      <c r="O1" s="3507"/>
      <c r="P1" s="3507"/>
      <c r="Q1" s="3507"/>
      <c r="R1" s="3507"/>
      <c r="S1" s="350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16"/>
      <c r="B4" s="3517"/>
      <c r="C4" s="3517"/>
      <c r="D4" s="3518"/>
      <c r="E4" s="3518"/>
      <c r="F4" s="3518"/>
      <c r="G4" s="3518"/>
      <c r="H4" s="3518"/>
      <c r="I4" s="3518"/>
      <c r="J4" s="351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13" t="s">
        <v>1960</v>
      </c>
      <c r="X8" s="351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15"/>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1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20" t="s">
        <v>3256</v>
      </c>
      <c r="B20" s="159" t="s">
        <v>1994</v>
      </c>
      <c r="C20" s="3031" t="e">
        <f>ROUND(IF(F21="与级别开发程度一致",0,(G21-E21)/C21),0)</f>
        <v>#DIV/0!</v>
      </c>
      <c r="D20" s="3046" t="s">
        <v>1998</v>
      </c>
      <c r="E20" s="3047"/>
      <c r="F20" s="3526" t="s">
        <v>1995</v>
      </c>
      <c r="G20" s="352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2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38084</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5.4900000000000004E-2</v>
      </c>
      <c r="M36" s="2365">
        <f ca="1">ROUND($L$36*(1+M31),3)</f>
        <v>6.9000000000000006E-2</v>
      </c>
      <c r="N36" s="2365">
        <f ca="1">ROUND($L$36*(1+N31),3)</f>
        <v>6.6000000000000003E-2</v>
      </c>
      <c r="O36" s="2365">
        <f ca="1">ROUND($L$36*(1+O31),3)</f>
        <v>6.3E-2</v>
      </c>
      <c r="P36" s="2365">
        <f ca="1">ROUND($L$36*(1+P31),3)</f>
        <v>0.06</v>
      </c>
      <c r="Q36" s="2365">
        <f ca="1">ROUND($L$36*(1+Q31),3)</f>
        <v>6.3E-2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2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5.9900000000000002E-2</v>
      </c>
      <c r="M37" s="2365">
        <f ca="1">ROUND($L$37*(1+M31),3)</f>
        <v>7.4999999999999997E-2</v>
      </c>
      <c r="N37" s="2365">
        <f t="shared" ref="N37:Q37" ca="1" si="3">ROUND($L$37*(1+N31),3)</f>
        <v>7.1999999999999995E-2</v>
      </c>
      <c r="O37" s="2365">
        <f t="shared" ca="1" si="3"/>
        <v>6.9000000000000006E-2</v>
      </c>
      <c r="P37" s="2365">
        <f t="shared" ca="1" si="3"/>
        <v>6.6000000000000003E-2</v>
      </c>
      <c r="Q37" s="2365">
        <f t="shared" ca="1" si="3"/>
        <v>6.9000000000000006E-2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5"/>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22" t="s">
        <v>3296</v>
      </c>
      <c r="B103" s="3522"/>
      <c r="C103" s="3522"/>
      <c r="D103" s="3522"/>
      <c r="E103" s="3522"/>
      <c r="F103" s="3522"/>
      <c r="G103" s="3522"/>
      <c r="H103" s="3522"/>
      <c r="I103" s="3522"/>
      <c r="J103" s="3522"/>
      <c r="K103" s="1667"/>
      <c r="L103" s="1667"/>
      <c r="M103" s="1667"/>
      <c r="N103" s="1667"/>
    </row>
    <row r="104" spans="1:14">
      <c r="A104" s="3523" t="s">
        <v>3297</v>
      </c>
      <c r="B104" s="3523" t="s">
        <v>3298</v>
      </c>
      <c r="C104" s="3090" t="s">
        <v>3299</v>
      </c>
      <c r="D104" s="3091"/>
      <c r="E104" s="3091"/>
      <c r="F104" s="3091"/>
      <c r="G104" s="3091"/>
      <c r="H104" s="3091"/>
      <c r="I104" s="3091"/>
      <c r="J104" s="3092"/>
      <c r="K104" s="3093"/>
      <c r="L104" s="3093"/>
      <c r="M104" s="3093"/>
      <c r="N104" s="3093"/>
    </row>
    <row r="105" spans="1:14">
      <c r="A105" s="3523"/>
      <c r="B105" s="3523"/>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509"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1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1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1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1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10"/>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1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12" t="s">
        <v>3313</v>
      </c>
      <c r="B113" s="3512"/>
      <c r="C113" s="3512"/>
      <c r="D113" s="3512"/>
      <c r="E113" s="3512"/>
      <c r="F113" s="3512"/>
      <c r="G113" s="3512"/>
      <c r="H113" s="3512"/>
      <c r="I113" s="3512"/>
      <c r="J113" s="351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37" t="s">
        <v>2609</v>
      </c>
      <c r="B20" s="3532" t="s">
        <v>2630</v>
      </c>
      <c r="C20" s="2842" t="s">
        <v>2441</v>
      </c>
      <c r="D20" s="2843"/>
      <c r="E20" s="2844">
        <v>1</v>
      </c>
      <c r="F20" s="2845" t="s">
        <v>2442</v>
      </c>
      <c r="G20" s="2845"/>
    </row>
    <row r="21" spans="1:13" ht="19.5" customHeight="1">
      <c r="A21" s="3538"/>
      <c r="B21" s="3531"/>
      <c r="C21" s="2846" t="s">
        <v>2443</v>
      </c>
      <c r="D21" s="2847"/>
      <c r="E21" s="2848">
        <v>1</v>
      </c>
      <c r="F21" s="2845" t="s">
        <v>2444</v>
      </c>
      <c r="G21" s="2845"/>
    </row>
    <row r="22" spans="1:13" ht="19.5" customHeight="1">
      <c r="A22" s="3538"/>
      <c r="B22" s="3531"/>
      <c r="C22" s="2846" t="s">
        <v>2445</v>
      </c>
      <c r="D22" s="2847"/>
      <c r="E22" s="2848">
        <v>0.9</v>
      </c>
      <c r="F22" s="2845" t="s">
        <v>2446</v>
      </c>
      <c r="G22" s="2845"/>
    </row>
    <row r="23" spans="1:13" ht="19.5" customHeight="1">
      <c r="A23" s="3538"/>
      <c r="B23" s="3531"/>
      <c r="C23" s="2846" t="s">
        <v>2447</v>
      </c>
      <c r="D23" s="2847"/>
      <c r="E23" s="2848">
        <v>0.9</v>
      </c>
      <c r="F23" s="2845" t="s">
        <v>2448</v>
      </c>
      <c r="G23" s="2845"/>
    </row>
    <row r="24" spans="1:13" ht="19.5" customHeight="1">
      <c r="A24" s="3538"/>
      <c r="B24" s="3531"/>
      <c r="C24" s="2846" t="s">
        <v>2449</v>
      </c>
      <c r="D24" s="2847"/>
      <c r="E24" s="2848">
        <v>0.8</v>
      </c>
      <c r="F24" s="2845" t="s">
        <v>2450</v>
      </c>
      <c r="G24" s="2845"/>
    </row>
    <row r="25" spans="1:13" ht="19.5" customHeight="1" thickBot="1">
      <c r="A25" s="3539"/>
      <c r="B25" s="3533"/>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534" t="s">
        <v>2633</v>
      </c>
      <c r="B27" s="3532" t="s">
        <v>2614</v>
      </c>
      <c r="C27" s="2842" t="s">
        <v>2454</v>
      </c>
      <c r="D27" s="2843"/>
      <c r="E27" s="2844">
        <v>1</v>
      </c>
      <c r="F27" s="2845" t="s">
        <v>2455</v>
      </c>
      <c r="G27" s="2845"/>
    </row>
    <row r="28" spans="1:13" ht="19.5" customHeight="1">
      <c r="A28" s="3535"/>
      <c r="B28" s="3531"/>
      <c r="C28" s="2846" t="s">
        <v>2456</v>
      </c>
      <c r="D28" s="2847"/>
      <c r="E28" s="2848">
        <v>1</v>
      </c>
      <c r="F28" s="2845" t="s">
        <v>2457</v>
      </c>
      <c r="G28" s="2845"/>
    </row>
    <row r="29" spans="1:13" ht="19.5" customHeight="1">
      <c r="A29" s="3535"/>
      <c r="B29" s="3531"/>
      <c r="C29" s="2846" t="s">
        <v>2458</v>
      </c>
      <c r="D29" s="2847"/>
      <c r="E29" s="2848">
        <v>0.8</v>
      </c>
      <c r="F29" s="2845" t="s">
        <v>2459</v>
      </c>
      <c r="G29" s="2845"/>
    </row>
    <row r="30" spans="1:13" ht="19.5" customHeight="1">
      <c r="A30" s="3535"/>
      <c r="B30" s="3531"/>
      <c r="C30" s="2846" t="s">
        <v>2460</v>
      </c>
      <c r="D30" s="2847"/>
      <c r="E30" s="2848">
        <v>0.8</v>
      </c>
      <c r="F30" s="2845" t="s">
        <v>2461</v>
      </c>
      <c r="G30" s="2845"/>
    </row>
    <row r="31" spans="1:13" ht="19.5" customHeight="1">
      <c r="A31" s="3535"/>
      <c r="B31" s="3531"/>
      <c r="C31" s="2846" t="s">
        <v>2462</v>
      </c>
      <c r="D31" s="2847"/>
      <c r="E31" s="2848">
        <v>0.8</v>
      </c>
      <c r="F31" s="2845" t="s">
        <v>2463</v>
      </c>
      <c r="G31" s="2845"/>
    </row>
    <row r="32" spans="1:13" ht="19.5" customHeight="1">
      <c r="A32" s="3535"/>
      <c r="B32" s="3531"/>
      <c r="C32" s="2846" t="s">
        <v>2464</v>
      </c>
      <c r="D32" s="2847"/>
      <c r="E32" s="2848">
        <v>0.7</v>
      </c>
      <c r="F32" s="2845" t="s">
        <v>2465</v>
      </c>
      <c r="G32" s="2845"/>
    </row>
    <row r="33" spans="1:7" ht="19.5" customHeight="1">
      <c r="A33" s="3535"/>
      <c r="B33" s="3531"/>
      <c r="C33" s="2846" t="s">
        <v>2466</v>
      </c>
      <c r="D33" s="2847"/>
      <c r="E33" s="2848">
        <v>0.8</v>
      </c>
      <c r="F33" s="2845" t="s">
        <v>2467</v>
      </c>
      <c r="G33" s="2845"/>
    </row>
    <row r="34" spans="1:7" ht="19.5" customHeight="1">
      <c r="A34" s="3535"/>
      <c r="B34" s="3531"/>
      <c r="C34" s="2846" t="s">
        <v>2468</v>
      </c>
      <c r="D34" s="2847"/>
      <c r="E34" s="2848">
        <v>0.6</v>
      </c>
      <c r="F34" s="2845" t="s">
        <v>2469</v>
      </c>
      <c r="G34" s="2845"/>
    </row>
    <row r="35" spans="1:7" ht="19.5" customHeight="1">
      <c r="A35" s="3535"/>
      <c r="B35" s="3531"/>
      <c r="C35" s="2846" t="s">
        <v>2470</v>
      </c>
      <c r="D35" s="2847"/>
      <c r="E35" s="2848">
        <v>0.2</v>
      </c>
      <c r="F35" s="2845" t="s">
        <v>2471</v>
      </c>
      <c r="G35" s="2845"/>
    </row>
    <row r="36" spans="1:7" ht="19.5" customHeight="1">
      <c r="A36" s="3535"/>
      <c r="B36" s="3531"/>
      <c r="C36" s="2846" t="s">
        <v>2472</v>
      </c>
      <c r="D36" s="2847"/>
      <c r="E36" s="2848">
        <v>0.2</v>
      </c>
      <c r="F36" s="2845" t="s">
        <v>2473</v>
      </c>
      <c r="G36" s="2845"/>
    </row>
    <row r="37" spans="1:7" ht="19.5" customHeight="1">
      <c r="A37" s="3535"/>
      <c r="B37" s="3529" t="s">
        <v>2634</v>
      </c>
      <c r="C37" s="2846" t="s">
        <v>2474</v>
      </c>
      <c r="D37" s="2847"/>
      <c r="E37" s="2848">
        <v>0.6</v>
      </c>
      <c r="F37" s="2845" t="s">
        <v>2475</v>
      </c>
      <c r="G37" s="2845"/>
    </row>
    <row r="38" spans="1:7" ht="19.5" customHeight="1">
      <c r="A38" s="3535"/>
      <c r="B38" s="3531"/>
      <c r="C38" s="2846" t="s">
        <v>2476</v>
      </c>
      <c r="D38" s="2847"/>
      <c r="E38" s="2848">
        <v>0.6</v>
      </c>
      <c r="F38" s="2845" t="s">
        <v>2477</v>
      </c>
      <c r="G38" s="2845"/>
    </row>
    <row r="39" spans="1:7" ht="19.5" customHeight="1" thickBot="1">
      <c r="A39" s="3536"/>
      <c r="B39" s="3533"/>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37" t="s">
        <v>2612</v>
      </c>
      <c r="B41" s="3532" t="s">
        <v>2636</v>
      </c>
      <c r="C41" s="2842" t="s">
        <v>2481</v>
      </c>
      <c r="D41" s="2843"/>
      <c r="E41" s="2844">
        <v>1</v>
      </c>
      <c r="F41" s="2845" t="s">
        <v>2482</v>
      </c>
      <c r="G41" s="2845"/>
    </row>
    <row r="42" spans="1:7" ht="19.5" customHeight="1">
      <c r="A42" s="3538"/>
      <c r="B42" s="3531"/>
      <c r="C42" s="2846" t="s">
        <v>2483</v>
      </c>
      <c r="D42" s="2847"/>
      <c r="E42" s="2848">
        <v>1</v>
      </c>
      <c r="F42" s="2845" t="s">
        <v>2484</v>
      </c>
      <c r="G42" s="2845"/>
    </row>
    <row r="43" spans="1:7" ht="19.5" customHeight="1">
      <c r="A43" s="3538"/>
      <c r="B43" s="3530"/>
      <c r="C43" s="2846" t="s">
        <v>2485</v>
      </c>
      <c r="D43" s="2847"/>
      <c r="E43" s="2848">
        <v>1.5</v>
      </c>
      <c r="F43" s="2845" t="s">
        <v>2486</v>
      </c>
      <c r="G43" s="2845"/>
    </row>
    <row r="44" spans="1:7" ht="19.5" customHeight="1">
      <c r="A44" s="3538"/>
      <c r="B44" s="2857" t="s">
        <v>2637</v>
      </c>
      <c r="C44" s="2846" t="s">
        <v>2638</v>
      </c>
      <c r="D44" s="2847"/>
      <c r="E44" s="2848">
        <v>2</v>
      </c>
      <c r="F44" s="2845" t="s">
        <v>2487</v>
      </c>
      <c r="G44" s="2845"/>
    </row>
    <row r="45" spans="1:7" ht="19.5" customHeight="1">
      <c r="A45" s="3538"/>
      <c r="B45" s="3529" t="s">
        <v>2639</v>
      </c>
      <c r="C45" s="2846" t="s">
        <v>2488</v>
      </c>
      <c r="D45" s="2847"/>
      <c r="E45" s="2848">
        <v>1</v>
      </c>
      <c r="F45" s="2845" t="s">
        <v>2489</v>
      </c>
      <c r="G45" s="2845"/>
    </row>
    <row r="46" spans="1:7" ht="19.5" customHeight="1">
      <c r="A46" s="3538"/>
      <c r="B46" s="3531"/>
      <c r="C46" s="2846" t="s">
        <v>2490</v>
      </c>
      <c r="D46" s="2847"/>
      <c r="E46" s="2848">
        <v>1</v>
      </c>
      <c r="F46" s="2845" t="s">
        <v>2491</v>
      </c>
      <c r="G46" s="2845"/>
    </row>
    <row r="47" spans="1:7" ht="19.5" customHeight="1">
      <c r="A47" s="3538"/>
      <c r="B47" s="3531"/>
      <c r="C47" s="2846" t="s">
        <v>2492</v>
      </c>
      <c r="D47" s="2847"/>
      <c r="E47" s="2848">
        <v>1</v>
      </c>
      <c r="F47" s="2845" t="s">
        <v>2493</v>
      </c>
      <c r="G47" s="2845"/>
    </row>
    <row r="48" spans="1:7" ht="19.5" customHeight="1">
      <c r="A48" s="3538"/>
      <c r="B48" s="3531"/>
      <c r="C48" s="2846" t="s">
        <v>2494</v>
      </c>
      <c r="D48" s="2847"/>
      <c r="E48" s="2848">
        <v>1</v>
      </c>
      <c r="F48" s="2845" t="s">
        <v>2495</v>
      </c>
      <c r="G48" s="2845"/>
    </row>
    <row r="49" spans="1:7" ht="19.5" customHeight="1">
      <c r="A49" s="3538"/>
      <c r="B49" s="3531"/>
      <c r="C49" s="2846" t="s">
        <v>2496</v>
      </c>
      <c r="D49" s="2847"/>
      <c r="E49" s="2848">
        <v>1</v>
      </c>
      <c r="F49" s="2845" t="s">
        <v>2497</v>
      </c>
      <c r="G49" s="2845"/>
    </row>
    <row r="50" spans="1:7" ht="19.5" customHeight="1">
      <c r="A50" s="3538"/>
      <c r="B50" s="3531"/>
      <c r="C50" s="2846" t="s">
        <v>2498</v>
      </c>
      <c r="D50" s="2847"/>
      <c r="E50" s="2848">
        <v>1</v>
      </c>
      <c r="F50" s="2845" t="s">
        <v>2499</v>
      </c>
      <c r="G50" s="2845"/>
    </row>
    <row r="51" spans="1:7" ht="19.5" customHeight="1" thickBot="1">
      <c r="A51" s="3539"/>
      <c r="B51" s="3533"/>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29" t="s">
        <v>2653</v>
      </c>
      <c r="C73" s="2831" t="s">
        <v>2654</v>
      </c>
      <c r="D73" s="2831" t="s">
        <v>2655</v>
      </c>
      <c r="E73" s="2857">
        <v>0.2</v>
      </c>
      <c r="F73" s="2857">
        <v>25</v>
      </c>
    </row>
    <row r="74" spans="1:7" ht="24">
      <c r="A74" s="2857">
        <v>2</v>
      </c>
      <c r="B74" s="3531"/>
      <c r="C74" s="2831" t="s">
        <v>2656</v>
      </c>
      <c r="D74" s="2831" t="s">
        <v>2657</v>
      </c>
      <c r="E74" s="2857">
        <v>0.2</v>
      </c>
      <c r="F74" s="2857">
        <v>25</v>
      </c>
    </row>
    <row r="75" spans="1:7" ht="24">
      <c r="A75" s="2857">
        <v>3</v>
      </c>
      <c r="B75" s="3531"/>
      <c r="C75" s="2831" t="s">
        <v>2658</v>
      </c>
      <c r="D75" s="2831" t="s">
        <v>2659</v>
      </c>
      <c r="E75" s="2857">
        <v>0.2</v>
      </c>
      <c r="F75" s="2857">
        <v>25</v>
      </c>
    </row>
    <row r="76" spans="1:7" ht="13.5">
      <c r="A76" s="2857">
        <v>4</v>
      </c>
      <c r="B76" s="3531"/>
      <c r="C76" s="2831" t="s">
        <v>2660</v>
      </c>
      <c r="D76" s="2831" t="s">
        <v>2661</v>
      </c>
      <c r="E76" s="2857">
        <v>0.15</v>
      </c>
      <c r="F76" s="2857">
        <v>20</v>
      </c>
    </row>
    <row r="77" spans="1:7" ht="24">
      <c r="A77" s="2857">
        <v>5</v>
      </c>
      <c r="B77" s="3531"/>
      <c r="C77" s="2831" t="s">
        <v>2662</v>
      </c>
      <c r="D77" s="2831" t="s">
        <v>2663</v>
      </c>
      <c r="E77" s="2857">
        <v>0.15</v>
      </c>
      <c r="F77" s="2857">
        <v>20</v>
      </c>
    </row>
    <row r="78" spans="1:7" ht="24">
      <c r="A78" s="2857">
        <v>6</v>
      </c>
      <c r="B78" s="3531"/>
      <c r="C78" s="2831" t="s">
        <v>2664</v>
      </c>
      <c r="D78" s="2831" t="s">
        <v>2665</v>
      </c>
      <c r="E78" s="2857">
        <v>0.15</v>
      </c>
      <c r="F78" s="2857">
        <v>20</v>
      </c>
    </row>
    <row r="79" spans="1:7" ht="24">
      <c r="A79" s="2857">
        <v>7</v>
      </c>
      <c r="B79" s="3531"/>
      <c r="C79" s="2831" t="s">
        <v>2666</v>
      </c>
      <c r="D79" s="2831" t="s">
        <v>2667</v>
      </c>
      <c r="E79" s="2857">
        <v>0.15</v>
      </c>
      <c r="F79" s="2857">
        <v>20</v>
      </c>
    </row>
    <row r="80" spans="1:7" ht="24">
      <c r="A80" s="2857">
        <v>8</v>
      </c>
      <c r="B80" s="3531"/>
      <c r="C80" s="2831" t="s">
        <v>2668</v>
      </c>
      <c r="D80" s="2831" t="s">
        <v>2669</v>
      </c>
      <c r="E80" s="2857">
        <v>0.1</v>
      </c>
      <c r="F80" s="2857">
        <v>15</v>
      </c>
    </row>
    <row r="81" spans="1:6" ht="24">
      <c r="A81" s="2857">
        <v>9</v>
      </c>
      <c r="B81" s="3531"/>
      <c r="C81" s="2831" t="s">
        <v>2670</v>
      </c>
      <c r="D81" s="2831" t="s">
        <v>2671</v>
      </c>
      <c r="E81" s="2857">
        <v>0.1</v>
      </c>
      <c r="F81" s="2857">
        <v>15</v>
      </c>
    </row>
    <row r="82" spans="1:6" ht="24">
      <c r="A82" s="2857">
        <v>10</v>
      </c>
      <c r="B82" s="3531"/>
      <c r="C82" s="2831" t="s">
        <v>2672</v>
      </c>
      <c r="D82" s="2831" t="s">
        <v>2673</v>
      </c>
      <c r="E82" s="2857">
        <v>0.1</v>
      </c>
      <c r="F82" s="2857">
        <v>15</v>
      </c>
    </row>
    <row r="83" spans="1:6" ht="24">
      <c r="A83" s="2857">
        <v>11</v>
      </c>
      <c r="B83" s="3531"/>
      <c r="C83" s="2831" t="s">
        <v>2674</v>
      </c>
      <c r="D83" s="2831" t="s">
        <v>2675</v>
      </c>
      <c r="E83" s="2857">
        <v>0.1</v>
      </c>
      <c r="F83" s="2857">
        <v>15</v>
      </c>
    </row>
    <row r="84" spans="1:6" ht="24">
      <c r="A84" s="2857">
        <v>12</v>
      </c>
      <c r="B84" s="3531"/>
      <c r="C84" s="2831" t="s">
        <v>2676</v>
      </c>
      <c r="D84" s="2831" t="s">
        <v>2677</v>
      </c>
      <c r="E84" s="2857">
        <v>0.1</v>
      </c>
      <c r="F84" s="2857">
        <v>15</v>
      </c>
    </row>
    <row r="85" spans="1:6" ht="13.5">
      <c r="A85" s="2857">
        <v>13</v>
      </c>
      <c r="B85" s="3531"/>
      <c r="C85" s="2831" t="s">
        <v>2678</v>
      </c>
      <c r="D85" s="2831" t="s">
        <v>2679</v>
      </c>
      <c r="E85" s="2857">
        <v>0.1</v>
      </c>
      <c r="F85" s="2857">
        <v>15</v>
      </c>
    </row>
    <row r="86" spans="1:6" ht="13.5">
      <c r="A86" s="2857">
        <v>14</v>
      </c>
      <c r="B86" s="3531"/>
      <c r="C86" s="2831" t="s">
        <v>2680</v>
      </c>
      <c r="D86" s="2831" t="s">
        <v>2681</v>
      </c>
      <c r="E86" s="2857">
        <v>0.1</v>
      </c>
      <c r="F86" s="2857">
        <v>15</v>
      </c>
    </row>
    <row r="87" spans="1:6" ht="13.5">
      <c r="A87" s="2857">
        <v>15</v>
      </c>
      <c r="B87" s="3531"/>
      <c r="C87" s="2831" t="s">
        <v>2682</v>
      </c>
      <c r="D87" s="2831" t="s">
        <v>2683</v>
      </c>
      <c r="E87" s="2857">
        <v>0.1</v>
      </c>
      <c r="F87" s="2857">
        <v>15</v>
      </c>
    </row>
    <row r="88" spans="1:6" ht="24">
      <c r="A88" s="2857">
        <v>16</v>
      </c>
      <c r="B88" s="3531"/>
      <c r="C88" s="2831" t="s">
        <v>2684</v>
      </c>
      <c r="D88" s="2831" t="s">
        <v>2685</v>
      </c>
      <c r="E88" s="2857">
        <v>0.1</v>
      </c>
      <c r="F88" s="2857">
        <v>15</v>
      </c>
    </row>
    <row r="89" spans="1:6" ht="24">
      <c r="A89" s="2857">
        <v>17</v>
      </c>
      <c r="B89" s="3530"/>
      <c r="C89" s="2831" t="s">
        <v>2686</v>
      </c>
      <c r="D89" s="2831" t="s">
        <v>2687</v>
      </c>
      <c r="E89" s="2857">
        <v>0.1</v>
      </c>
      <c r="F89" s="2857">
        <v>15</v>
      </c>
    </row>
    <row r="90" spans="1:6" ht="13.5">
      <c r="A90" s="2857">
        <v>18</v>
      </c>
      <c r="B90" s="3529" t="s">
        <v>2688</v>
      </c>
      <c r="C90" s="2831" t="s">
        <v>2689</v>
      </c>
      <c r="D90" s="2831" t="s">
        <v>2690</v>
      </c>
      <c r="E90" s="2857">
        <v>0.2</v>
      </c>
      <c r="F90" s="2857">
        <v>25</v>
      </c>
    </row>
    <row r="91" spans="1:6" ht="24">
      <c r="A91" s="2857">
        <v>19</v>
      </c>
      <c r="B91" s="3531"/>
      <c r="C91" s="2831" t="s">
        <v>2691</v>
      </c>
      <c r="D91" s="2831" t="s">
        <v>2692</v>
      </c>
      <c r="E91" s="2857">
        <v>0.2</v>
      </c>
      <c r="F91" s="2857">
        <v>25</v>
      </c>
    </row>
    <row r="92" spans="1:6" ht="13.5">
      <c r="A92" s="2857">
        <v>20</v>
      </c>
      <c r="B92" s="3531"/>
      <c r="C92" s="2831" t="s">
        <v>2693</v>
      </c>
      <c r="D92" s="2831" t="s">
        <v>2694</v>
      </c>
      <c r="E92" s="2857">
        <v>0.15</v>
      </c>
      <c r="F92" s="2857">
        <v>20</v>
      </c>
    </row>
    <row r="93" spans="1:6" ht="13.5">
      <c r="A93" s="2857">
        <v>21</v>
      </c>
      <c r="B93" s="3531"/>
      <c r="C93" s="2831" t="s">
        <v>2695</v>
      </c>
      <c r="D93" s="2831" t="s">
        <v>2696</v>
      </c>
      <c r="E93" s="2857">
        <v>0.15</v>
      </c>
      <c r="F93" s="2857">
        <v>20</v>
      </c>
    </row>
    <row r="94" spans="1:6" ht="13.5">
      <c r="A94" s="2857">
        <v>22</v>
      </c>
      <c r="B94" s="3531"/>
      <c r="C94" s="2831" t="s">
        <v>2697</v>
      </c>
      <c r="D94" s="2831" t="s">
        <v>2698</v>
      </c>
      <c r="E94" s="2857">
        <v>0.15</v>
      </c>
      <c r="F94" s="2857">
        <v>20</v>
      </c>
    </row>
    <row r="95" spans="1:6" ht="36">
      <c r="A95" s="2857">
        <v>23</v>
      </c>
      <c r="B95" s="3531"/>
      <c r="C95" s="2831" t="s">
        <v>2699</v>
      </c>
      <c r="D95" s="2831" t="s">
        <v>2700</v>
      </c>
      <c r="E95" s="2857">
        <v>0.15</v>
      </c>
      <c r="F95" s="2857">
        <v>20</v>
      </c>
    </row>
    <row r="96" spans="1:6" ht="13.5">
      <c r="A96" s="2857">
        <v>24</v>
      </c>
      <c r="B96" s="3531"/>
      <c r="C96" s="2831" t="s">
        <v>2701</v>
      </c>
      <c r="D96" s="2831" t="s">
        <v>2702</v>
      </c>
      <c r="E96" s="2857">
        <v>0.1</v>
      </c>
      <c r="F96" s="2857">
        <v>15</v>
      </c>
    </row>
    <row r="97" spans="1:6" ht="13.5">
      <c r="A97" s="2857">
        <v>25</v>
      </c>
      <c r="B97" s="3531"/>
      <c r="C97" s="2831" t="s">
        <v>2703</v>
      </c>
      <c r="D97" s="2831" t="s">
        <v>2704</v>
      </c>
      <c r="E97" s="2857">
        <v>0.1</v>
      </c>
      <c r="F97" s="2857">
        <v>15</v>
      </c>
    </row>
    <row r="98" spans="1:6" ht="24">
      <c r="A98" s="2857">
        <v>26</v>
      </c>
      <c r="B98" s="3531"/>
      <c r="C98" s="2831" t="s">
        <v>2705</v>
      </c>
      <c r="D98" s="2831" t="s">
        <v>2706</v>
      </c>
      <c r="E98" s="2857">
        <v>0.1</v>
      </c>
      <c r="F98" s="2857">
        <v>15</v>
      </c>
    </row>
    <row r="99" spans="1:6" ht="24">
      <c r="A99" s="2857">
        <v>27</v>
      </c>
      <c r="B99" s="3531"/>
      <c r="C99" s="2831" t="s">
        <v>2707</v>
      </c>
      <c r="D99" s="2831" t="s">
        <v>2708</v>
      </c>
      <c r="E99" s="2857">
        <v>0.1</v>
      </c>
      <c r="F99" s="2857">
        <v>15</v>
      </c>
    </row>
    <row r="100" spans="1:6" ht="13.5">
      <c r="A100" s="2857">
        <v>28</v>
      </c>
      <c r="B100" s="3531"/>
      <c r="C100" s="2831" t="s">
        <v>2709</v>
      </c>
      <c r="D100" s="2831" t="s">
        <v>2710</v>
      </c>
      <c r="E100" s="2857">
        <v>0.1</v>
      </c>
      <c r="F100" s="2857">
        <v>15</v>
      </c>
    </row>
    <row r="101" spans="1:6" ht="13.5">
      <c r="A101" s="2857">
        <v>29</v>
      </c>
      <c r="B101" s="3531"/>
      <c r="C101" s="2831" t="s">
        <v>2711</v>
      </c>
      <c r="D101" s="2831" t="s">
        <v>2712</v>
      </c>
      <c r="E101" s="2857">
        <v>0.1</v>
      </c>
      <c r="F101" s="2857">
        <v>15</v>
      </c>
    </row>
    <row r="102" spans="1:6" ht="13.5">
      <c r="A102" s="2857">
        <v>30</v>
      </c>
      <c r="B102" s="3531"/>
      <c r="C102" s="2831" t="s">
        <v>2713</v>
      </c>
      <c r="D102" s="2831" t="s">
        <v>2714</v>
      </c>
      <c r="E102" s="2857">
        <v>0.1</v>
      </c>
      <c r="F102" s="2857">
        <v>15</v>
      </c>
    </row>
    <row r="103" spans="1:6" ht="24">
      <c r="A103" s="2857">
        <v>31</v>
      </c>
      <c r="B103" s="3531"/>
      <c r="C103" s="2831" t="s">
        <v>2715</v>
      </c>
      <c r="D103" s="2831" t="s">
        <v>2716</v>
      </c>
      <c r="E103" s="2857">
        <v>0.1</v>
      </c>
      <c r="F103" s="2857">
        <v>15</v>
      </c>
    </row>
    <row r="104" spans="1:6" ht="24">
      <c r="A104" s="2857">
        <v>32</v>
      </c>
      <c r="B104" s="3531"/>
      <c r="C104" s="2831" t="s">
        <v>2717</v>
      </c>
      <c r="D104" s="2831" t="s">
        <v>2718</v>
      </c>
      <c r="E104" s="2857">
        <v>0.1</v>
      </c>
      <c r="F104" s="2857">
        <v>15</v>
      </c>
    </row>
    <row r="105" spans="1:6" ht="24">
      <c r="A105" s="2857">
        <v>33</v>
      </c>
      <c r="B105" s="3531"/>
      <c r="C105" s="2831" t="s">
        <v>2719</v>
      </c>
      <c r="D105" s="2831" t="s">
        <v>2720</v>
      </c>
      <c r="E105" s="2857">
        <v>0.1</v>
      </c>
      <c r="F105" s="2857">
        <v>15</v>
      </c>
    </row>
    <row r="106" spans="1:6" ht="24">
      <c r="A106" s="2857">
        <v>34</v>
      </c>
      <c r="B106" s="3530"/>
      <c r="C106" s="2831" t="s">
        <v>2721</v>
      </c>
      <c r="D106" s="2831" t="s">
        <v>2722</v>
      </c>
      <c r="E106" s="2857">
        <v>0.1</v>
      </c>
      <c r="F106" s="2857">
        <v>15</v>
      </c>
    </row>
    <row r="107" spans="1:6" ht="24">
      <c r="A107" s="2857">
        <v>35</v>
      </c>
      <c r="B107" s="3529" t="s">
        <v>2723</v>
      </c>
      <c r="C107" s="2857" t="s">
        <v>2724</v>
      </c>
      <c r="D107" s="2831" t="s">
        <v>2725</v>
      </c>
      <c r="E107" s="2857">
        <v>0.15</v>
      </c>
      <c r="F107" s="2857">
        <v>20</v>
      </c>
    </row>
    <row r="108" spans="1:6" ht="13.5">
      <c r="A108" s="2857">
        <v>36</v>
      </c>
      <c r="B108" s="3531"/>
      <c r="C108" s="2857" t="s">
        <v>2726</v>
      </c>
      <c r="D108" s="2831" t="s">
        <v>2727</v>
      </c>
      <c r="E108" s="2857">
        <v>0.15</v>
      </c>
      <c r="F108" s="2857">
        <v>20</v>
      </c>
    </row>
    <row r="109" spans="1:6" ht="13.5">
      <c r="A109" s="2857">
        <v>37</v>
      </c>
      <c r="B109" s="3531"/>
      <c r="C109" s="2857" t="s">
        <v>2728</v>
      </c>
      <c r="D109" s="2831" t="s">
        <v>2729</v>
      </c>
      <c r="E109" s="2857">
        <v>0.15</v>
      </c>
      <c r="F109" s="2857">
        <v>20</v>
      </c>
    </row>
    <row r="110" spans="1:6" ht="13.5">
      <c r="A110" s="2857">
        <v>38</v>
      </c>
      <c r="B110" s="3531"/>
      <c r="C110" s="2857" t="s">
        <v>2730</v>
      </c>
      <c r="D110" s="2831" t="s">
        <v>2731</v>
      </c>
      <c r="E110" s="2857">
        <v>0.1</v>
      </c>
      <c r="F110" s="2857">
        <v>15</v>
      </c>
    </row>
    <row r="111" spans="1:6" ht="24">
      <c r="A111" s="2857">
        <v>39</v>
      </c>
      <c r="B111" s="3531"/>
      <c r="C111" s="2857" t="s">
        <v>2732</v>
      </c>
      <c r="D111" s="2831" t="s">
        <v>2733</v>
      </c>
      <c r="E111" s="2857">
        <v>0.1</v>
      </c>
      <c r="F111" s="2857">
        <v>15</v>
      </c>
    </row>
    <row r="112" spans="1:6" ht="24">
      <c r="A112" s="2857">
        <v>40</v>
      </c>
      <c r="B112" s="3530"/>
      <c r="C112" s="2857" t="s">
        <v>2734</v>
      </c>
      <c r="D112" s="2831" t="s">
        <v>2735</v>
      </c>
      <c r="E112" s="2857">
        <v>0.1</v>
      </c>
      <c r="F112" s="2857">
        <v>15</v>
      </c>
    </row>
    <row r="113" spans="1:6" ht="13.5">
      <c r="A113" s="2857">
        <v>41</v>
      </c>
      <c r="B113" s="3528" t="s">
        <v>2736</v>
      </c>
      <c r="C113" s="2857" t="s">
        <v>2737</v>
      </c>
      <c r="D113" s="2831" t="s">
        <v>2738</v>
      </c>
      <c r="E113" s="2857">
        <v>0.1</v>
      </c>
      <c r="F113" s="2857">
        <v>15</v>
      </c>
    </row>
    <row r="114" spans="1:6" ht="13.5">
      <c r="A114" s="2857">
        <v>42</v>
      </c>
      <c r="B114" s="3528"/>
      <c r="C114" s="2857" t="s">
        <v>2739</v>
      </c>
      <c r="D114" s="2831" t="s">
        <v>2740</v>
      </c>
      <c r="E114" s="2857">
        <v>0.1</v>
      </c>
      <c r="F114" s="2857">
        <v>15</v>
      </c>
    </row>
    <row r="115" spans="1:6" ht="24">
      <c r="A115" s="2857">
        <v>43</v>
      </c>
      <c r="B115" s="3528"/>
      <c r="C115" s="2857" t="s">
        <v>2741</v>
      </c>
      <c r="D115" s="2831" t="s">
        <v>2742</v>
      </c>
      <c r="E115" s="2857">
        <v>0.1</v>
      </c>
      <c r="F115" s="2857">
        <v>15</v>
      </c>
    </row>
    <row r="116" spans="1:6" ht="13.5">
      <c r="A116" s="2857">
        <v>44</v>
      </c>
      <c r="B116" s="3529" t="s">
        <v>2743</v>
      </c>
      <c r="C116" s="2857" t="s">
        <v>2744</v>
      </c>
      <c r="D116" s="2831" t="s">
        <v>2745</v>
      </c>
      <c r="E116" s="2857">
        <v>0.1</v>
      </c>
      <c r="F116" s="2857">
        <v>15</v>
      </c>
    </row>
    <row r="117" spans="1:6" ht="24">
      <c r="A117" s="2857">
        <v>45</v>
      </c>
      <c r="B117" s="3530"/>
      <c r="C117" s="2831" t="s">
        <v>2746</v>
      </c>
      <c r="D117" s="2831" t="s">
        <v>2747</v>
      </c>
      <c r="E117" s="2857">
        <v>0.1</v>
      </c>
      <c r="F117" s="2857">
        <v>15</v>
      </c>
    </row>
    <row r="118" spans="1:6" ht="24">
      <c r="A118" s="2857">
        <v>46</v>
      </c>
      <c r="B118" s="3529" t="s">
        <v>2748</v>
      </c>
      <c r="C118" s="2857" t="s">
        <v>2749</v>
      </c>
      <c r="D118" s="2831" t="s">
        <v>2750</v>
      </c>
      <c r="E118" s="2857">
        <v>0.1</v>
      </c>
      <c r="F118" s="2857">
        <v>15</v>
      </c>
    </row>
    <row r="119" spans="1:6" ht="24">
      <c r="A119" s="2857">
        <v>47</v>
      </c>
      <c r="B119" s="3530"/>
      <c r="C119" s="2857" t="s">
        <v>2751</v>
      </c>
      <c r="D119" s="2831" t="s">
        <v>2752</v>
      </c>
      <c r="E119" s="2857">
        <v>0.1</v>
      </c>
      <c r="F119" s="2857">
        <v>15</v>
      </c>
    </row>
    <row r="120" spans="1:6" ht="13.5">
      <c r="A120" s="2857">
        <v>48</v>
      </c>
      <c r="B120" s="3529" t="s">
        <v>2753</v>
      </c>
      <c r="C120" s="2857" t="s">
        <v>2754</v>
      </c>
      <c r="D120" s="2831" t="s">
        <v>2755</v>
      </c>
      <c r="E120" s="2857">
        <v>0.1</v>
      </c>
      <c r="F120" s="2857">
        <v>15</v>
      </c>
    </row>
    <row r="121" spans="1:6" ht="13.5">
      <c r="A121" s="2857">
        <v>49</v>
      </c>
      <c r="B121" s="3530"/>
      <c r="C121" s="2857" t="s">
        <v>2756</v>
      </c>
      <c r="D121" s="2831" t="s">
        <v>2757</v>
      </c>
      <c r="E121" s="2857">
        <v>0.1</v>
      </c>
      <c r="F121" s="2857">
        <v>15</v>
      </c>
    </row>
    <row r="122" spans="1:6" ht="24">
      <c r="A122" s="2857">
        <v>50</v>
      </c>
      <c r="B122" s="3528" t="s">
        <v>2758</v>
      </c>
      <c r="C122" s="2857" t="s">
        <v>2759</v>
      </c>
      <c r="D122" s="2831" t="s">
        <v>2760</v>
      </c>
      <c r="E122" s="2857">
        <v>0.1</v>
      </c>
      <c r="F122" s="2857">
        <v>15</v>
      </c>
    </row>
    <row r="123" spans="1:6" ht="24">
      <c r="A123" s="2857">
        <v>51</v>
      </c>
      <c r="B123" s="3528"/>
      <c r="C123" s="2857" t="s">
        <v>2761</v>
      </c>
      <c r="D123" s="2831" t="s">
        <v>2762</v>
      </c>
      <c r="E123" s="2857">
        <v>0.1</v>
      </c>
      <c r="F123" s="2857">
        <v>15</v>
      </c>
    </row>
    <row r="124" spans="1:6" ht="24">
      <c r="A124" s="2857">
        <v>52</v>
      </c>
      <c r="B124" s="3528" t="s">
        <v>2763</v>
      </c>
      <c r="C124" s="2857" t="s">
        <v>2764</v>
      </c>
      <c r="D124" s="2831" t="s">
        <v>2765</v>
      </c>
      <c r="E124" s="2857">
        <v>0.1</v>
      </c>
      <c r="F124" s="2857">
        <v>15</v>
      </c>
    </row>
    <row r="125" spans="1:6" ht="24">
      <c r="A125" s="2857">
        <v>53</v>
      </c>
      <c r="B125" s="3528"/>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28" t="s">
        <v>2771</v>
      </c>
      <c r="C127" s="2857" t="s">
        <v>2772</v>
      </c>
      <c r="D127" s="2831" t="s">
        <v>2773</v>
      </c>
      <c r="E127" s="2857">
        <v>0.1</v>
      </c>
      <c r="F127" s="2857">
        <v>15</v>
      </c>
    </row>
    <row r="128" spans="1:6" ht="13.5">
      <c r="A128" s="2857">
        <v>56</v>
      </c>
      <c r="B128" s="3528"/>
      <c r="C128" s="2857" t="s">
        <v>2774</v>
      </c>
      <c r="D128" s="2831" t="s">
        <v>2775</v>
      </c>
      <c r="E128" s="2857">
        <v>0.1</v>
      </c>
      <c r="F128" s="2857">
        <v>15</v>
      </c>
    </row>
    <row r="129" spans="1:6" ht="24">
      <c r="A129" s="2857">
        <v>57</v>
      </c>
      <c r="B129" s="3528"/>
      <c r="C129" s="2857" t="s">
        <v>2776</v>
      </c>
      <c r="D129" s="2831" t="s">
        <v>2777</v>
      </c>
      <c r="E129" s="2857">
        <v>0.1</v>
      </c>
      <c r="F129" s="2857">
        <v>15</v>
      </c>
    </row>
    <row r="130" spans="1:6" ht="24">
      <c r="A130" s="2857">
        <v>58</v>
      </c>
      <c r="B130" s="3528" t="s">
        <v>2778</v>
      </c>
      <c r="C130" s="2857" t="s">
        <v>2779</v>
      </c>
      <c r="D130" s="2831" t="s">
        <v>2780</v>
      </c>
      <c r="E130" s="2857">
        <v>0.1</v>
      </c>
      <c r="F130" s="2857">
        <v>15</v>
      </c>
    </row>
    <row r="131" spans="1:6" ht="13.5">
      <c r="A131" s="2857">
        <v>59</v>
      </c>
      <c r="B131" s="3528"/>
      <c r="C131" s="2857" t="s">
        <v>2781</v>
      </c>
      <c r="D131" s="2831" t="s">
        <v>2782</v>
      </c>
      <c r="E131" s="2857">
        <v>0.1</v>
      </c>
      <c r="F131" s="2857">
        <v>15</v>
      </c>
    </row>
    <row r="132" spans="1:6" ht="13.5">
      <c r="A132" s="2857">
        <v>60</v>
      </c>
      <c r="B132" s="3529" t="s">
        <v>2783</v>
      </c>
      <c r="C132" s="2857" t="s">
        <v>2784</v>
      </c>
      <c r="D132" s="2831" t="s">
        <v>2785</v>
      </c>
      <c r="E132" s="2857">
        <v>0.1</v>
      </c>
      <c r="F132" s="2857">
        <v>15</v>
      </c>
    </row>
    <row r="133" spans="1:6" ht="13.5">
      <c r="A133" s="2857">
        <v>61</v>
      </c>
      <c r="B133" s="3530"/>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28" t="s">
        <v>2791</v>
      </c>
      <c r="C135" s="2857" t="s">
        <v>2792</v>
      </c>
      <c r="D135" s="2831" t="s">
        <v>2793</v>
      </c>
      <c r="E135" s="2857">
        <v>0.1</v>
      </c>
      <c r="F135" s="2857">
        <v>15</v>
      </c>
    </row>
    <row r="136" spans="1:6" ht="13.5">
      <c r="A136" s="2857">
        <v>64</v>
      </c>
      <c r="B136" s="3528"/>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估价结果一览表（市场价值不需“结果表-1”）</v>
      </c>
      <c r="B3" s="3226"/>
      <c r="C3" s="3226"/>
      <c r="D3" s="3226"/>
      <c r="E3" s="3226"/>
    </row>
    <row r="4" spans="1:5" ht="19.5" thickBot="1">
      <c r="A4" s="1391"/>
      <c r="B4" s="3224" t="s">
        <v>917</v>
      </c>
      <c r="C4" s="3224"/>
      <c r="D4" s="3224"/>
      <c r="E4" s="1391"/>
    </row>
    <row r="5" spans="1:5" ht="16.5" thickTop="1">
      <c r="B5" s="3222" t="s">
        <v>909</v>
      </c>
      <c r="C5" s="1392" t="s">
        <v>910</v>
      </c>
      <c r="D5" s="797" t="e">
        <f ca="1">结果表!H101</f>
        <v>#REF!</v>
      </c>
    </row>
    <row r="6" spans="1:5" ht="15.75">
      <c r="B6" s="3222"/>
      <c r="C6" s="1392" t="s">
        <v>911</v>
      </c>
      <c r="D6" s="797" t="e">
        <f ca="1">NUMBERSTRING(INT(D5*10000),2)&amp;"元整"</f>
        <v>#REF!</v>
      </c>
    </row>
    <row r="7" spans="1:5" ht="15.75">
      <c r="B7" s="3227"/>
      <c r="C7" s="1393" t="s">
        <v>912</v>
      </c>
      <c r="D7" s="798" t="e">
        <f ca="1">结果表!H102</f>
        <v>#REF!</v>
      </c>
    </row>
    <row r="8" spans="1:5" ht="15.75">
      <c r="B8" s="3228" t="str">
        <f>结果表!E103</f>
        <v>2.估价师知悉的法定优先受偿款</v>
      </c>
      <c r="C8" s="1394" t="s">
        <v>913</v>
      </c>
      <c r="D8" s="798">
        <f>结果表!H103</f>
        <v>0</v>
      </c>
    </row>
    <row r="9" spans="1:5" ht="15.75">
      <c r="B9" s="323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1" t="str">
        <f>结果表!E107</f>
        <v>3.房地产抵押价值</v>
      </c>
      <c r="C13" s="1397" t="s">
        <v>910</v>
      </c>
      <c r="D13" s="800" t="e">
        <f ca="1">结果表!H107</f>
        <v>#REF!</v>
      </c>
    </row>
    <row r="14" spans="1:5" ht="15.75">
      <c r="B14" s="3222"/>
      <c r="C14" s="1392" t="s">
        <v>911</v>
      </c>
      <c r="D14" s="797" t="e">
        <f ca="1">NUMBERSTRING(INT(D13*10000),2)&amp;"元整"</f>
        <v>#REF!</v>
      </c>
    </row>
    <row r="15" spans="1:5" ht="15">
      <c r="B15" s="3227"/>
      <c r="C15" s="1393" t="s">
        <v>921</v>
      </c>
      <c r="D15" s="806" t="e">
        <f ca="1">结果表!H108</f>
        <v>#REF!</v>
      </c>
    </row>
    <row r="16" spans="1:5" ht="15">
      <c r="B16" s="3228" t="str">
        <f>结果表!E109</f>
        <v>——</v>
      </c>
      <c r="C16" s="1397" t="s">
        <v>922</v>
      </c>
      <c r="D16" s="1398" t="str">
        <f>结果表!H109</f>
        <v>——</v>
      </c>
    </row>
    <row r="17" spans="1:5" ht="15.75">
      <c r="B17" s="3229"/>
      <c r="C17" s="1392" t="s">
        <v>923</v>
      </c>
      <c r="D17" s="797" t="e">
        <f>NUMBERSTRING(INT(D16*10000),2)&amp;"元整"</f>
        <v>#VALUE!</v>
      </c>
    </row>
    <row r="18" spans="1:5" ht="15">
      <c r="B18" s="3230"/>
      <c r="C18" s="1393" t="s">
        <v>912</v>
      </c>
      <c r="D18" s="806" t="str">
        <f>结果表!H110</f>
        <v>——</v>
      </c>
    </row>
    <row r="19" spans="1:5" ht="15.75">
      <c r="B19" s="3221" t="str">
        <f>结果表!E111</f>
        <v>——</v>
      </c>
      <c r="C19" s="1397" t="s">
        <v>910</v>
      </c>
      <c r="D19" s="798" t="str">
        <f>结果表!H111</f>
        <v>——</v>
      </c>
    </row>
    <row r="20" spans="1:5" ht="15.75">
      <c r="B20" s="3222"/>
      <c r="C20" s="1392" t="s">
        <v>923</v>
      </c>
      <c r="D20" s="797" t="e">
        <f>NUMBERSTRING(INT(D19*10000),2)&amp;"元整"</f>
        <v>#VALUE!</v>
      </c>
    </row>
    <row r="21" spans="1:5" ht="15.75" thickBot="1">
      <c r="B21" s="322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26990</v>
      </c>
      <c r="C2" s="2" t="s">
        <v>106</v>
      </c>
      <c r="D2" s="191"/>
      <c r="E2" s="191"/>
      <c r="F2" s="191"/>
      <c r="G2" s="191"/>
    </row>
    <row r="3" spans="1:7" s="192" customFormat="1" ht="18" customHeight="1" thickBot="1">
      <c r="A3" s="195" t="s">
        <v>58</v>
      </c>
      <c r="B3" s="196">
        <f ca="1">ROUND(B2*10000/'数据-汇总表'!E3,0)</f>
        <v>6461575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41.77</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41.77</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2336</v>
      </c>
      <c r="D22" s="227">
        <f ca="1">C26</f>
        <v>5.0000000000000001E-4</v>
      </c>
      <c r="E22" s="228" t="s">
        <v>99</v>
      </c>
      <c r="F22" s="229">
        <f ca="1">'数据-取费表'!B40</f>
        <v>5.4900000000000004E-2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2325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41.77</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02" t="s">
        <v>94</v>
      </c>
    </row>
    <row r="43" spans="1:7" ht="13.5" customHeight="1">
      <c r="A43" s="734" t="s">
        <v>347</v>
      </c>
      <c r="B43" s="207" t="s">
        <v>426</v>
      </c>
      <c r="C43" s="230">
        <f ca="1">ROUND(IF('数据-取费表'!B22&lt;=1,C39*F22*'数据-取费表'!B21/2,C39*(POWER((1+F22),'数据-取费表'!B21/2)-1)),0)</f>
        <v>0</v>
      </c>
      <c r="D43" s="230"/>
      <c r="E43" s="230"/>
      <c r="F43" s="231"/>
      <c r="G43" s="3403"/>
    </row>
    <row r="44" spans="1:7" ht="13.5" customHeight="1">
      <c r="A44" s="734" t="s">
        <v>348</v>
      </c>
      <c r="B44" s="207" t="s">
        <v>428</v>
      </c>
      <c r="C44" s="230">
        <f ca="1">ROUND(IF('数据-取费表'!B22&lt;=1,C40*F22*'数据-取费表'!B21/2,C40*(POWER((1+F22),'数据-取费表'!B21/2)-1)),4)</f>
        <v>5.0000000000000001E-4</v>
      </c>
      <c r="D44" s="230"/>
      <c r="E44" s="230"/>
      <c r="F44" s="231"/>
      <c r="G44" s="3404"/>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26990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2" t="s">
        <v>2841</v>
      </c>
      <c r="B1" s="3542"/>
      <c r="C1" s="3542"/>
      <c r="D1" s="3542"/>
      <c r="E1" s="3542"/>
      <c r="F1" s="3542"/>
      <c r="G1" s="3543"/>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540"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541"/>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44" t="s">
        <v>3183</v>
      </c>
      <c r="B1" s="3544"/>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ht="14.25">
      <c r="A1" s="3545" t="s">
        <v>3234</v>
      </c>
      <c r="B1" s="3545"/>
      <c r="C1" s="3545"/>
      <c r="D1" s="3545"/>
      <c r="E1" s="3545"/>
      <c r="F1" s="3546"/>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38084</v>
      </c>
      <c r="B1" s="2929" t="s">
        <v>3373</v>
      </c>
      <c r="C1" s="2930"/>
      <c r="D1" s="2930"/>
      <c r="E1" s="2930"/>
      <c r="F1" s="2930"/>
      <c r="G1" s="2930"/>
      <c r="H1" s="2930"/>
      <c r="I1" s="2930"/>
      <c r="J1" s="2896"/>
      <c r="K1" s="2930" t="s">
        <v>454</v>
      </c>
      <c r="L1" s="2930"/>
      <c r="M1" s="2930"/>
      <c r="N1" s="2930"/>
      <c r="O1" s="2930"/>
      <c r="P1" s="2930"/>
      <c r="Q1" s="2896"/>
      <c r="R1" s="3547" t="s">
        <v>456</v>
      </c>
      <c r="S1" s="3548"/>
      <c r="T1" s="3548"/>
      <c r="U1" s="3548"/>
      <c r="V1" s="3548"/>
      <c r="W1" s="3548"/>
      <c r="X1" s="2896"/>
      <c r="Y1" s="3547" t="s">
        <v>457</v>
      </c>
      <c r="Z1" s="3548"/>
      <c r="AA1" s="3548"/>
      <c r="AB1" s="3548"/>
      <c r="AC1" s="3548"/>
      <c r="AD1" s="3548"/>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547" t="s">
        <v>2829</v>
      </c>
      <c r="S24" s="3548"/>
      <c r="T24" s="3548"/>
      <c r="U24" s="3548"/>
      <c r="V24" s="3548"/>
      <c r="W24" s="3548"/>
      <c r="X24" s="2896"/>
      <c r="Y24" s="3547" t="s">
        <v>2830</v>
      </c>
      <c r="Z24" s="3548"/>
      <c r="AA24" s="3548"/>
      <c r="AB24" s="3548"/>
      <c r="AC24" s="3548"/>
      <c r="AD24" s="3548"/>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2" t="s">
        <v>452</v>
      </c>
      <c r="C1" s="3552"/>
      <c r="D1" s="3552"/>
      <c r="E1" s="3552"/>
      <c r="F1" s="3552"/>
      <c r="G1" s="3548" t="s">
        <v>453</v>
      </c>
      <c r="H1" s="3548"/>
      <c r="I1" s="3548"/>
      <c r="J1" s="3548"/>
      <c r="K1" s="3548"/>
      <c r="L1" s="3548"/>
      <c r="N1" s="3548" t="s">
        <v>454</v>
      </c>
      <c r="O1" s="3548"/>
      <c r="P1" s="3548"/>
      <c r="Q1" s="3548"/>
      <c r="S1" s="3548" t="s">
        <v>455</v>
      </c>
      <c r="T1" s="3548"/>
      <c r="U1" s="3548"/>
      <c r="V1" s="3548"/>
      <c r="X1" s="3547" t="s">
        <v>456</v>
      </c>
      <c r="Y1" s="3548"/>
      <c r="Z1" s="3548"/>
      <c r="AA1" s="3548"/>
      <c r="AB1" s="3548"/>
      <c r="AD1" s="3547" t="s">
        <v>457</v>
      </c>
      <c r="AE1" s="3548"/>
      <c r="AF1" s="3548"/>
      <c r="AG1" s="3548"/>
      <c r="AH1" s="354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5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5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5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5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5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38084</v>
      </c>
      <c r="D1" s="1217" t="s">
        <v>603</v>
      </c>
      <c r="E1" s="1212">
        <f>'数据-取费表'!B22</f>
        <v>2</v>
      </c>
      <c r="F1" s="1217" t="s">
        <v>604</v>
      </c>
      <c r="G1" s="1213">
        <f ca="1">INDIRECT("d"&amp;$K$1)/100</f>
        <v>5.4900000000000004E-2</v>
      </c>
      <c r="H1" s="1217" t="s">
        <v>634</v>
      </c>
      <c r="I1" s="1213">
        <f ca="1">F4/100</f>
        <v>1.9799999999999998E-2</v>
      </c>
      <c r="J1" s="1218">
        <f>IF(C1&gt;C13,0,MATCH(C1,C$13:C$113,-1))+IF(SUMIF(C13:C113,C1,D13:D113)=0,13,12)</f>
        <v>55</v>
      </c>
      <c r="K1" s="1218">
        <f>MATCH(E1,C3:C7,1)+IF(SUMIF(C3:C7,E1,D3:D7)=0,2,1)</f>
        <v>5</v>
      </c>
      <c r="L1" s="1218">
        <f>IF(C1&gt;M13,0,MATCH(C1,M$13:M$100,-1))+IF(SUMIF(M13:M100,C1,N13:N100)=0,13,12)</f>
        <v>39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1.89</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5.31</v>
      </c>
      <c r="E4" s="1169">
        <v>1</v>
      </c>
      <c r="F4" s="1170">
        <f ca="1">INDIRECT("q"&amp;$L$1)</f>
        <v>1.98</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5.49</v>
      </c>
      <c r="E5" s="1169">
        <v>2</v>
      </c>
      <c r="F5" s="1170">
        <f ca="1">INDIRECT("r"&amp;$L$1)</f>
        <v>2.25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5.58</v>
      </c>
      <c r="E6" s="1169">
        <v>3</v>
      </c>
      <c r="F6" s="1170">
        <f ca="1">INDIRECT("s"&amp;$L$1)</f>
        <v>2.52</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5.76</v>
      </c>
      <c r="E7" s="1174">
        <v>5</v>
      </c>
      <c r="F7" s="1175">
        <f ca="1">INDIRECT("t"&amp;$L$1)</f>
        <v>2.79</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34"/>
      <c r="B3" s="3234"/>
      <c r="C3" s="3234"/>
      <c r="D3" s="801" t="s">
        <v>925</v>
      </c>
      <c r="E3" s="801" t="s">
        <v>931</v>
      </c>
      <c r="F3" s="801" t="s">
        <v>925</v>
      </c>
      <c r="G3" s="801" t="s">
        <v>926</v>
      </c>
      <c r="H3" s="801" t="s">
        <v>925</v>
      </c>
      <c r="I3" s="801" t="s">
        <v>926</v>
      </c>
    </row>
    <row r="4" spans="1:9" ht="15">
      <c r="A4" s="1403" t="str">
        <f>项目基本情况!S2</f>
        <v>北京市房地产</v>
      </c>
      <c r="B4" s="801">
        <f>项目基本情况!C17</f>
        <v>41.77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4" t="s">
        <v>927</v>
      </c>
      <c r="B5" s="3234"/>
      <c r="C5" s="3234"/>
      <c r="D5" s="3234" t="e">
        <f ca="1">结果表!D119</f>
        <v>#REF!</v>
      </c>
      <c r="E5" s="3234"/>
      <c r="F5" s="3234" t="e">
        <f ca="1">结果表!F119</f>
        <v>#REF!</v>
      </c>
      <c r="G5" s="3234"/>
      <c r="H5" s="3234" t="e">
        <f ca="1">结果表!H119</f>
        <v>#REF!</v>
      </c>
      <c r="I5" s="3234"/>
    </row>
    <row r="6" spans="1:9" ht="15.75">
      <c r="A6" s="3233" t="str">
        <f>结果表!A120</f>
        <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
      </c>
      <c r="B8" s="3233"/>
      <c r="C8" s="3233"/>
      <c r="D8" s="3233" t="e">
        <f ca="1">结果表!D122</f>
        <v>#REF!</v>
      </c>
      <c r="E8" s="3233"/>
      <c r="F8" s="3233"/>
      <c r="G8" s="3233"/>
      <c r="H8" s="3233"/>
      <c r="I8" s="3233"/>
    </row>
    <row r="9" spans="1:9" ht="15">
      <c r="A9" s="3234" t="s">
        <v>927</v>
      </c>
      <c r="B9" s="3234"/>
      <c r="C9" s="3234"/>
      <c r="D9" s="3234" t="e">
        <f ca="1">结果表!D123</f>
        <v>#REF!</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6" t="s">
        <v>949</v>
      </c>
      <c r="B1" s="3246"/>
      <c r="C1" s="3246"/>
      <c r="D1" s="3246"/>
    </row>
    <row r="2" spans="1:4" ht="18">
      <c r="A2" s="3247" t="s">
        <v>933</v>
      </c>
      <c r="B2" s="3247"/>
      <c r="C2" s="3247"/>
      <c r="D2" s="324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7" t="s">
        <v>939</v>
      </c>
      <c r="B6" s="3247"/>
      <c r="C6" s="3247"/>
      <c r="D6" s="324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4" t="s">
        <v>956</v>
      </c>
      <c r="B15" s="3249" t="s">
        <v>109</v>
      </c>
      <c r="C15" s="3250"/>
    </row>
    <row r="16" spans="1:7" ht="13.5">
      <c r="A16" s="3255"/>
      <c r="B16" s="3249" t="s">
        <v>42</v>
      </c>
      <c r="C16" s="3250"/>
    </row>
    <row r="17" spans="1:3" ht="13.5">
      <c r="A17" s="3255"/>
      <c r="B17" s="3252" t="s">
        <v>957</v>
      </c>
      <c r="C17" s="1429" t="s">
        <v>956</v>
      </c>
    </row>
    <row r="18" spans="1:3" ht="13.5">
      <c r="A18" s="3255"/>
      <c r="B18" s="3252"/>
      <c r="C18" s="1429" t="s">
        <v>958</v>
      </c>
    </row>
    <row r="19" spans="1:3" ht="13.5">
      <c r="A19" s="3255"/>
      <c r="B19" s="3252"/>
      <c r="C19" s="1429" t="s">
        <v>959</v>
      </c>
    </row>
    <row r="20" spans="1:3" ht="13.5">
      <c r="A20" s="3256"/>
      <c r="B20" s="3251" t="s">
        <v>960</v>
      </c>
      <c r="C20" s="3250"/>
    </row>
    <row r="21" spans="1:3" ht="13.5">
      <c r="A21" s="1430" t="s">
        <v>961</v>
      </c>
      <c r="B21" s="1431"/>
      <c r="C21" s="1432"/>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9" t="s">
        <v>967</v>
      </c>
    </row>
    <row r="26" spans="1:3" ht="13.5">
      <c r="A26" s="3253"/>
      <c r="B26" s="3252"/>
      <c r="C26" s="1429" t="s">
        <v>968</v>
      </c>
    </row>
    <row r="27" spans="1:3" ht="13.5">
      <c r="A27" s="3253"/>
      <c r="B27" s="3252"/>
      <c r="C27" s="1429" t="s">
        <v>969</v>
      </c>
    </row>
    <row r="28" spans="1:3" ht="13.5">
      <c r="A28" s="3253"/>
      <c r="B28" s="3252"/>
      <c r="C28" s="1429" t="s">
        <v>970</v>
      </c>
    </row>
    <row r="29" spans="1:3" ht="13.5">
      <c r="A29" s="3253"/>
      <c r="B29" s="3252"/>
      <c r="C29" s="1429" t="s">
        <v>971</v>
      </c>
    </row>
    <row r="30" spans="1:3" ht="13.5">
      <c r="A30" s="3253"/>
      <c r="B30" s="3252"/>
      <c r="C30" s="1429" t="s">
        <v>972</v>
      </c>
    </row>
    <row r="31" spans="1:3" ht="13.5">
      <c r="A31" s="3253"/>
      <c r="B31" s="3252"/>
      <c r="C31" s="1429" t="s">
        <v>973</v>
      </c>
    </row>
    <row r="32" spans="1:3" ht="13.5">
      <c r="A32" s="3253"/>
      <c r="B32" s="3252"/>
      <c r="C32" s="1429" t="s">
        <v>974</v>
      </c>
    </row>
    <row r="33" spans="1:3" ht="13.5">
      <c r="A33" s="3253"/>
      <c r="B33" s="325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7" t="s">
        <v>2160</v>
      </c>
      <c r="B17" s="3257"/>
      <c r="C17" s="3257"/>
      <c r="D17" s="3257"/>
      <c r="E17" s="3257"/>
      <c r="F17" s="3257"/>
      <c r="G17" s="3257"/>
      <c r="H17" s="3257"/>
    </row>
    <row r="18" spans="1:8" ht="24" customHeight="1">
      <c r="A18" s="3258" t="s">
        <v>2161</v>
      </c>
      <c r="B18" s="3258"/>
      <c r="C18" s="3258"/>
      <c r="D18" s="2160"/>
      <c r="E18" s="3259" t="s">
        <v>2162</v>
      </c>
      <c r="F18" s="3258"/>
      <c r="G18" s="325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2024-10-14T02:13:18Z</dcterms:modified>
</cp:coreProperties>
</file>